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drawings/drawing7.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66" documentId="11_8873A8691D801B0DBBD954066C498C9FFA28DF3D" xr6:coauthVersionLast="41" xr6:coauthVersionMax="44" xr10:uidLastSave="{7D099826-49A0-4C23-AC6E-26CE15E6418E}"/>
  <bookViews>
    <workbookView xWindow="20580" yWindow="3060" windowWidth="24720" windowHeight="12180" tabRatio="818" xr2:uid="{00000000-000D-0000-FFFF-FFFF00000000}"/>
  </bookViews>
  <sheets>
    <sheet name="About" sheetId="9" r:id="rId1"/>
    <sheet name="Note" sheetId="11" r:id="rId2"/>
    <sheet name="InternalLink" sheetId="19" state="hidden" r:id="rId3"/>
    <sheet name="Household_Histo" sheetId="17" state="hidden" r:id="rId4"/>
    <sheet name="Household_Pred" sheetId="16" state="hidden" r:id="rId5"/>
    <sheet name="Energy8Sec" sheetId="1" state="hidden" r:id="rId6"/>
    <sheet name="History Type Share" sheetId="2" r:id="rId7"/>
    <sheet name="Commercial8Fuel" sheetId="3" state="hidden" r:id="rId8"/>
    <sheet name="Residential8EndUse" sheetId="4" state="hidden" r:id="rId9"/>
    <sheet name="Private,Public8EndUse" sheetId="50" r:id="rId10"/>
    <sheet name="Commercial8EndUse" sheetId="5" r:id="rId11"/>
    <sheet name="FloorAreaPer" sheetId="21" state="hidden" r:id="rId12"/>
    <sheet name="DataSum" sheetId="12" state="hidden" r:id="rId13"/>
    <sheet name="Building" sheetId="52" r:id="rId14"/>
    <sheet name="Future Total Energy" sheetId="14" r:id="rId15"/>
    <sheet name="FittingHH" sheetId="28" state="hidden" r:id="rId16"/>
    <sheet name="Future Type Share" sheetId="10" r:id="rId17"/>
    <sheet name="BTU Conversion Factor" sheetId="13" state="hidden" r:id="rId18"/>
    <sheet name="Future EndUse Share" sheetId="20" r:id="rId19"/>
    <sheet name="Commercial_1" sheetId="22" state="hidden" r:id="rId20"/>
    <sheet name="Commercial_2" sheetId="27" state="hidden" r:id="rId21"/>
    <sheet name="Commercial_Final" sheetId="26" r:id="rId22"/>
    <sheet name="Private_1" sheetId="23" state="hidden" r:id="rId23"/>
    <sheet name="Private_2" sheetId="7" state="hidden" r:id="rId24"/>
    <sheet name="Public_1" sheetId="53" state="hidden" r:id="rId25"/>
    <sheet name="Public_2" sheetId="54" state="hidden" r:id="rId26"/>
    <sheet name="Private_Final" sheetId="25" r:id="rId27"/>
    <sheet name="Public_Final" sheetId="55" r:id="rId28"/>
    <sheet name="BCEU-urban-residential-heating" sheetId="35" r:id="rId29"/>
    <sheet name="BCEU-urban-residential-cooling" sheetId="33" r:id="rId30"/>
    <sheet name="BCEU-urban-residential-lighting" sheetId="32" r:id="rId31"/>
    <sheet name="BCEU-urban-residential-appl" sheetId="38" r:id="rId32"/>
    <sheet name="BCEU-urban-residential-other" sheetId="39" r:id="rId33"/>
    <sheet name="BCEU-rural-residential-heating" sheetId="40" r:id="rId34"/>
    <sheet name="BCEU-rural-residential-cooling" sheetId="41" r:id="rId35"/>
    <sheet name="BCEU-rural-residential-lighting" sheetId="42" r:id="rId36"/>
    <sheet name="BCEU-rural-residential-appl" sheetId="43" r:id="rId37"/>
    <sheet name="BCEU-rural-residential-other" sheetId="44" r:id="rId38"/>
    <sheet name="BCEU-commercial-heating" sheetId="45" r:id="rId39"/>
    <sheet name="BCEU-commercial-cooling" sheetId="46" r:id="rId40"/>
    <sheet name="BCEU-commercial-lighting" sheetId="47" r:id="rId41"/>
    <sheet name="BCEU-commercial-appl" sheetId="48" r:id="rId42"/>
    <sheet name="BCEU-commercial-other" sheetId="49" r:id="rId43"/>
  </sheets>
  <externalReferences>
    <externalReference r:id="rId44"/>
    <externalReference r:id="rId45"/>
  </externalReferences>
  <definedNames>
    <definedName name="Average_emission_factor">'[1]Electricity emissions'!$H$38</definedName>
    <definedName name="footnote500011" localSheetId="11">FloorAreaPer!$A$170</definedName>
    <definedName name="_xlnm.Print_Area" localSheetId="13">Building!$A$1:$AN$66</definedName>
    <definedName name="_xlnm.Print_Area" localSheetId="4">Household_Pred!$A$1:$D$27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51" i="55" l="1"/>
  <c r="AU51" i="55"/>
  <c r="AT51" i="55"/>
  <c r="AS51" i="55"/>
  <c r="AR51" i="55"/>
  <c r="AQ51" i="55"/>
  <c r="AP51" i="55"/>
  <c r="AO51" i="55"/>
  <c r="AN51" i="55"/>
  <c r="AM51" i="55"/>
  <c r="AL51" i="55"/>
  <c r="AK51" i="55"/>
  <c r="AJ51" i="55"/>
  <c r="AI51" i="55"/>
  <c r="AH51"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D51" i="25"/>
  <c r="E51" i="25"/>
  <c r="F51" i="25"/>
  <c r="G51" i="25"/>
  <c r="H51" i="25"/>
  <c r="I51" i="25"/>
  <c r="J51" i="25"/>
  <c r="K51" i="25"/>
  <c r="L51" i="25"/>
  <c r="M51" i="25"/>
  <c r="N51" i="25"/>
  <c r="O51" i="25"/>
  <c r="P51" i="25"/>
  <c r="Q51" i="25"/>
  <c r="R51" i="25"/>
  <c r="S51" i="25"/>
  <c r="T51" i="25"/>
  <c r="U51" i="25"/>
  <c r="V51" i="25"/>
  <c r="W51" i="25"/>
  <c r="X51" i="25"/>
  <c r="Y51" i="25"/>
  <c r="Z51" i="25"/>
  <c r="AA51" i="25"/>
  <c r="AB51" i="25"/>
  <c r="AC51" i="25"/>
  <c r="AD51" i="25"/>
  <c r="AE51" i="25"/>
  <c r="AF51" i="25"/>
  <c r="AG51" i="25"/>
  <c r="AH51" i="25"/>
  <c r="AI51" i="25"/>
  <c r="AJ51" i="25"/>
  <c r="AK51" i="25"/>
  <c r="AL51" i="25"/>
  <c r="AM51" i="25"/>
  <c r="AN51" i="25"/>
  <c r="AO51" i="25"/>
  <c r="AP51" i="25"/>
  <c r="AQ51" i="25"/>
  <c r="AR51" i="25"/>
  <c r="AS51" i="25"/>
  <c r="AT51" i="25"/>
  <c r="AU51" i="25"/>
  <c r="C51" i="25"/>
  <c r="AU49" i="55"/>
  <c r="AT49" i="55"/>
  <c r="AS49" i="55"/>
  <c r="AR49" i="55"/>
  <c r="AQ49" i="55"/>
  <c r="AP49" i="55"/>
  <c r="AO49" i="55"/>
  <c r="AN49" i="55"/>
  <c r="AM49" i="55"/>
  <c r="AL49" i="55"/>
  <c r="AK49" i="55"/>
  <c r="AJ49" i="55"/>
  <c r="AI49" i="55"/>
  <c r="AH49"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D49" i="26"/>
  <c r="E49" i="26"/>
  <c r="F49" i="26"/>
  <c r="G49" i="26"/>
  <c r="H49" i="26"/>
  <c r="I49" i="26"/>
  <c r="J49" i="26"/>
  <c r="K49" i="26"/>
  <c r="L49" i="26"/>
  <c r="M49" i="26"/>
  <c r="N49" i="26"/>
  <c r="O49" i="26"/>
  <c r="P49" i="26"/>
  <c r="Q49" i="26"/>
  <c r="R49" i="26"/>
  <c r="S49" i="26"/>
  <c r="T49" i="26"/>
  <c r="U49" i="26"/>
  <c r="V49" i="26"/>
  <c r="W49" i="26"/>
  <c r="X49" i="26"/>
  <c r="Y49" i="26"/>
  <c r="Z49" i="26"/>
  <c r="AA49" i="26"/>
  <c r="AB49" i="26"/>
  <c r="AC49" i="26"/>
  <c r="AD49" i="26"/>
  <c r="AE49" i="26"/>
  <c r="AF49" i="26"/>
  <c r="AG49" i="26"/>
  <c r="AH49" i="26"/>
  <c r="AI49" i="26"/>
  <c r="AJ49" i="26"/>
  <c r="AK49" i="26"/>
  <c r="AL49" i="26"/>
  <c r="AM49" i="26"/>
  <c r="AN49" i="26"/>
  <c r="AO49" i="26"/>
  <c r="AP49" i="26"/>
  <c r="AQ49" i="26"/>
  <c r="AR49" i="26"/>
  <c r="AS49" i="26"/>
  <c r="AT49" i="26"/>
  <c r="AU49" i="26"/>
  <c r="C49" i="26"/>
  <c r="AU48" i="55"/>
  <c r="AT48" i="55"/>
  <c r="AS48" i="55"/>
  <c r="AR48" i="55"/>
  <c r="AQ48" i="55"/>
  <c r="AP48" i="55"/>
  <c r="AO48" i="55"/>
  <c r="AN48" i="55"/>
  <c r="AM48" i="55"/>
  <c r="AL48" i="55"/>
  <c r="AK48" i="55"/>
  <c r="AJ48" i="55"/>
  <c r="AI48" i="55"/>
  <c r="AH48"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D48" i="26"/>
  <c r="E48" i="26"/>
  <c r="F48" i="26"/>
  <c r="G48" i="26"/>
  <c r="H48" i="26"/>
  <c r="I48" i="26"/>
  <c r="J48" i="26"/>
  <c r="K48" i="26"/>
  <c r="L48" i="26"/>
  <c r="M48" i="26"/>
  <c r="N48" i="26"/>
  <c r="O48" i="26"/>
  <c r="P48" i="26"/>
  <c r="Q48" i="26"/>
  <c r="R48" i="26"/>
  <c r="S48" i="26"/>
  <c r="T48" i="26"/>
  <c r="U48" i="26"/>
  <c r="V48" i="26"/>
  <c r="W48" i="26"/>
  <c r="X48" i="26"/>
  <c r="Y48" i="26"/>
  <c r="Z48" i="26"/>
  <c r="AA48" i="26"/>
  <c r="AB48" i="26"/>
  <c r="AC48" i="26"/>
  <c r="AD48" i="26"/>
  <c r="AE48" i="26"/>
  <c r="AF48" i="26"/>
  <c r="AG48" i="26"/>
  <c r="AH48" i="26"/>
  <c r="AI48" i="26"/>
  <c r="AJ48" i="26"/>
  <c r="AK48" i="26"/>
  <c r="AL48" i="26"/>
  <c r="AM48" i="26"/>
  <c r="AN48" i="26"/>
  <c r="AO48" i="26"/>
  <c r="AP48" i="26"/>
  <c r="AQ48" i="26"/>
  <c r="AR48" i="26"/>
  <c r="AS48" i="26"/>
  <c r="AT48" i="26"/>
  <c r="AU48" i="26"/>
  <c r="C48" i="26"/>
  <c r="X3" i="14"/>
  <c r="AL3" i="14"/>
  <c r="AN3" i="14"/>
  <c r="E13" i="14"/>
  <c r="E1" i="35" l="1"/>
  <c r="F1" i="35"/>
  <c r="G1" i="35"/>
  <c r="H1" i="35"/>
  <c r="I1" i="35"/>
  <c r="J1" i="35"/>
  <c r="K1" i="35"/>
  <c r="L1" i="35"/>
  <c r="M1" i="35"/>
  <c r="N1" i="35"/>
  <c r="O1" i="35"/>
  <c r="P1" i="35"/>
  <c r="Q1" i="35"/>
  <c r="R1" i="35"/>
  <c r="S1" i="35"/>
  <c r="T1" i="35"/>
  <c r="U1" i="35"/>
  <c r="V1" i="35"/>
  <c r="W1" i="35"/>
  <c r="X1" i="35"/>
  <c r="Y1" i="35"/>
  <c r="Z1" i="35"/>
  <c r="AA1" i="35"/>
  <c r="AB1" i="35"/>
  <c r="AC1" i="35"/>
  <c r="AD1" i="35"/>
  <c r="AE1" i="35"/>
  <c r="AF1" i="35"/>
  <c r="AG1" i="35"/>
  <c r="AH1" i="35"/>
  <c r="AI1" i="35"/>
  <c r="AJ1" i="35"/>
  <c r="AK1" i="35"/>
  <c r="AL1" i="35"/>
  <c r="C1" i="35"/>
  <c r="D1" i="35"/>
  <c r="C1" i="44" l="1"/>
  <c r="D1" i="44"/>
  <c r="E1" i="44"/>
  <c r="F1" i="44"/>
  <c r="G1" i="44"/>
  <c r="H1" i="44"/>
  <c r="I1" i="44"/>
  <c r="J1" i="44"/>
  <c r="K1" i="44"/>
  <c r="L1" i="44"/>
  <c r="M1" i="44"/>
  <c r="N1" i="44"/>
  <c r="O1" i="44"/>
  <c r="P1" i="44"/>
  <c r="Q1" i="44"/>
  <c r="R1" i="44"/>
  <c r="S1" i="44"/>
  <c r="T1" i="44"/>
  <c r="U1" i="44"/>
  <c r="V1" i="44"/>
  <c r="W1" i="44"/>
  <c r="X1" i="44"/>
  <c r="Y1" i="44"/>
  <c r="Z1" i="44"/>
  <c r="AA1" i="44"/>
  <c r="AB1" i="44"/>
  <c r="AC1" i="44"/>
  <c r="AD1" i="44"/>
  <c r="AE1" i="44"/>
  <c r="AF1" i="44"/>
  <c r="AG1" i="44"/>
  <c r="AH1" i="44"/>
  <c r="AI1" i="44"/>
  <c r="AJ1" i="44"/>
  <c r="AK1" i="44"/>
  <c r="AL1" i="44"/>
  <c r="B1" i="44"/>
  <c r="A2" i="44"/>
  <c r="A3" i="44"/>
  <c r="A4" i="44"/>
  <c r="A5" i="44"/>
  <c r="A6" i="44"/>
  <c r="A7" i="44"/>
  <c r="A1" i="44"/>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AF1" i="43"/>
  <c r="AG1" i="43"/>
  <c r="AH1" i="43"/>
  <c r="AI1" i="43"/>
  <c r="AJ1" i="43"/>
  <c r="AK1" i="43"/>
  <c r="AL1" i="43"/>
  <c r="B1" i="43"/>
  <c r="A2" i="43"/>
  <c r="A3" i="43"/>
  <c r="A4" i="43"/>
  <c r="A5" i="43"/>
  <c r="A6" i="43"/>
  <c r="A7" i="43"/>
  <c r="A1" i="43"/>
  <c r="C1" i="42"/>
  <c r="D1" i="42"/>
  <c r="E1" i="42"/>
  <c r="F1" i="42"/>
  <c r="G1" i="42"/>
  <c r="H1" i="42"/>
  <c r="I1" i="42"/>
  <c r="J1" i="42"/>
  <c r="K1" i="42"/>
  <c r="L1" i="42"/>
  <c r="M1" i="42"/>
  <c r="N1" i="42"/>
  <c r="O1" i="42"/>
  <c r="P1" i="42"/>
  <c r="Q1" i="42"/>
  <c r="R1" i="42"/>
  <c r="S1" i="42"/>
  <c r="T1" i="42"/>
  <c r="U1" i="42"/>
  <c r="V1" i="42"/>
  <c r="W1" i="42"/>
  <c r="X1" i="42"/>
  <c r="Y1" i="42"/>
  <c r="Z1" i="42"/>
  <c r="AA1" i="42"/>
  <c r="AB1" i="42"/>
  <c r="AC1" i="42"/>
  <c r="AD1" i="42"/>
  <c r="AE1" i="42"/>
  <c r="AF1" i="42"/>
  <c r="AG1" i="42"/>
  <c r="AH1" i="42"/>
  <c r="AI1" i="42"/>
  <c r="AJ1" i="42"/>
  <c r="AK1" i="42"/>
  <c r="AL1" i="42"/>
  <c r="B1" i="42"/>
  <c r="A2" i="42"/>
  <c r="A3" i="42"/>
  <c r="A4" i="42"/>
  <c r="A5" i="42"/>
  <c r="A6" i="42"/>
  <c r="A7" i="42"/>
  <c r="A1" i="42"/>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B1" i="41"/>
  <c r="A2" i="41"/>
  <c r="A3" i="41"/>
  <c r="A4" i="41"/>
  <c r="A5" i="41"/>
  <c r="A6" i="41"/>
  <c r="A7" i="41"/>
  <c r="A1" i="41"/>
  <c r="C1" i="40"/>
  <c r="D1" i="40"/>
  <c r="E1" i="40"/>
  <c r="F1" i="40"/>
  <c r="G1" i="40"/>
  <c r="H1" i="40"/>
  <c r="I1" i="40"/>
  <c r="J1" i="40"/>
  <c r="K1" i="40"/>
  <c r="L1" i="40"/>
  <c r="M1" i="40"/>
  <c r="N1" i="40"/>
  <c r="O1" i="40"/>
  <c r="P1" i="40"/>
  <c r="Q1" i="40"/>
  <c r="R1" i="40"/>
  <c r="S1" i="40"/>
  <c r="T1" i="40"/>
  <c r="U1" i="40"/>
  <c r="V1" i="40"/>
  <c r="W1" i="40"/>
  <c r="X1" i="40"/>
  <c r="Y1" i="40"/>
  <c r="Z1" i="40"/>
  <c r="AA1" i="40"/>
  <c r="AB1" i="40"/>
  <c r="AC1" i="40"/>
  <c r="AD1" i="40"/>
  <c r="AE1" i="40"/>
  <c r="AF1" i="40"/>
  <c r="AG1" i="40"/>
  <c r="AH1" i="40"/>
  <c r="AI1" i="40"/>
  <c r="AJ1" i="40"/>
  <c r="AK1" i="40"/>
  <c r="AL1" i="40"/>
  <c r="A2" i="40"/>
  <c r="A3" i="40"/>
  <c r="A4" i="40"/>
  <c r="A5" i="40"/>
  <c r="A6" i="40"/>
  <c r="A7" i="40"/>
  <c r="B1" i="40"/>
  <c r="A1" i="40"/>
  <c r="AU16" i="53"/>
  <c r="AU17" i="53" s="1"/>
  <c r="AU18" i="53" s="1"/>
  <c r="AU19" i="53" s="1"/>
  <c r="AU20" i="53" s="1"/>
  <c r="AU21" i="53" s="1"/>
  <c r="AU22" i="53" s="1"/>
  <c r="AU23" i="53" s="1"/>
  <c r="AU24" i="53" s="1"/>
  <c r="AU25" i="53" s="1"/>
  <c r="AU26" i="53" s="1"/>
  <c r="AU27" i="53" s="1"/>
  <c r="AU28" i="53" s="1"/>
  <c r="AU29" i="53" s="1"/>
  <c r="AU30" i="53" s="1"/>
  <c r="AU31" i="53" s="1"/>
  <c r="AU32" i="53" s="1"/>
  <c r="AU33" i="53" s="1"/>
  <c r="AU34" i="53" s="1"/>
  <c r="AU35" i="53" s="1"/>
  <c r="AU36" i="53" s="1"/>
  <c r="AU37" i="53" s="1"/>
  <c r="AU38" i="53" s="1"/>
  <c r="AU39" i="53" s="1"/>
  <c r="AU40" i="53" s="1"/>
  <c r="AU41" i="53" s="1"/>
  <c r="AU42" i="53" s="1"/>
  <c r="AU43" i="53" s="1"/>
  <c r="AU44" i="53" s="1"/>
  <c r="AU45" i="53" s="1"/>
  <c r="AU46" i="53" s="1"/>
  <c r="AU47" i="53" s="1"/>
  <c r="AU48" i="53" s="1"/>
  <c r="AU49" i="53" s="1"/>
  <c r="AT16" i="53"/>
  <c r="AT17" i="53" s="1"/>
  <c r="AT18" i="53" s="1"/>
  <c r="AT19" i="53" s="1"/>
  <c r="AT20" i="53" s="1"/>
  <c r="AT21" i="53" s="1"/>
  <c r="AT22" i="53" s="1"/>
  <c r="AT23" i="53" s="1"/>
  <c r="AT24" i="53" s="1"/>
  <c r="AT25" i="53" s="1"/>
  <c r="AT26" i="53" s="1"/>
  <c r="AT27" i="53" s="1"/>
  <c r="AT28" i="53" s="1"/>
  <c r="AT29" i="53" s="1"/>
  <c r="AT30" i="53" s="1"/>
  <c r="AT31" i="53" s="1"/>
  <c r="AT32" i="53" s="1"/>
  <c r="AT33" i="53" s="1"/>
  <c r="AT34" i="53" s="1"/>
  <c r="AT35" i="53" s="1"/>
  <c r="AT36" i="53" s="1"/>
  <c r="AT37" i="53" s="1"/>
  <c r="AT38" i="53" s="1"/>
  <c r="AT39" i="53" s="1"/>
  <c r="AT40" i="53" s="1"/>
  <c r="AT41" i="53" s="1"/>
  <c r="AT42" i="53" s="1"/>
  <c r="AT43" i="53" s="1"/>
  <c r="AT44" i="53" s="1"/>
  <c r="AT45" i="53" s="1"/>
  <c r="AT46" i="53" s="1"/>
  <c r="AT47" i="53" s="1"/>
  <c r="AT48" i="53" s="1"/>
  <c r="AT49" i="53" s="1"/>
  <c r="AK16" i="53"/>
  <c r="AK17" i="53" s="1"/>
  <c r="AK18" i="53" s="1"/>
  <c r="AK19" i="53" s="1"/>
  <c r="AK20" i="53" s="1"/>
  <c r="AK21" i="53" s="1"/>
  <c r="AK22" i="53" s="1"/>
  <c r="AK23" i="53" s="1"/>
  <c r="AK24" i="53" s="1"/>
  <c r="AK25" i="53" s="1"/>
  <c r="AK26" i="53" s="1"/>
  <c r="AK27" i="53" s="1"/>
  <c r="AK28" i="53" s="1"/>
  <c r="AK29" i="53" s="1"/>
  <c r="AK30" i="53" s="1"/>
  <c r="AK31" i="53" s="1"/>
  <c r="AK32" i="53" s="1"/>
  <c r="AK33" i="53" s="1"/>
  <c r="AK34" i="53" s="1"/>
  <c r="AK35" i="53" s="1"/>
  <c r="AK36" i="53" s="1"/>
  <c r="AK37" i="53" s="1"/>
  <c r="AK38" i="53" s="1"/>
  <c r="AK39" i="53" s="1"/>
  <c r="AK40" i="53" s="1"/>
  <c r="AK41" i="53" s="1"/>
  <c r="AK42" i="53" s="1"/>
  <c r="AK43" i="53" s="1"/>
  <c r="AK44" i="53" s="1"/>
  <c r="AK45" i="53" s="1"/>
  <c r="AK46" i="53" s="1"/>
  <c r="AK47" i="53" s="1"/>
  <c r="AK48" i="53" s="1"/>
  <c r="AK49" i="53" s="1"/>
  <c r="AJ16" i="53"/>
  <c r="AJ17" i="53" s="1"/>
  <c r="AJ18" i="53" s="1"/>
  <c r="AJ19" i="53" s="1"/>
  <c r="AJ20" i="53" s="1"/>
  <c r="AJ21" i="53" s="1"/>
  <c r="AJ22" i="53" s="1"/>
  <c r="AJ23" i="53" s="1"/>
  <c r="AJ24" i="53" s="1"/>
  <c r="AJ25" i="53" s="1"/>
  <c r="AJ26" i="53" s="1"/>
  <c r="AJ27" i="53" s="1"/>
  <c r="AJ28" i="53" s="1"/>
  <c r="AJ29" i="53" s="1"/>
  <c r="AJ30" i="53" s="1"/>
  <c r="AJ31" i="53" s="1"/>
  <c r="AJ32" i="53" s="1"/>
  <c r="AJ33" i="53" s="1"/>
  <c r="AJ34" i="53" s="1"/>
  <c r="AJ35" i="53" s="1"/>
  <c r="AJ36" i="53" s="1"/>
  <c r="AJ37" i="53" s="1"/>
  <c r="AJ38" i="53" s="1"/>
  <c r="AJ39" i="53" s="1"/>
  <c r="AJ40" i="53" s="1"/>
  <c r="AJ41" i="53" s="1"/>
  <c r="AJ42" i="53" s="1"/>
  <c r="AJ43" i="53" s="1"/>
  <c r="AJ44" i="53" s="1"/>
  <c r="AJ45" i="53" s="1"/>
  <c r="AJ46" i="53" s="1"/>
  <c r="AJ47" i="53" s="1"/>
  <c r="AJ48" i="53" s="1"/>
  <c r="AJ49" i="53" s="1"/>
  <c r="AA16" i="53"/>
  <c r="AA17" i="53" s="1"/>
  <c r="AA18" i="53" s="1"/>
  <c r="AA19" i="53" s="1"/>
  <c r="AA20" i="53" s="1"/>
  <c r="AA21" i="53" s="1"/>
  <c r="AA22" i="53" s="1"/>
  <c r="AA23" i="53" s="1"/>
  <c r="AA24" i="53" s="1"/>
  <c r="AA25" i="53" s="1"/>
  <c r="AA26" i="53" s="1"/>
  <c r="AA27" i="53" s="1"/>
  <c r="AA28" i="53" s="1"/>
  <c r="AA29" i="53" s="1"/>
  <c r="AA30" i="53" s="1"/>
  <c r="AA31" i="53" s="1"/>
  <c r="AA32" i="53" s="1"/>
  <c r="AA33" i="53" s="1"/>
  <c r="AA34" i="53" s="1"/>
  <c r="AA35" i="53" s="1"/>
  <c r="AA36" i="53" s="1"/>
  <c r="AA37" i="53" s="1"/>
  <c r="AA38" i="53" s="1"/>
  <c r="AA39" i="53" s="1"/>
  <c r="AA40" i="53" s="1"/>
  <c r="AA41" i="53" s="1"/>
  <c r="AA42" i="53" s="1"/>
  <c r="AA43" i="53" s="1"/>
  <c r="AA44" i="53" s="1"/>
  <c r="AA45" i="53" s="1"/>
  <c r="AA46" i="53" s="1"/>
  <c r="AA47" i="53" s="1"/>
  <c r="AA48" i="53" s="1"/>
  <c r="AA49" i="53" s="1"/>
  <c r="Z16" i="53"/>
  <c r="Z17" i="53" s="1"/>
  <c r="Z18" i="53" s="1"/>
  <c r="Z19" i="53" s="1"/>
  <c r="Z20" i="53" s="1"/>
  <c r="Z21" i="53" s="1"/>
  <c r="Z22" i="53" s="1"/>
  <c r="Z23" i="53" s="1"/>
  <c r="Z24" i="53" s="1"/>
  <c r="Z25" i="53" s="1"/>
  <c r="Z26" i="53" s="1"/>
  <c r="Z27" i="53" s="1"/>
  <c r="Z28" i="53" s="1"/>
  <c r="Z29" i="53" s="1"/>
  <c r="Z30" i="53" s="1"/>
  <c r="Z31" i="53" s="1"/>
  <c r="Z32" i="53" s="1"/>
  <c r="Z33" i="53" s="1"/>
  <c r="Z34" i="53" s="1"/>
  <c r="Z35" i="53" s="1"/>
  <c r="Z36" i="53" s="1"/>
  <c r="Z37" i="53" s="1"/>
  <c r="Z38" i="53" s="1"/>
  <c r="Z39" i="53" s="1"/>
  <c r="Z40" i="53" s="1"/>
  <c r="Z41" i="53" s="1"/>
  <c r="Z42" i="53" s="1"/>
  <c r="Z43" i="53" s="1"/>
  <c r="Z44" i="53" s="1"/>
  <c r="Z45" i="53" s="1"/>
  <c r="Z46" i="53" s="1"/>
  <c r="Z47" i="53" s="1"/>
  <c r="Z48" i="53" s="1"/>
  <c r="Z49" i="53" s="1"/>
  <c r="Y16" i="53"/>
  <c r="Y17" i="53" s="1"/>
  <c r="Y18" i="53" s="1"/>
  <c r="Y19" i="53" s="1"/>
  <c r="Y20" i="53" s="1"/>
  <c r="Y21" i="53" s="1"/>
  <c r="Y22" i="53" s="1"/>
  <c r="Y23" i="53" s="1"/>
  <c r="Y24" i="53" s="1"/>
  <c r="Y25" i="53" s="1"/>
  <c r="Y26" i="53" s="1"/>
  <c r="Y27" i="53" s="1"/>
  <c r="Y28" i="53" s="1"/>
  <c r="Y29" i="53" s="1"/>
  <c r="Y30" i="53" s="1"/>
  <c r="Y31" i="53" s="1"/>
  <c r="Y32" i="53" s="1"/>
  <c r="Y33" i="53" s="1"/>
  <c r="Y34" i="53" s="1"/>
  <c r="Y35" i="53" s="1"/>
  <c r="Y36" i="53" s="1"/>
  <c r="Y37" i="53" s="1"/>
  <c r="Y38" i="53" s="1"/>
  <c r="Y39" i="53" s="1"/>
  <c r="Y40" i="53" s="1"/>
  <c r="Y41" i="53" s="1"/>
  <c r="Y42" i="53" s="1"/>
  <c r="Y43" i="53" s="1"/>
  <c r="Y44" i="53" s="1"/>
  <c r="Y45" i="53" s="1"/>
  <c r="Y46" i="53" s="1"/>
  <c r="Y47" i="53" s="1"/>
  <c r="Y48" i="53" s="1"/>
  <c r="Y49" i="53" s="1"/>
  <c r="X16" i="53"/>
  <c r="X17" i="53" s="1"/>
  <c r="X18" i="53" s="1"/>
  <c r="X19" i="53" s="1"/>
  <c r="X20" i="53" s="1"/>
  <c r="X21" i="53" s="1"/>
  <c r="X22" i="53" s="1"/>
  <c r="X23" i="53" s="1"/>
  <c r="X24" i="53" s="1"/>
  <c r="X25" i="53" s="1"/>
  <c r="X26" i="53" s="1"/>
  <c r="X27" i="53" s="1"/>
  <c r="X28" i="53" s="1"/>
  <c r="X29" i="53" s="1"/>
  <c r="X30" i="53" s="1"/>
  <c r="X31" i="53" s="1"/>
  <c r="X32" i="53" s="1"/>
  <c r="X33" i="53" s="1"/>
  <c r="X34" i="53" s="1"/>
  <c r="X35" i="53" s="1"/>
  <c r="X36" i="53" s="1"/>
  <c r="X37" i="53" s="1"/>
  <c r="X38" i="53" s="1"/>
  <c r="X39" i="53" s="1"/>
  <c r="X40" i="53" s="1"/>
  <c r="X41" i="53" s="1"/>
  <c r="X42" i="53" s="1"/>
  <c r="X43" i="53" s="1"/>
  <c r="X44" i="53" s="1"/>
  <c r="X45" i="53" s="1"/>
  <c r="X46" i="53" s="1"/>
  <c r="X47" i="53" s="1"/>
  <c r="X48" i="53" s="1"/>
  <c r="X49" i="53" s="1"/>
  <c r="W16" i="53"/>
  <c r="W17" i="53" s="1"/>
  <c r="W18" i="53" s="1"/>
  <c r="W19" i="53" s="1"/>
  <c r="W20" i="53" s="1"/>
  <c r="W21" i="53" s="1"/>
  <c r="W22" i="53" s="1"/>
  <c r="W23" i="53" s="1"/>
  <c r="W24" i="53" s="1"/>
  <c r="W25" i="53" s="1"/>
  <c r="W26" i="53" s="1"/>
  <c r="W27" i="53" s="1"/>
  <c r="W28" i="53" s="1"/>
  <c r="W29" i="53" s="1"/>
  <c r="W30" i="53" s="1"/>
  <c r="W31" i="53" s="1"/>
  <c r="W32" i="53" s="1"/>
  <c r="W33" i="53" s="1"/>
  <c r="W34" i="53" s="1"/>
  <c r="W35" i="53" s="1"/>
  <c r="W36" i="53" s="1"/>
  <c r="W37" i="53" s="1"/>
  <c r="W38" i="53" s="1"/>
  <c r="W39" i="53" s="1"/>
  <c r="W40" i="53" s="1"/>
  <c r="W41" i="53" s="1"/>
  <c r="W42" i="53" s="1"/>
  <c r="W43" i="53" s="1"/>
  <c r="W44" i="53" s="1"/>
  <c r="W45" i="53" s="1"/>
  <c r="W46" i="53" s="1"/>
  <c r="W47" i="53" s="1"/>
  <c r="W48" i="53" s="1"/>
  <c r="W49" i="53" s="1"/>
  <c r="V16" i="53"/>
  <c r="Q16" i="53"/>
  <c r="Q17" i="53" s="1"/>
  <c r="Q18" i="53" s="1"/>
  <c r="Q19" i="53" s="1"/>
  <c r="Q20" i="53" s="1"/>
  <c r="Q21" i="53" s="1"/>
  <c r="Q22" i="53" s="1"/>
  <c r="Q23" i="53" s="1"/>
  <c r="Q24" i="53" s="1"/>
  <c r="Q25" i="53" s="1"/>
  <c r="Q26" i="53" s="1"/>
  <c r="Q27" i="53" s="1"/>
  <c r="Q28" i="53" s="1"/>
  <c r="Q29" i="53" s="1"/>
  <c r="Q30" i="53" s="1"/>
  <c r="Q31" i="53" s="1"/>
  <c r="Q32" i="53" s="1"/>
  <c r="Q33" i="53" s="1"/>
  <c r="Q34" i="53" s="1"/>
  <c r="Q35" i="53" s="1"/>
  <c r="Q36" i="53" s="1"/>
  <c r="Q37" i="53" s="1"/>
  <c r="Q38" i="53" s="1"/>
  <c r="Q39" i="53" s="1"/>
  <c r="Q40" i="53" s="1"/>
  <c r="Q41" i="53" s="1"/>
  <c r="Q42" i="53" s="1"/>
  <c r="Q43" i="53" s="1"/>
  <c r="Q44" i="53" s="1"/>
  <c r="Q45" i="53" s="1"/>
  <c r="Q46" i="53" s="1"/>
  <c r="Q47" i="53" s="1"/>
  <c r="Q48" i="53" s="1"/>
  <c r="Q49" i="53" s="1"/>
  <c r="P16" i="53"/>
  <c r="P17" i="53" s="1"/>
  <c r="P18" i="53" s="1"/>
  <c r="P19" i="53" s="1"/>
  <c r="P20" i="53" s="1"/>
  <c r="P21" i="53" s="1"/>
  <c r="P22" i="53" s="1"/>
  <c r="P23" i="53" s="1"/>
  <c r="P24" i="53" s="1"/>
  <c r="P25" i="53" s="1"/>
  <c r="P26" i="53" s="1"/>
  <c r="P27" i="53" s="1"/>
  <c r="P28" i="53" s="1"/>
  <c r="P29" i="53" s="1"/>
  <c r="P30" i="53" s="1"/>
  <c r="P31" i="53" s="1"/>
  <c r="P32" i="53" s="1"/>
  <c r="P33" i="53" s="1"/>
  <c r="P34" i="53" s="1"/>
  <c r="P35" i="53" s="1"/>
  <c r="P36" i="53" s="1"/>
  <c r="P37" i="53" s="1"/>
  <c r="P38" i="53" s="1"/>
  <c r="P39" i="53" s="1"/>
  <c r="P40" i="53" s="1"/>
  <c r="P41" i="53" s="1"/>
  <c r="P42" i="53" s="1"/>
  <c r="P43" i="53" s="1"/>
  <c r="P44" i="53" s="1"/>
  <c r="P45" i="53" s="1"/>
  <c r="P46" i="53" s="1"/>
  <c r="P47" i="53" s="1"/>
  <c r="P48" i="53" s="1"/>
  <c r="P49" i="53" s="1"/>
  <c r="G16" i="53"/>
  <c r="G17" i="53" s="1"/>
  <c r="G18" i="53" s="1"/>
  <c r="G19" i="53" s="1"/>
  <c r="G20" i="53" s="1"/>
  <c r="G21" i="53" s="1"/>
  <c r="G22" i="53" s="1"/>
  <c r="G23" i="53" s="1"/>
  <c r="G24" i="53" s="1"/>
  <c r="G25" i="53" s="1"/>
  <c r="G26" i="53" s="1"/>
  <c r="G27" i="53" s="1"/>
  <c r="G28" i="53" s="1"/>
  <c r="G29" i="53" s="1"/>
  <c r="G30" i="53" s="1"/>
  <c r="G31" i="53" s="1"/>
  <c r="G32" i="53" s="1"/>
  <c r="G33" i="53" s="1"/>
  <c r="G34" i="53" s="1"/>
  <c r="G35" i="53" s="1"/>
  <c r="G36" i="53" s="1"/>
  <c r="G37" i="53" s="1"/>
  <c r="G38" i="53" s="1"/>
  <c r="G39" i="53" s="1"/>
  <c r="G40" i="53" s="1"/>
  <c r="G41" i="53" s="1"/>
  <c r="G42" i="53" s="1"/>
  <c r="G43" i="53" s="1"/>
  <c r="G44" i="53" s="1"/>
  <c r="G45" i="53" s="1"/>
  <c r="G46" i="53" s="1"/>
  <c r="G47" i="53" s="1"/>
  <c r="G48" i="53" s="1"/>
  <c r="G49" i="53" s="1"/>
  <c r="F16" i="53"/>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G10" i="53"/>
  <c r="F10" i="53"/>
  <c r="G9" i="53"/>
  <c r="F9" i="53"/>
  <c r="G8" i="53"/>
  <c r="F8" i="53"/>
  <c r="G7" i="53"/>
  <c r="F7" i="53"/>
  <c r="G6" i="53"/>
  <c r="F6" i="53"/>
  <c r="C1" i="39"/>
  <c r="D1" i="39"/>
  <c r="E1" i="39"/>
  <c r="F1" i="39"/>
  <c r="G1" i="39"/>
  <c r="H1" i="39"/>
  <c r="I1" i="39"/>
  <c r="J1" i="39"/>
  <c r="K1" i="39"/>
  <c r="L1" i="39"/>
  <c r="M1" i="39"/>
  <c r="N1" i="39"/>
  <c r="O1" i="39"/>
  <c r="P1" i="39"/>
  <c r="Q1" i="39"/>
  <c r="R1" i="39"/>
  <c r="S1" i="39"/>
  <c r="T1" i="39"/>
  <c r="U1" i="39"/>
  <c r="V1" i="39"/>
  <c r="W1" i="39"/>
  <c r="X1" i="39"/>
  <c r="Y1" i="39"/>
  <c r="Z1" i="39"/>
  <c r="AA1" i="39"/>
  <c r="AB1" i="39"/>
  <c r="AC1" i="39"/>
  <c r="AD1" i="39"/>
  <c r="AE1" i="39"/>
  <c r="AF1" i="39"/>
  <c r="AG1" i="39"/>
  <c r="AH1" i="39"/>
  <c r="AI1" i="39"/>
  <c r="AJ1" i="39"/>
  <c r="AK1" i="39"/>
  <c r="AL1" i="39"/>
  <c r="B1" i="39"/>
  <c r="A2" i="39"/>
  <c r="A3" i="39"/>
  <c r="A4" i="39"/>
  <c r="A5" i="39"/>
  <c r="A6" i="39"/>
  <c r="A7" i="39"/>
  <c r="A1" i="39"/>
  <c r="C1" i="38"/>
  <c r="D1" i="38"/>
  <c r="E1" i="38"/>
  <c r="F1" i="38"/>
  <c r="G1" i="38"/>
  <c r="H1" i="38"/>
  <c r="I1" i="38"/>
  <c r="J1" i="38"/>
  <c r="K1" i="38"/>
  <c r="L1" i="38"/>
  <c r="M1" i="38"/>
  <c r="N1" i="38"/>
  <c r="O1" i="38"/>
  <c r="P1" i="38"/>
  <c r="Q1" i="38"/>
  <c r="R1" i="38"/>
  <c r="S1" i="38"/>
  <c r="T1" i="38"/>
  <c r="U1" i="38"/>
  <c r="V1" i="38"/>
  <c r="W1" i="38"/>
  <c r="X1" i="38"/>
  <c r="Y1" i="38"/>
  <c r="Z1" i="38"/>
  <c r="AA1" i="38"/>
  <c r="AB1" i="38"/>
  <c r="AC1" i="38"/>
  <c r="AD1" i="38"/>
  <c r="AE1" i="38"/>
  <c r="AF1" i="38"/>
  <c r="AG1" i="38"/>
  <c r="AH1" i="38"/>
  <c r="AI1" i="38"/>
  <c r="AJ1" i="38"/>
  <c r="AK1" i="38"/>
  <c r="AL1" i="38"/>
  <c r="B1" i="38"/>
  <c r="A2" i="38"/>
  <c r="A3" i="38"/>
  <c r="A4" i="38"/>
  <c r="A5" i="38"/>
  <c r="A6" i="38"/>
  <c r="A7" i="38"/>
  <c r="A1" i="38"/>
  <c r="C1" i="32"/>
  <c r="D1" i="32"/>
  <c r="E1" i="32"/>
  <c r="F1" i="32"/>
  <c r="G1" i="32"/>
  <c r="H1" i="32"/>
  <c r="I1" i="32"/>
  <c r="J1" i="32"/>
  <c r="K1" i="32"/>
  <c r="L1" i="32"/>
  <c r="M1" i="32"/>
  <c r="N1" i="32"/>
  <c r="O1" i="32"/>
  <c r="P1" i="32"/>
  <c r="Q1" i="32"/>
  <c r="R1" i="32"/>
  <c r="S1" i="32"/>
  <c r="T1" i="32"/>
  <c r="U1" i="32"/>
  <c r="V1" i="32"/>
  <c r="W1" i="32"/>
  <c r="X1" i="32"/>
  <c r="Y1" i="32"/>
  <c r="Z1" i="32"/>
  <c r="AA1" i="32"/>
  <c r="AB1" i="32"/>
  <c r="AC1" i="32"/>
  <c r="AD1" i="32"/>
  <c r="AE1" i="32"/>
  <c r="AF1" i="32"/>
  <c r="AG1" i="32"/>
  <c r="AH1" i="32"/>
  <c r="AI1" i="32"/>
  <c r="AJ1" i="32"/>
  <c r="AK1" i="32"/>
  <c r="AL1" i="32"/>
  <c r="B1" i="32"/>
  <c r="A2" i="32"/>
  <c r="A3" i="32"/>
  <c r="A4" i="32"/>
  <c r="A5" i="32"/>
  <c r="A6" i="32"/>
  <c r="A7" i="32"/>
  <c r="A1" i="32"/>
  <c r="C1" i="33"/>
  <c r="D1" i="33"/>
  <c r="E1" i="33"/>
  <c r="F1" i="33"/>
  <c r="G1" i="33"/>
  <c r="H1" i="33"/>
  <c r="I1" i="33"/>
  <c r="J1" i="33"/>
  <c r="K1" i="33"/>
  <c r="L1" i="33"/>
  <c r="M1" i="33"/>
  <c r="N1" i="33"/>
  <c r="O1" i="33"/>
  <c r="P1" i="33"/>
  <c r="Q1" i="33"/>
  <c r="R1" i="33"/>
  <c r="S1" i="33"/>
  <c r="T1" i="33"/>
  <c r="U1" i="33"/>
  <c r="V1" i="33"/>
  <c r="W1" i="33"/>
  <c r="X1" i="33"/>
  <c r="Y1" i="33"/>
  <c r="Z1" i="33"/>
  <c r="AA1" i="33"/>
  <c r="AB1" i="33"/>
  <c r="AC1" i="33"/>
  <c r="AD1" i="33"/>
  <c r="AE1" i="33"/>
  <c r="AF1" i="33"/>
  <c r="AG1" i="33"/>
  <c r="AH1" i="33"/>
  <c r="AI1" i="33"/>
  <c r="AJ1" i="33"/>
  <c r="AK1" i="33"/>
  <c r="AL1" i="33"/>
  <c r="B1" i="33"/>
  <c r="A2" i="33"/>
  <c r="A3" i="33"/>
  <c r="A4" i="33"/>
  <c r="A5" i="33"/>
  <c r="A6" i="33"/>
  <c r="A7" i="33"/>
  <c r="A1" i="33"/>
  <c r="A2" i="35"/>
  <c r="A3" i="35"/>
  <c r="A4" i="35"/>
  <c r="A5" i="35"/>
  <c r="A6" i="35"/>
  <c r="A7" i="35"/>
  <c r="B1" i="35"/>
  <c r="A1" i="35"/>
  <c r="V17" i="53" l="1"/>
  <c r="V18" i="53" s="1"/>
  <c r="V19" i="53" s="1"/>
  <c r="V20" i="53" s="1"/>
  <c r="V21" i="53" s="1"/>
  <c r="V22" i="53" s="1"/>
  <c r="V23" i="53" s="1"/>
  <c r="V24" i="53" s="1"/>
  <c r="V25" i="53" s="1"/>
  <c r="V26" i="53" s="1"/>
  <c r="V27" i="53" s="1"/>
  <c r="V28" i="53" s="1"/>
  <c r="V29" i="53" s="1"/>
  <c r="V30" i="53" s="1"/>
  <c r="V31" i="53" s="1"/>
  <c r="V32" i="53" s="1"/>
  <c r="V33" i="53" s="1"/>
  <c r="V34" i="53" s="1"/>
  <c r="V35" i="53" s="1"/>
  <c r="V36" i="53" s="1"/>
  <c r="V37" i="53" s="1"/>
  <c r="V38" i="53" s="1"/>
  <c r="V39" i="53" s="1"/>
  <c r="V40" i="53" s="1"/>
  <c r="V41" i="53" s="1"/>
  <c r="V42" i="53" s="1"/>
  <c r="V43" i="53" s="1"/>
  <c r="V44" i="53" s="1"/>
  <c r="V45" i="53" s="1"/>
  <c r="V46" i="53" s="1"/>
  <c r="V47" i="53" s="1"/>
  <c r="V48" i="53" s="1"/>
  <c r="V49" i="53" s="1"/>
  <c r="C23" i="54" l="1" a="1"/>
  <c r="AT28" i="54" l="1"/>
  <c r="AP28" i="54"/>
  <c r="AL28" i="54"/>
  <c r="AH28" i="54"/>
  <c r="AD28" i="54"/>
  <c r="Z28" i="54"/>
  <c r="V28" i="54"/>
  <c r="R28" i="54"/>
  <c r="N28" i="54"/>
  <c r="J28" i="54"/>
  <c r="F28" i="54"/>
  <c r="AU27" i="54"/>
  <c r="AQ27" i="54"/>
  <c r="AM27" i="54"/>
  <c r="AI27" i="54"/>
  <c r="AE27" i="54"/>
  <c r="AA27" i="54"/>
  <c r="W27" i="54"/>
  <c r="S27" i="54"/>
  <c r="O27" i="54"/>
  <c r="K27" i="54"/>
  <c r="G27" i="54"/>
  <c r="C27" i="54"/>
  <c r="AR26" i="54"/>
  <c r="AN26" i="54"/>
  <c r="AJ26" i="54"/>
  <c r="AF26" i="54"/>
  <c r="AB26" i="54"/>
  <c r="X26" i="54"/>
  <c r="T26" i="54"/>
  <c r="P26" i="54"/>
  <c r="L26" i="54"/>
  <c r="H26" i="54"/>
  <c r="D26" i="54"/>
  <c r="AS25" i="54"/>
  <c r="AO25" i="54"/>
  <c r="AK25" i="54"/>
  <c r="AG25" i="54"/>
  <c r="AC25" i="54"/>
  <c r="Y25" i="54"/>
  <c r="U25" i="54"/>
  <c r="Q25" i="54"/>
  <c r="M25" i="54"/>
  <c r="I25" i="54"/>
  <c r="E25" i="54"/>
  <c r="AT24" i="54"/>
  <c r="AP24" i="54"/>
  <c r="AL24" i="54"/>
  <c r="AH24" i="54"/>
  <c r="AD24" i="54"/>
  <c r="Z24" i="54"/>
  <c r="V24" i="54"/>
  <c r="R24" i="54"/>
  <c r="N24" i="54"/>
  <c r="J24" i="54"/>
  <c r="F24" i="54"/>
  <c r="AU23" i="54"/>
  <c r="AQ23" i="54"/>
  <c r="AM23" i="54"/>
  <c r="AI23" i="54"/>
  <c r="AE23" i="54"/>
  <c r="AA23" i="54"/>
  <c r="W23" i="54"/>
  <c r="S23" i="54"/>
  <c r="O23" i="54"/>
  <c r="K23" i="54"/>
  <c r="G23" i="54"/>
  <c r="C23" i="54"/>
  <c r="AS28" i="54"/>
  <c r="AO28" i="54"/>
  <c r="AK28" i="54"/>
  <c r="AG28" i="54"/>
  <c r="AC28" i="54"/>
  <c r="Y28" i="54"/>
  <c r="U28" i="54"/>
  <c r="Q28" i="54"/>
  <c r="M28" i="54"/>
  <c r="I28" i="54"/>
  <c r="E28" i="54"/>
  <c r="AT27" i="54"/>
  <c r="AP27" i="54"/>
  <c r="AL27" i="54"/>
  <c r="AH27" i="54"/>
  <c r="AD27" i="54"/>
  <c r="Z27" i="54"/>
  <c r="V27" i="54"/>
  <c r="R27" i="54"/>
  <c r="N27" i="54"/>
  <c r="J27" i="54"/>
  <c r="F27" i="54"/>
  <c r="AU26" i="54"/>
  <c r="AQ26" i="54"/>
  <c r="AM26" i="54"/>
  <c r="AI26" i="54"/>
  <c r="AE26" i="54"/>
  <c r="AA26" i="54"/>
  <c r="W26" i="54"/>
  <c r="S26" i="54"/>
  <c r="O26" i="54"/>
  <c r="K26" i="54"/>
  <c r="G26" i="54"/>
  <c r="C26" i="54"/>
  <c r="AR25" i="54"/>
  <c r="AN25" i="54"/>
  <c r="AJ25" i="54"/>
  <c r="AF25" i="54"/>
  <c r="AB25" i="54"/>
  <c r="X25" i="54"/>
  <c r="T25" i="54"/>
  <c r="P25" i="54"/>
  <c r="L25" i="54"/>
  <c r="H25" i="54"/>
  <c r="D25" i="54"/>
  <c r="AS24" i="54"/>
  <c r="AO24" i="54"/>
  <c r="AK24" i="54"/>
  <c r="AG24" i="54"/>
  <c r="AC24" i="54"/>
  <c r="Y24" i="54"/>
  <c r="U24" i="54"/>
  <c r="Q24" i="54"/>
  <c r="M24" i="54"/>
  <c r="I24" i="54"/>
  <c r="E24" i="54"/>
  <c r="AT23" i="54"/>
  <c r="AP23" i="54"/>
  <c r="AL23" i="54"/>
  <c r="AH23" i="54"/>
  <c r="AD23" i="54"/>
  <c r="Z23" i="54"/>
  <c r="V23" i="54"/>
  <c r="R23" i="54"/>
  <c r="N23" i="54"/>
  <c r="J23" i="54"/>
  <c r="F23" i="54"/>
  <c r="AR28" i="54"/>
  <c r="AJ28" i="54"/>
  <c r="AB28" i="54"/>
  <c r="T28" i="54"/>
  <c r="L28" i="54"/>
  <c r="D28" i="54"/>
  <c r="AO27" i="54"/>
  <c r="AG27" i="54"/>
  <c r="Y27" i="54"/>
  <c r="Q27" i="54"/>
  <c r="I27" i="54"/>
  <c r="AT26" i="54"/>
  <c r="AL26" i="54"/>
  <c r="AD26" i="54"/>
  <c r="V26" i="54"/>
  <c r="N26" i="54"/>
  <c r="F26" i="54"/>
  <c r="AQ25" i="54"/>
  <c r="AI25" i="54"/>
  <c r="AA25" i="54"/>
  <c r="S25" i="54"/>
  <c r="K25" i="54"/>
  <c r="C25" i="54"/>
  <c r="AN24" i="54"/>
  <c r="AF24" i="54"/>
  <c r="X24" i="54"/>
  <c r="P24" i="54"/>
  <c r="H24" i="54"/>
  <c r="AS23" i="54"/>
  <c r="AK23" i="54"/>
  <c r="AC23" i="54"/>
  <c r="U23" i="54"/>
  <c r="M23" i="54"/>
  <c r="E23" i="54"/>
  <c r="AQ28" i="54"/>
  <c r="AI28" i="54"/>
  <c r="AA28" i="54"/>
  <c r="S28" i="54"/>
  <c r="K28" i="54"/>
  <c r="C28" i="54"/>
  <c r="AN27" i="54"/>
  <c r="AF27" i="54"/>
  <c r="X27" i="54"/>
  <c r="P27" i="54"/>
  <c r="H27" i="54"/>
  <c r="AS26" i="54"/>
  <c r="AK26" i="54"/>
  <c r="AC26" i="54"/>
  <c r="U26" i="54"/>
  <c r="M26" i="54"/>
  <c r="E26" i="54"/>
  <c r="AP25" i="54"/>
  <c r="AH25" i="54"/>
  <c r="Z25" i="54"/>
  <c r="R25" i="54"/>
  <c r="J25" i="54"/>
  <c r="AU24" i="54"/>
  <c r="AM24" i="54"/>
  <c r="AE24" i="54"/>
  <c r="W24" i="54"/>
  <c r="O24" i="54"/>
  <c r="G24" i="54"/>
  <c r="AR23" i="54"/>
  <c r="AJ23" i="54"/>
  <c r="AB23" i="54"/>
  <c r="T23" i="54"/>
  <c r="L23" i="54"/>
  <c r="D23" i="54"/>
  <c r="AN28" i="54"/>
  <c r="AF28" i="54"/>
  <c r="X28" i="54"/>
  <c r="P28" i="54"/>
  <c r="H28" i="54"/>
  <c r="AS27" i="54"/>
  <c r="AK27" i="54"/>
  <c r="AC27" i="54"/>
  <c r="U27" i="54"/>
  <c r="M27" i="54"/>
  <c r="E27" i="54"/>
  <c r="AP26" i="54"/>
  <c r="AH26" i="54"/>
  <c r="Z26" i="54"/>
  <c r="R26" i="54"/>
  <c r="J26" i="54"/>
  <c r="AU25" i="54"/>
  <c r="AM25" i="54"/>
  <c r="AE25" i="54"/>
  <c r="W25" i="54"/>
  <c r="O25" i="54"/>
  <c r="G25" i="54"/>
  <c r="AR24" i="54"/>
  <c r="AJ24" i="54"/>
  <c r="AB24" i="54"/>
  <c r="T24" i="54"/>
  <c r="L24" i="54"/>
  <c r="D24" i="54"/>
  <c r="AO23" i="54"/>
  <c r="AG23" i="54"/>
  <c r="Y23" i="54"/>
  <c r="Q23" i="54"/>
  <c r="I23" i="54"/>
  <c r="AU28" i="54"/>
  <c r="AM28" i="54"/>
  <c r="AE28" i="54"/>
  <c r="W28" i="54"/>
  <c r="O28" i="54"/>
  <c r="G28" i="54"/>
  <c r="AR27" i="54"/>
  <c r="AJ27" i="54"/>
  <c r="AB27" i="54"/>
  <c r="T27" i="54"/>
  <c r="L27" i="54"/>
  <c r="D27" i="54"/>
  <c r="AO26" i="54"/>
  <c r="AG26" i="54"/>
  <c r="Y26" i="54"/>
  <c r="Q26" i="54"/>
  <c r="I26" i="54"/>
  <c r="AT25" i="54"/>
  <c r="AL25" i="54"/>
  <c r="AD25" i="54"/>
  <c r="V25" i="54"/>
  <c r="N25" i="54"/>
  <c r="F25" i="54"/>
  <c r="AQ24" i="54"/>
  <c r="AI24" i="54"/>
  <c r="AA24" i="54"/>
  <c r="S24" i="54"/>
  <c r="K24" i="54"/>
  <c r="C24" i="54"/>
  <c r="AN23" i="54"/>
  <c r="AF23" i="54"/>
  <c r="X23" i="54"/>
  <c r="P23" i="54"/>
  <c r="H23" i="54"/>
  <c r="B9" i="22" l="1"/>
  <c r="H45" i="5"/>
  <c r="Y120" i="20"/>
  <c r="AF8" i="10" l="1"/>
  <c r="AF11" i="10"/>
  <c r="AF12" i="10"/>
  <c r="AF15" i="10"/>
  <c r="AF16" i="10"/>
  <c r="AF7" i="10"/>
  <c r="N8" i="10"/>
  <c r="W8" i="10" s="1"/>
  <c r="N9" i="10"/>
  <c r="W9" i="10" s="1"/>
  <c r="N10" i="10"/>
  <c r="W10" i="10" s="1"/>
  <c r="N11" i="10"/>
  <c r="W11" i="10" s="1"/>
  <c r="N12" i="10"/>
  <c r="W12" i="10" s="1"/>
  <c r="N13" i="10"/>
  <c r="W13" i="10" s="1"/>
  <c r="N14" i="10"/>
  <c r="W14" i="10" s="1"/>
  <c r="N15" i="10"/>
  <c r="W15" i="10" s="1"/>
  <c r="N16" i="10"/>
  <c r="W16" i="10" s="1"/>
  <c r="N17" i="10"/>
  <c r="W17" i="10" s="1"/>
  <c r="N7" i="10"/>
  <c r="W7" i="10" s="1"/>
  <c r="V51" i="10"/>
  <c r="V50" i="10"/>
  <c r="V49" i="10"/>
  <c r="V48" i="10"/>
  <c r="V47" i="10"/>
  <c r="V46" i="10"/>
  <c r="V45" i="10"/>
  <c r="V44" i="10"/>
  <c r="V43" i="10"/>
  <c r="V42" i="10"/>
  <c r="V41" i="10"/>
  <c r="V40" i="10"/>
  <c r="V39" i="10"/>
  <c r="V38" i="10"/>
  <c r="V37" i="10"/>
  <c r="V36" i="10"/>
  <c r="V35" i="10"/>
  <c r="V34" i="10"/>
  <c r="V33" i="10"/>
  <c r="V32" i="10"/>
  <c r="V31" i="10"/>
  <c r="V30" i="10"/>
  <c r="V29" i="10"/>
  <c r="V28" i="10"/>
  <c r="V27" i="10"/>
  <c r="V26" i="10"/>
  <c r="V25" i="10"/>
  <c r="V24" i="10"/>
  <c r="V23" i="10"/>
  <c r="V22" i="10"/>
  <c r="V21" i="10"/>
  <c r="V20" i="10"/>
  <c r="V19" i="10"/>
  <c r="V18" i="10"/>
  <c r="E15" i="10"/>
  <c r="E11" i="10"/>
  <c r="E7" i="10"/>
  <c r="AO4" i="14"/>
  <c r="E8" i="10" s="1"/>
  <c r="AO5" i="14"/>
  <c r="AF9" i="10" s="1"/>
  <c r="AO6" i="14"/>
  <c r="E10" i="10" s="1"/>
  <c r="AO7" i="14"/>
  <c r="AO8" i="14"/>
  <c r="E12" i="10" s="1"/>
  <c r="AO9" i="14"/>
  <c r="AF13" i="10" s="1"/>
  <c r="AO10" i="14"/>
  <c r="E14" i="10" s="1"/>
  <c r="AO11" i="14"/>
  <c r="AO12" i="14"/>
  <c r="E16" i="10" s="1"/>
  <c r="AO13" i="14"/>
  <c r="AF17" i="10" s="1"/>
  <c r="AO3" i="14"/>
  <c r="C49" i="14"/>
  <c r="C13" i="14"/>
  <c r="AJ65" i="52"/>
  <c r="AJ64" i="52"/>
  <c r="AJ63" i="52"/>
  <c r="V62" i="52"/>
  <c r="U62" i="52"/>
  <c r="AP61" i="52"/>
  <c r="AO61" i="52"/>
  <c r="U61" i="52"/>
  <c r="W61" i="52" s="1"/>
  <c r="T61" i="52"/>
  <c r="AP60" i="52"/>
  <c r="AO60" i="52"/>
  <c r="AI60" i="52"/>
  <c r="AG60" i="52"/>
  <c r="AD60" i="52"/>
  <c r="AC60" i="52"/>
  <c r="AE60" i="52" s="1"/>
  <c r="U60" i="52"/>
  <c r="W60" i="52" s="1"/>
  <c r="T60" i="52"/>
  <c r="AP59" i="52"/>
  <c r="AO59" i="52"/>
  <c r="AI59" i="52"/>
  <c r="AG59" i="52"/>
  <c r="AC59" i="52"/>
  <c r="AJ59" i="52" s="1"/>
  <c r="U59" i="52"/>
  <c r="W59" i="52" s="1"/>
  <c r="T59" i="52"/>
  <c r="AP58" i="52"/>
  <c r="AO58" i="52"/>
  <c r="AI58" i="52"/>
  <c r="AG58" i="52"/>
  <c r="AC58" i="52"/>
  <c r="AE58" i="52" s="1"/>
  <c r="U58" i="52"/>
  <c r="W58" i="52" s="1"/>
  <c r="T58" i="52"/>
  <c r="AP57" i="52"/>
  <c r="AO57" i="52"/>
  <c r="AI57" i="52"/>
  <c r="AG57" i="52"/>
  <c r="AC57" i="52"/>
  <c r="U57" i="52"/>
  <c r="W57" i="52" s="1"/>
  <c r="T57" i="52"/>
  <c r="AP56" i="52"/>
  <c r="AO56" i="52"/>
  <c r="AI56" i="52"/>
  <c r="AG56" i="52"/>
  <c r="AC56" i="52"/>
  <c r="AJ56" i="52" s="1"/>
  <c r="U56" i="52"/>
  <c r="W56" i="52" s="1"/>
  <c r="T56" i="52"/>
  <c r="AP55" i="52"/>
  <c r="AO55" i="52"/>
  <c r="U55" i="52"/>
  <c r="W55" i="52" s="1"/>
  <c r="T55" i="52"/>
  <c r="V54" i="52"/>
  <c r="V66" i="52" s="1"/>
  <c r="U54" i="52"/>
  <c r="V53" i="52"/>
  <c r="U53" i="52"/>
  <c r="B53" i="52"/>
  <c r="V52" i="52"/>
  <c r="U52" i="52"/>
  <c r="B52" i="52"/>
  <c r="V51" i="52"/>
  <c r="D51" i="52"/>
  <c r="P45" i="52"/>
  <c r="F45" i="52"/>
  <c r="AP43" i="52"/>
  <c r="AP42" i="52"/>
  <c r="V41" i="52"/>
  <c r="T41" i="52"/>
  <c r="X41" i="52" s="1"/>
  <c r="O41" i="52"/>
  <c r="C41" i="52"/>
  <c r="AN41" i="52" s="1"/>
  <c r="AP40" i="52"/>
  <c r="AO40" i="52"/>
  <c r="AE40" i="52"/>
  <c r="AD40" i="52"/>
  <c r="AJ40" i="52" s="1"/>
  <c r="V40" i="52"/>
  <c r="T40" i="52"/>
  <c r="O40" i="52"/>
  <c r="AP39" i="52"/>
  <c r="AO39" i="52"/>
  <c r="AE39" i="52"/>
  <c r="AD39" i="52"/>
  <c r="V39" i="52"/>
  <c r="T39" i="52"/>
  <c r="O39" i="52"/>
  <c r="AP38" i="52"/>
  <c r="AO38" i="52"/>
  <c r="AJ38" i="52"/>
  <c r="AE38" i="52"/>
  <c r="AD38" i="52"/>
  <c r="V38" i="52"/>
  <c r="T38" i="52"/>
  <c r="O38" i="52"/>
  <c r="AP37" i="52"/>
  <c r="AO37" i="52"/>
  <c r="AE37" i="52"/>
  <c r="AD37" i="52"/>
  <c r="V37" i="52"/>
  <c r="T37" i="52"/>
  <c r="O37" i="52"/>
  <c r="AP36" i="52"/>
  <c r="AO36" i="52"/>
  <c r="AE36" i="52"/>
  <c r="AJ36" i="52" s="1"/>
  <c r="AD36" i="52"/>
  <c r="V36" i="52"/>
  <c r="T36" i="52"/>
  <c r="O36" i="52"/>
  <c r="AP35" i="52"/>
  <c r="AO35" i="52"/>
  <c r="AE35" i="52"/>
  <c r="AD35" i="52"/>
  <c r="V35" i="52"/>
  <c r="T35" i="52"/>
  <c r="O35" i="52"/>
  <c r="AP34" i="52"/>
  <c r="AO34" i="52"/>
  <c r="AE34" i="52"/>
  <c r="AD34" i="52"/>
  <c r="AJ34" i="52" s="1"/>
  <c r="V34" i="52"/>
  <c r="T34" i="52"/>
  <c r="O34" i="52"/>
  <c r="V33" i="52"/>
  <c r="S33" i="52"/>
  <c r="R33" i="52"/>
  <c r="Q33" i="52"/>
  <c r="N33" i="52"/>
  <c r="M33" i="52"/>
  <c r="L33" i="52"/>
  <c r="K33" i="52"/>
  <c r="I33" i="52"/>
  <c r="H33" i="52"/>
  <c r="G33" i="52"/>
  <c r="C33" i="52"/>
  <c r="AB33" i="52" s="1"/>
  <c r="AP32" i="52"/>
  <c r="V32" i="52"/>
  <c r="T32" i="52"/>
  <c r="X32" i="52" s="1"/>
  <c r="O32" i="52"/>
  <c r="D32" i="52"/>
  <c r="B32" i="52"/>
  <c r="AE31" i="52"/>
  <c r="V31" i="52"/>
  <c r="R31" i="52"/>
  <c r="T31" i="52" s="1"/>
  <c r="Q31" i="52"/>
  <c r="N31" i="52"/>
  <c r="M31" i="52"/>
  <c r="M30" i="52" s="1"/>
  <c r="M45" i="52" s="1"/>
  <c r="L31" i="52"/>
  <c r="K31" i="52"/>
  <c r="K30" i="52" s="1"/>
  <c r="H31" i="52"/>
  <c r="G31" i="52"/>
  <c r="C31" i="52"/>
  <c r="B31" i="52"/>
  <c r="AM32" i="52" s="1"/>
  <c r="AM53" i="52" s="1"/>
  <c r="V30" i="52"/>
  <c r="S30" i="52"/>
  <c r="S45" i="52" s="1"/>
  <c r="R30" i="52"/>
  <c r="N30" i="52"/>
  <c r="G30" i="52"/>
  <c r="G45" i="52" s="1"/>
  <c r="D30" i="52"/>
  <c r="D35" i="52" s="1"/>
  <c r="AD24" i="52"/>
  <c r="O12" i="52"/>
  <c r="N12" i="52"/>
  <c r="U31" i="52" s="1"/>
  <c r="M8" i="52"/>
  <c r="P8" i="52" s="1"/>
  <c r="I8" i="52"/>
  <c r="AG55" i="52" s="1"/>
  <c r="F8" i="52"/>
  <c r="D8" i="52"/>
  <c r="C8" i="52"/>
  <c r="E62" i="52" s="1"/>
  <c r="R7" i="52"/>
  <c r="O7" i="52"/>
  <c r="N7" i="52"/>
  <c r="J7" i="52"/>
  <c r="I7" i="52"/>
  <c r="H7" i="52"/>
  <c r="F7" i="52"/>
  <c r="E7" i="52"/>
  <c r="C7" i="52"/>
  <c r="E54" i="52" s="1"/>
  <c r="R6" i="52"/>
  <c r="O6" i="52"/>
  <c r="P6" i="52" s="1"/>
  <c r="N6" i="52"/>
  <c r="J6" i="52"/>
  <c r="I6" i="52"/>
  <c r="H6" i="52"/>
  <c r="F6" i="52"/>
  <c r="E6" i="52"/>
  <c r="C6" i="52"/>
  <c r="E53" i="52" s="1"/>
  <c r="B6" i="52"/>
  <c r="D53" i="52" s="1"/>
  <c r="R5" i="52"/>
  <c r="O5" i="52"/>
  <c r="N5" i="52"/>
  <c r="P5" i="52" s="1"/>
  <c r="J5" i="52"/>
  <c r="I5" i="52"/>
  <c r="H5" i="52"/>
  <c r="F5" i="52"/>
  <c r="E5" i="52"/>
  <c r="C5" i="52"/>
  <c r="E52" i="52" s="1"/>
  <c r="B5" i="52"/>
  <c r="D52" i="52" s="1"/>
  <c r="AE1" i="52"/>
  <c r="AC1" i="52"/>
  <c r="H1" i="52"/>
  <c r="F1" i="52"/>
  <c r="T30" i="52" l="1"/>
  <c r="X31" i="52"/>
  <c r="X30" i="52" s="1"/>
  <c r="X45" i="52" s="1"/>
  <c r="AP31" i="52"/>
  <c r="AJ35" i="52"/>
  <c r="T33" i="52"/>
  <c r="X33" i="52" s="1"/>
  <c r="AD56" i="52"/>
  <c r="AJ58" i="52"/>
  <c r="C52" i="52"/>
  <c r="AC31" i="52"/>
  <c r="AI31" i="52"/>
  <c r="E32" i="52"/>
  <c r="AF32" i="52"/>
  <c r="AI41" i="52"/>
  <c r="AE56" i="52"/>
  <c r="AD58" i="52"/>
  <c r="E9" i="10"/>
  <c r="E13" i="10"/>
  <c r="E17" i="10"/>
  <c r="AF14" i="10"/>
  <c r="AF10" i="10"/>
  <c r="D47" i="14"/>
  <c r="D50" i="14" s="1"/>
  <c r="N45" i="52"/>
  <c r="K45" i="52"/>
  <c r="AC33" i="52"/>
  <c r="AH33" i="52"/>
  <c r="AH54" i="52" s="1"/>
  <c r="AJ37" i="52"/>
  <c r="AJ39" i="52"/>
  <c r="AK41" i="52"/>
  <c r="AE59" i="52"/>
  <c r="D13" i="14"/>
  <c r="U40" i="52"/>
  <c r="U32" i="52"/>
  <c r="U34" i="52"/>
  <c r="U36" i="52"/>
  <c r="U38" i="52"/>
  <c r="K6" i="52"/>
  <c r="AC52" i="52"/>
  <c r="AC61" i="52" s="1"/>
  <c r="AE61" i="52" s="1"/>
  <c r="K5" i="52"/>
  <c r="AI52" i="52" s="1"/>
  <c r="K7" i="52"/>
  <c r="E31" i="52"/>
  <c r="AF53" i="52"/>
  <c r="K53" i="52" s="1"/>
  <c r="AM33" i="52"/>
  <c r="AM54" i="52" s="1"/>
  <c r="AC41" i="52"/>
  <c r="C47" i="14"/>
  <c r="AC54" i="52"/>
  <c r="AE33" i="52"/>
  <c r="AD33" i="52"/>
  <c r="U66" i="52"/>
  <c r="U51" i="52"/>
  <c r="AP33" i="52"/>
  <c r="D41" i="52"/>
  <c r="R45" i="52"/>
  <c r="AL32" i="52"/>
  <c r="AG32" i="52"/>
  <c r="AG53" i="52" s="1"/>
  <c r="L53" i="52" s="1"/>
  <c r="AC32" i="52"/>
  <c r="AC53" i="52" s="1"/>
  <c r="AF31" i="52"/>
  <c r="AM31" i="52"/>
  <c r="AM52" i="52" s="1"/>
  <c r="AB32" i="52"/>
  <c r="AH32" i="52"/>
  <c r="AH53" i="52" s="1"/>
  <c r="M53" i="52" s="1"/>
  <c r="AN32" i="52"/>
  <c r="AN53" i="52" s="1"/>
  <c r="S53" i="52" s="1"/>
  <c r="D33" i="52"/>
  <c r="E33" i="52" s="1"/>
  <c r="AI33" i="52"/>
  <c r="AI54" i="52" s="1"/>
  <c r="AN33" i="52"/>
  <c r="AF33" i="52"/>
  <c r="AL33" i="52"/>
  <c r="AB54" i="52" s="1"/>
  <c r="D34" i="52"/>
  <c r="R53" i="52"/>
  <c r="C53" i="52"/>
  <c r="C51" i="52" s="1"/>
  <c r="AC55" i="52"/>
  <c r="K8" i="52"/>
  <c r="AI55" i="52" s="1"/>
  <c r="H30" i="52"/>
  <c r="H45" i="52" s="1"/>
  <c r="AN31" i="52"/>
  <c r="AN52" i="52" s="1"/>
  <c r="S52" i="52" s="1"/>
  <c r="AD32" i="52"/>
  <c r="O33" i="52"/>
  <c r="AG33" i="52"/>
  <c r="AG54" i="52" s="1"/>
  <c r="AK62" i="52"/>
  <c r="H53" i="52"/>
  <c r="AJ60" i="52"/>
  <c r="D66" i="52"/>
  <c r="D62" i="52"/>
  <c r="C62" i="52" s="1"/>
  <c r="D54" i="52"/>
  <c r="C54" i="52" s="1"/>
  <c r="B30" i="52"/>
  <c r="B45" i="52" s="1"/>
  <c r="O31" i="52"/>
  <c r="AB31" i="52"/>
  <c r="AH31" i="52"/>
  <c r="AH52" i="52" s="1"/>
  <c r="M52" i="52" s="1"/>
  <c r="M51" i="52" s="1"/>
  <c r="AI32" i="52"/>
  <c r="P7" i="52"/>
  <c r="U39" i="52"/>
  <c r="U37" i="52"/>
  <c r="U33" i="52"/>
  <c r="U30" i="52"/>
  <c r="C30" i="52"/>
  <c r="AG31" i="52"/>
  <c r="AG52" i="52" s="1"/>
  <c r="AG61" i="52" s="1"/>
  <c r="L30" i="52"/>
  <c r="L45" i="52" s="1"/>
  <c r="AL31" i="52"/>
  <c r="Q30" i="52"/>
  <c r="Q45" i="52" s="1"/>
  <c r="AD31" i="52"/>
  <c r="W32" i="52"/>
  <c r="Y32" i="52" s="1"/>
  <c r="AE32" i="52"/>
  <c r="U35" i="52"/>
  <c r="AN62" i="52"/>
  <c r="U41" i="52"/>
  <c r="W41" i="52" s="1"/>
  <c r="Y41" i="52" s="1"/>
  <c r="W7" i="52" s="1"/>
  <c r="AD41" i="52"/>
  <c r="AO41" i="52"/>
  <c r="B51" i="52"/>
  <c r="B66" i="52" s="1"/>
  <c r="R52" i="52"/>
  <c r="R51" i="52" s="1"/>
  <c r="AE57" i="52"/>
  <c r="AD57" i="52"/>
  <c r="E41" i="52"/>
  <c r="AA41" i="52"/>
  <c r="AA62" i="52" s="1"/>
  <c r="AG41" i="52"/>
  <c r="AG62" i="52" s="1"/>
  <c r="AD59" i="52"/>
  <c r="AF54" i="52" l="1"/>
  <c r="AF52" i="52"/>
  <c r="K52" i="52" s="1"/>
  <c r="AD61" i="52"/>
  <c r="AJ61" i="52" s="1"/>
  <c r="T45" i="52"/>
  <c r="D49" i="14"/>
  <c r="F13" i="14"/>
  <c r="D5" i="14"/>
  <c r="AJ57" i="52"/>
  <c r="H52" i="52"/>
  <c r="AI61" i="52"/>
  <c r="N52" i="52"/>
  <c r="N51" i="52" s="1"/>
  <c r="C50" i="14"/>
  <c r="E47" i="14"/>
  <c r="AJ41" i="52"/>
  <c r="AE41" i="52"/>
  <c r="AC62" i="52"/>
  <c r="S51" i="52"/>
  <c r="AI53" i="52"/>
  <c r="N53" i="52" s="1"/>
  <c r="AJ33" i="52"/>
  <c r="F47" i="14"/>
  <c r="E51" i="52"/>
  <c r="E66" i="52" s="1"/>
  <c r="C66" i="52"/>
  <c r="E34" i="52"/>
  <c r="E35" i="52"/>
  <c r="AJ32" i="52"/>
  <c r="AB53" i="52"/>
  <c r="AD54" i="52"/>
  <c r="I54" i="52" s="1"/>
  <c r="I66" i="52" s="1"/>
  <c r="AE54" i="52"/>
  <c r="AJ54" i="52"/>
  <c r="K54" i="52"/>
  <c r="G54" i="52"/>
  <c r="N54" i="52"/>
  <c r="R54" i="52"/>
  <c r="R66" i="52" s="1"/>
  <c r="M54" i="52"/>
  <c r="AE24" i="52"/>
  <c r="J54" i="52" s="1"/>
  <c r="J66" i="52" s="1"/>
  <c r="L54" i="52"/>
  <c r="AF24" i="52"/>
  <c r="AC24" i="52" s="1"/>
  <c r="H54" i="52" s="1"/>
  <c r="AG24" i="52" s="1"/>
  <c r="AH24" i="52" s="1"/>
  <c r="AO62" i="52"/>
  <c r="AD55" i="52"/>
  <c r="AJ55" i="52" s="1"/>
  <c r="AE55" i="52"/>
  <c r="H51" i="52"/>
  <c r="L52" i="52"/>
  <c r="L51" i="52" s="1"/>
  <c r="AL54" i="52"/>
  <c r="Q54" i="52" s="1"/>
  <c r="AO33" i="52"/>
  <c r="AL53" i="52"/>
  <c r="AO32" i="52"/>
  <c r="P62" i="52"/>
  <c r="L62" i="52"/>
  <c r="F62" i="52"/>
  <c r="K62" i="52"/>
  <c r="H62" i="52"/>
  <c r="M62" i="52"/>
  <c r="S62" i="52"/>
  <c r="G62" i="52"/>
  <c r="K51" i="52"/>
  <c r="AI62" i="52"/>
  <c r="N62" i="52" s="1"/>
  <c r="E30" i="52"/>
  <c r="E45" i="52" s="1"/>
  <c r="C45" i="52"/>
  <c r="AB52" i="52"/>
  <c r="AJ31" i="52"/>
  <c r="AL52" i="52"/>
  <c r="AO31" i="52"/>
  <c r="W31" i="52"/>
  <c r="O30" i="52"/>
  <c r="O45" i="52" s="1"/>
  <c r="W33" i="52"/>
  <c r="Y33" i="52" s="1"/>
  <c r="W6" i="52" s="1"/>
  <c r="AN54" i="52"/>
  <c r="S54" i="52" s="1"/>
  <c r="M66" i="52" l="1"/>
  <c r="S66" i="52"/>
  <c r="D10" i="14"/>
  <c r="D6" i="14"/>
  <c r="D2" i="14"/>
  <c r="D9" i="14"/>
  <c r="D20" i="14"/>
  <c r="D40" i="14"/>
  <c r="D19" i="14"/>
  <c r="D27" i="14"/>
  <c r="D35" i="14"/>
  <c r="D43" i="14"/>
  <c r="D32" i="14"/>
  <c r="D24" i="14"/>
  <c r="D15" i="14"/>
  <c r="D31" i="14"/>
  <c r="D18" i="14"/>
  <c r="D36" i="14"/>
  <c r="D3" i="14"/>
  <c r="D11" i="14"/>
  <c r="D34" i="14"/>
  <c r="D17" i="14"/>
  <c r="D33" i="14"/>
  <c r="D26" i="14"/>
  <c r="D42" i="14"/>
  <c r="D4" i="14"/>
  <c r="D7" i="14"/>
  <c r="D22" i="14"/>
  <c r="D46" i="14"/>
  <c r="D21" i="14"/>
  <c r="D29" i="14"/>
  <c r="D37" i="14"/>
  <c r="D45" i="14"/>
  <c r="D38" i="14"/>
  <c r="D30" i="14"/>
  <c r="D12" i="14"/>
  <c r="D28" i="14"/>
  <c r="D23" i="14"/>
  <c r="D39" i="14"/>
  <c r="D44" i="14"/>
  <c r="D14" i="14"/>
  <c r="D8" i="14"/>
  <c r="D25" i="14"/>
  <c r="D41" i="14"/>
  <c r="D16" i="14"/>
  <c r="H66" i="52"/>
  <c r="AD62" i="52"/>
  <c r="AE62" i="52"/>
  <c r="AJ62" i="52" s="1"/>
  <c r="C3" i="14"/>
  <c r="C5" i="14"/>
  <c r="C7" i="14"/>
  <c r="C9" i="14"/>
  <c r="C11" i="14"/>
  <c r="C12" i="14"/>
  <c r="C2" i="14"/>
  <c r="C10" i="14"/>
  <c r="C6" i="14"/>
  <c r="C8" i="14"/>
  <c r="C4" i="14"/>
  <c r="C44" i="14"/>
  <c r="C36" i="14"/>
  <c r="C28" i="14"/>
  <c r="C20" i="14"/>
  <c r="C45" i="14"/>
  <c r="C37" i="14"/>
  <c r="C29" i="14"/>
  <c r="C21" i="14"/>
  <c r="C46" i="14"/>
  <c r="C38" i="14"/>
  <c r="C30" i="14"/>
  <c r="C39" i="14"/>
  <c r="C23" i="14"/>
  <c r="C42" i="14"/>
  <c r="C34" i="14"/>
  <c r="C26" i="14"/>
  <c r="C18" i="14"/>
  <c r="C43" i="14"/>
  <c r="C35" i="14"/>
  <c r="C27" i="14"/>
  <c r="C19" i="14"/>
  <c r="C22" i="14"/>
  <c r="C14" i="14"/>
  <c r="C15" i="14"/>
  <c r="C40" i="14"/>
  <c r="C32" i="14"/>
  <c r="C24" i="14"/>
  <c r="C16" i="14"/>
  <c r="C41" i="14"/>
  <c r="C33" i="14"/>
  <c r="C25" i="14"/>
  <c r="C17" i="14"/>
  <c r="C31" i="14"/>
  <c r="AJ53" i="52"/>
  <c r="G53" i="52"/>
  <c r="AO53" i="52"/>
  <c r="Q53" i="52"/>
  <c r="T53" i="52" s="1"/>
  <c r="X53" i="52" s="1"/>
  <c r="AO52" i="52"/>
  <c r="Q52" i="52"/>
  <c r="K66" i="52"/>
  <c r="O62" i="52"/>
  <c r="W62" i="52" s="1"/>
  <c r="F66" i="52"/>
  <c r="T54" i="52"/>
  <c r="X54" i="52" s="1"/>
  <c r="N66" i="52"/>
  <c r="L66" i="52"/>
  <c r="W30" i="52"/>
  <c r="W45" i="52" s="1"/>
  <c r="Y31" i="52"/>
  <c r="Y30" i="52" s="1"/>
  <c r="AJ52" i="52"/>
  <c r="G52" i="52"/>
  <c r="P66" i="52"/>
  <c r="T62" i="52"/>
  <c r="X62" i="52" s="1"/>
  <c r="AO54" i="52"/>
  <c r="O54" i="52"/>
  <c r="W54" i="52" s="1"/>
  <c r="AP54" i="52"/>
  <c r="Y62" i="52" l="1"/>
  <c r="X7" i="52" s="1"/>
  <c r="E17" i="14"/>
  <c r="F17" i="14"/>
  <c r="E15" i="14"/>
  <c r="F15" i="14"/>
  <c r="E39" i="14"/>
  <c r="F39" i="14"/>
  <c r="E20" i="14"/>
  <c r="F20" i="14"/>
  <c r="E25" i="14"/>
  <c r="F25" i="14"/>
  <c r="E24" i="14"/>
  <c r="F24" i="14"/>
  <c r="E14" i="14"/>
  <c r="F14" i="14"/>
  <c r="E35" i="14"/>
  <c r="F35" i="14"/>
  <c r="E34" i="14"/>
  <c r="F34" i="14"/>
  <c r="E30" i="14"/>
  <c r="F30" i="14"/>
  <c r="E29" i="14"/>
  <c r="F29" i="14"/>
  <c r="E28" i="14"/>
  <c r="F28" i="14"/>
  <c r="E16" i="14"/>
  <c r="F16" i="14"/>
  <c r="E26" i="14"/>
  <c r="F26" i="14"/>
  <c r="E21" i="14"/>
  <c r="F21" i="14"/>
  <c r="E33" i="14"/>
  <c r="F33" i="14"/>
  <c r="E32" i="14"/>
  <c r="F32" i="14"/>
  <c r="E22" i="14"/>
  <c r="F22" i="14"/>
  <c r="E43" i="14"/>
  <c r="F43" i="14"/>
  <c r="E42" i="14"/>
  <c r="F42" i="14"/>
  <c r="E38" i="14"/>
  <c r="F38" i="14"/>
  <c r="E37" i="14"/>
  <c r="F37" i="14"/>
  <c r="E36" i="14"/>
  <c r="F36" i="14"/>
  <c r="E27" i="14"/>
  <c r="F27" i="14"/>
  <c r="E31" i="14"/>
  <c r="F31" i="14"/>
  <c r="E41" i="14"/>
  <c r="F41" i="14"/>
  <c r="E40" i="14"/>
  <c r="F40" i="14"/>
  <c r="E19" i="14"/>
  <c r="F19" i="14"/>
  <c r="E18" i="14"/>
  <c r="F18" i="14"/>
  <c r="E23" i="14"/>
  <c r="F23" i="14"/>
  <c r="E46" i="14"/>
  <c r="F46" i="14"/>
  <c r="E45" i="14"/>
  <c r="F45" i="14"/>
  <c r="E44" i="14"/>
  <c r="F44" i="14"/>
  <c r="AP52" i="52"/>
  <c r="O52" i="52"/>
  <c r="G51" i="52"/>
  <c r="G66" i="52" s="1"/>
  <c r="Y45" i="52"/>
  <c r="W5" i="52"/>
  <c r="W8" i="52" s="1"/>
  <c r="Q51" i="52"/>
  <c r="Q66" i="52" s="1"/>
  <c r="T52" i="52"/>
  <c r="AP53" i="52"/>
  <c r="O53" i="52"/>
  <c r="W53" i="52" s="1"/>
  <c r="Y53" i="52" s="1"/>
  <c r="Y54" i="52"/>
  <c r="X6" i="52" s="1"/>
  <c r="X52" i="52" l="1"/>
  <c r="X51" i="52" s="1"/>
  <c r="X66" i="52" s="1"/>
  <c r="T51" i="52"/>
  <c r="T66" i="52" s="1"/>
  <c r="W52" i="52"/>
  <c r="O51" i="52"/>
  <c r="O66" i="52" s="1"/>
  <c r="Y52" i="52" l="1"/>
  <c r="W51" i="52"/>
  <c r="Y51" i="52" l="1"/>
  <c r="W66" i="52"/>
  <c r="Y66" i="52" l="1"/>
  <c r="X5" i="52"/>
  <c r="X8" i="52" s="1"/>
  <c r="Y4" i="14" l="1"/>
  <c r="Y5" i="14"/>
  <c r="Y6" i="14"/>
  <c r="Y7" i="14"/>
  <c r="Y8" i="14"/>
  <c r="Y9" i="14"/>
  <c r="Y10" i="14"/>
  <c r="Y11" i="14"/>
  <c r="Y12" i="14"/>
  <c r="Y13" i="14"/>
  <c r="Y3" i="14"/>
  <c r="AJ13" i="14"/>
  <c r="AD13" i="14"/>
  <c r="AD14" i="14" s="1"/>
  <c r="AD15" i="14" s="1"/>
  <c r="AD16" i="14" s="1"/>
  <c r="AD17" i="14" s="1"/>
  <c r="AD18" i="14" s="1"/>
  <c r="AD19" i="14" s="1"/>
  <c r="AD20" i="14" s="1"/>
  <c r="AD21" i="14" s="1"/>
  <c r="AD22" i="14" s="1"/>
  <c r="AD23" i="14" s="1"/>
  <c r="AD24" i="14" s="1"/>
  <c r="AD25" i="14" s="1"/>
  <c r="AD26" i="14" s="1"/>
  <c r="AD27" i="14" s="1"/>
  <c r="AD28" i="14" s="1"/>
  <c r="AD29" i="14" s="1"/>
  <c r="AD30" i="14" s="1"/>
  <c r="AD31" i="14" s="1"/>
  <c r="AD32" i="14" s="1"/>
  <c r="AD33" i="14" s="1"/>
  <c r="AD34" i="14" s="1"/>
  <c r="AD35" i="14" s="1"/>
  <c r="AD36" i="14" s="1"/>
  <c r="AD37" i="14" s="1"/>
  <c r="AD38" i="14" s="1"/>
  <c r="AD39" i="14" s="1"/>
  <c r="AD40" i="14" s="1"/>
  <c r="AD41" i="14" s="1"/>
  <c r="AD42" i="14" s="1"/>
  <c r="AD43" i="14" s="1"/>
  <c r="AD44" i="14" s="1"/>
  <c r="AD45" i="14" s="1"/>
  <c r="AD46" i="14" s="1"/>
  <c r="AD47" i="14" s="1"/>
  <c r="X13" i="14"/>
  <c r="W13" i="14"/>
  <c r="AJ12" i="14"/>
  <c r="AD12" i="14"/>
  <c r="X12" i="14"/>
  <c r="W12" i="14"/>
  <c r="AJ11" i="14"/>
  <c r="AD11" i="14"/>
  <c r="X11" i="14"/>
  <c r="W11" i="14"/>
  <c r="AJ10" i="14"/>
  <c r="AD10" i="14"/>
  <c r="X10" i="14"/>
  <c r="W10" i="14"/>
  <c r="AJ9" i="14"/>
  <c r="AD9" i="14"/>
  <c r="X9" i="14"/>
  <c r="W9" i="14"/>
  <c r="AJ8" i="14"/>
  <c r="AD8" i="14"/>
  <c r="X8" i="14"/>
  <c r="W8" i="14"/>
  <c r="AJ7" i="14"/>
  <c r="AD7" i="14"/>
  <c r="X7" i="14"/>
  <c r="W7" i="14"/>
  <c r="AJ6" i="14"/>
  <c r="AD6" i="14"/>
  <c r="X6" i="14"/>
  <c r="W6" i="14"/>
  <c r="AJ5" i="14"/>
  <c r="AD5" i="14"/>
  <c r="X5" i="14"/>
  <c r="W5" i="14"/>
  <c r="AJ4" i="14"/>
  <c r="AD4" i="14"/>
  <c r="X4" i="14"/>
  <c r="W4" i="14"/>
  <c r="AJ3" i="14"/>
  <c r="AD3" i="14"/>
  <c r="W3" i="14"/>
  <c r="W16" i="14" s="1"/>
  <c r="AH45" i="14" s="1"/>
  <c r="Z3" i="14" l="1"/>
  <c r="AL10" i="14"/>
  <c r="Z10" i="14"/>
  <c r="AL6" i="14"/>
  <c r="Z6" i="14"/>
  <c r="AL13" i="14"/>
  <c r="Z13" i="14"/>
  <c r="Z14" i="14" s="1"/>
  <c r="AL9" i="14"/>
  <c r="Z9" i="14"/>
  <c r="AL5" i="14"/>
  <c r="Z5" i="14"/>
  <c r="AL12" i="14"/>
  <c r="Z12" i="14"/>
  <c r="AL8" i="14"/>
  <c r="Z8" i="14"/>
  <c r="AL4" i="14"/>
  <c r="Z4" i="14"/>
  <c r="AL11" i="14"/>
  <c r="Z11" i="14"/>
  <c r="AL7" i="14"/>
  <c r="Z7" i="14"/>
  <c r="AH15" i="14"/>
  <c r="AH14" i="14"/>
  <c r="AH46" i="14"/>
  <c r="AH41" i="14"/>
  <c r="AH39" i="14"/>
  <c r="AH37" i="14"/>
  <c r="AH35" i="14"/>
  <c r="AH33" i="14"/>
  <c r="AH31" i="14"/>
  <c r="AH29" i="14"/>
  <c r="AH27" i="14"/>
  <c r="AH25" i="14"/>
  <c r="AH23" i="14"/>
  <c r="AH21" i="14"/>
  <c r="AH19" i="14"/>
  <c r="AH18" i="14"/>
  <c r="AH17" i="14"/>
  <c r="AH16" i="14"/>
  <c r="AH47" i="14"/>
  <c r="AH44" i="14"/>
  <c r="AH43" i="14"/>
  <c r="AH42" i="14"/>
  <c r="AH40" i="14"/>
  <c r="AH38" i="14"/>
  <c r="AH36" i="14"/>
  <c r="AH34" i="14"/>
  <c r="AH32" i="14"/>
  <c r="AH30" i="14"/>
  <c r="AH28" i="14"/>
  <c r="AH26" i="14"/>
  <c r="AH24" i="14"/>
  <c r="AH22" i="14"/>
  <c r="AH20" i="14"/>
  <c r="C15" i="10" l="1"/>
  <c r="C12" i="10"/>
  <c r="C9" i="10"/>
  <c r="C17" i="10"/>
  <c r="C14" i="10"/>
  <c r="C11" i="10"/>
  <c r="C8" i="10"/>
  <c r="C16" i="10"/>
  <c r="C13" i="10"/>
  <c r="C10" i="10"/>
  <c r="C7" i="10"/>
  <c r="Z15" i="14"/>
  <c r="Y14" i="14"/>
  <c r="AL14" i="14" s="1"/>
  <c r="AI17" i="14"/>
  <c r="AI14" i="14"/>
  <c r="AI47" i="14"/>
  <c r="AI46" i="14"/>
  <c r="AI45" i="14"/>
  <c r="AI44" i="14"/>
  <c r="AI43" i="14"/>
  <c r="AI42" i="14"/>
  <c r="AI41" i="14"/>
  <c r="AI40" i="14"/>
  <c r="AI39" i="14"/>
  <c r="AI38" i="14"/>
  <c r="AI37" i="14"/>
  <c r="AI36" i="14"/>
  <c r="AI35" i="14"/>
  <c r="AI34" i="14"/>
  <c r="AI33" i="14"/>
  <c r="AI32" i="14"/>
  <c r="AI31" i="14"/>
  <c r="AI30" i="14"/>
  <c r="AI29" i="14"/>
  <c r="AI28" i="14"/>
  <c r="AI27" i="14"/>
  <c r="AI26" i="14"/>
  <c r="AI25" i="14"/>
  <c r="AI24" i="14"/>
  <c r="AI23" i="14"/>
  <c r="AI22" i="14"/>
  <c r="AI21" i="14"/>
  <c r="AI20" i="14"/>
  <c r="AI19" i="14"/>
  <c r="AI18" i="14"/>
  <c r="AI16" i="14"/>
  <c r="AI15" i="14"/>
  <c r="AJ15" i="14" l="1"/>
  <c r="AO15" i="14"/>
  <c r="AJ20" i="14"/>
  <c r="AO20" i="14"/>
  <c r="AJ24" i="14"/>
  <c r="AO24" i="14"/>
  <c r="AJ28" i="14"/>
  <c r="AO28" i="14"/>
  <c r="AJ32" i="14"/>
  <c r="AO32" i="14"/>
  <c r="AJ36" i="14"/>
  <c r="AO36" i="14"/>
  <c r="AJ40" i="14"/>
  <c r="AO40" i="14"/>
  <c r="AJ44" i="14"/>
  <c r="AO44" i="14"/>
  <c r="AJ14" i="14"/>
  <c r="AO14" i="14"/>
  <c r="Z16" i="14"/>
  <c r="Y15" i="14"/>
  <c r="AL15" i="14" s="1"/>
  <c r="H10" i="10"/>
  <c r="J10" i="10"/>
  <c r="L12" i="23"/>
  <c r="L10" i="10"/>
  <c r="AR12" i="23"/>
  <c r="AQ12" i="23"/>
  <c r="L16" i="10"/>
  <c r="AQ18" i="23"/>
  <c r="AR18" i="23"/>
  <c r="J16" i="10"/>
  <c r="L18" i="23"/>
  <c r="H16" i="10"/>
  <c r="AR13" i="23"/>
  <c r="H11" i="10"/>
  <c r="L11" i="10"/>
  <c r="J11" i="10"/>
  <c r="AQ13" i="23"/>
  <c r="J17" i="10"/>
  <c r="C19" i="23"/>
  <c r="L17" i="10"/>
  <c r="AR19" i="23"/>
  <c r="H17" i="10"/>
  <c r="AJ16" i="14"/>
  <c r="AO16" i="14"/>
  <c r="AJ21" i="14"/>
  <c r="AO21" i="14"/>
  <c r="AJ25" i="14"/>
  <c r="AO25" i="14"/>
  <c r="AJ29" i="14"/>
  <c r="AO29" i="14"/>
  <c r="AJ33" i="14"/>
  <c r="AO33" i="14"/>
  <c r="AJ37" i="14"/>
  <c r="AO37" i="14"/>
  <c r="AJ41" i="14"/>
  <c r="AO41" i="14"/>
  <c r="AJ45" i="14"/>
  <c r="AO45" i="14"/>
  <c r="AJ17" i="14"/>
  <c r="AO17" i="14"/>
  <c r="H7" i="10"/>
  <c r="J7" i="10"/>
  <c r="L9" i="23"/>
  <c r="C9" i="23"/>
  <c r="L7" i="10"/>
  <c r="J13" i="10"/>
  <c r="C15" i="23"/>
  <c r="L13" i="10"/>
  <c r="H13" i="10"/>
  <c r="AR15" i="23"/>
  <c r="AJ18" i="14"/>
  <c r="AO18" i="14"/>
  <c r="AJ22" i="14"/>
  <c r="AO22" i="14"/>
  <c r="AJ26" i="14"/>
  <c r="AO26" i="14"/>
  <c r="AJ30" i="14"/>
  <c r="AO30" i="14"/>
  <c r="AJ34" i="14"/>
  <c r="AO34" i="14"/>
  <c r="AJ38" i="14"/>
  <c r="AO38" i="14"/>
  <c r="AJ42" i="14"/>
  <c r="AO42" i="14"/>
  <c r="AJ46" i="14"/>
  <c r="AO46" i="14"/>
  <c r="L8" i="10"/>
  <c r="AQ10" i="23"/>
  <c r="B10" i="23"/>
  <c r="J8" i="10"/>
  <c r="H8" i="10"/>
  <c r="H14" i="10"/>
  <c r="J14" i="10"/>
  <c r="AQ16" i="23"/>
  <c r="L14" i="10"/>
  <c r="AR16" i="23"/>
  <c r="J9" i="10"/>
  <c r="L9" i="10"/>
  <c r="AQ11" i="23"/>
  <c r="B11" i="23"/>
  <c r="H9" i="10"/>
  <c r="L17" i="23"/>
  <c r="H15" i="10"/>
  <c r="B17" i="23"/>
  <c r="J15" i="10"/>
  <c r="AQ17" i="23"/>
  <c r="C17" i="23"/>
  <c r="L15" i="10"/>
  <c r="AJ19" i="14"/>
  <c r="AO19" i="14"/>
  <c r="AJ23" i="14"/>
  <c r="AO23" i="14"/>
  <c r="AJ27" i="14"/>
  <c r="AO27" i="14"/>
  <c r="AJ31" i="14"/>
  <c r="AO31" i="14"/>
  <c r="AJ35" i="14"/>
  <c r="AO35" i="14"/>
  <c r="AJ39" i="14"/>
  <c r="AO39" i="14"/>
  <c r="AJ43" i="14"/>
  <c r="AO43" i="14"/>
  <c r="AJ47" i="14"/>
  <c r="AO47" i="14"/>
  <c r="C18" i="10"/>
  <c r="N18" i="10" s="1"/>
  <c r="L12" i="10"/>
  <c r="AR14" i="23"/>
  <c r="H12" i="10"/>
  <c r="C14" i="23"/>
  <c r="J12" i="10"/>
  <c r="L14" i="23"/>
  <c r="I50" i="4"/>
  <c r="L72" i="50"/>
  <c r="S18" i="20" s="1"/>
  <c r="M72" i="50"/>
  <c r="N18" i="20" s="1"/>
  <c r="U18" i="20" s="1"/>
  <c r="N72" i="50"/>
  <c r="O18" i="20" s="1"/>
  <c r="O72" i="50"/>
  <c r="P18" i="20" s="1"/>
  <c r="C10" i="23" s="1"/>
  <c r="P72" i="50"/>
  <c r="Q18" i="20" s="1"/>
  <c r="AH10" i="23" s="1"/>
  <c r="Q72" i="50"/>
  <c r="R18" i="20" s="1"/>
  <c r="R72" i="50"/>
  <c r="T18" i="20" s="1"/>
  <c r="AR10" i="23" s="1"/>
  <c r="S72" i="50"/>
  <c r="L73" i="50"/>
  <c r="S19" i="20" s="1"/>
  <c r="M73" i="50"/>
  <c r="N19" i="20" s="1"/>
  <c r="N73" i="50"/>
  <c r="O19" i="20" s="1"/>
  <c r="O73" i="50"/>
  <c r="P19" i="20" s="1"/>
  <c r="C11" i="23" s="1"/>
  <c r="P73" i="50"/>
  <c r="Q19" i="20" s="1"/>
  <c r="AH11" i="23" s="1"/>
  <c r="Q73" i="50"/>
  <c r="R19" i="20" s="1"/>
  <c r="R73" i="50"/>
  <c r="T19" i="20" s="1"/>
  <c r="AR11" i="23" s="1"/>
  <c r="S73" i="50"/>
  <c r="L74" i="50"/>
  <c r="S20" i="20" s="1"/>
  <c r="M74" i="50"/>
  <c r="N20" i="20" s="1"/>
  <c r="N74" i="50"/>
  <c r="O20" i="20" s="1"/>
  <c r="O74" i="50"/>
  <c r="P20" i="20" s="1"/>
  <c r="C12" i="23" s="1"/>
  <c r="P74" i="50"/>
  <c r="Q20" i="20" s="1"/>
  <c r="AH12" i="23" s="1"/>
  <c r="Q74" i="50"/>
  <c r="R20" i="20" s="1"/>
  <c r="R74" i="50"/>
  <c r="T20" i="20" s="1"/>
  <c r="S74" i="50"/>
  <c r="L75" i="50"/>
  <c r="S21" i="20" s="1"/>
  <c r="M75" i="50"/>
  <c r="N21" i="20" s="1"/>
  <c r="N75" i="50"/>
  <c r="O21" i="20" s="1"/>
  <c r="O75" i="50"/>
  <c r="P21" i="20" s="1"/>
  <c r="C13" i="23" s="1"/>
  <c r="P75" i="50"/>
  <c r="Q21" i="20" s="1"/>
  <c r="Q75" i="50"/>
  <c r="R21" i="20" s="1"/>
  <c r="AH13" i="23" s="1"/>
  <c r="R75" i="50"/>
  <c r="T21" i="20" s="1"/>
  <c r="S75" i="50"/>
  <c r="L76" i="50"/>
  <c r="S22" i="20" s="1"/>
  <c r="M76" i="50"/>
  <c r="N22" i="20" s="1"/>
  <c r="N76" i="50"/>
  <c r="O22" i="20" s="1"/>
  <c r="AH14" i="23" s="1"/>
  <c r="O76" i="50"/>
  <c r="P22" i="20" s="1"/>
  <c r="P76" i="50"/>
  <c r="Q22" i="20" s="1"/>
  <c r="Q76" i="50"/>
  <c r="R22" i="20" s="1"/>
  <c r="R76" i="50"/>
  <c r="T22" i="20" s="1"/>
  <c r="AQ14" i="23" s="1"/>
  <c r="S76" i="50"/>
  <c r="L77" i="50"/>
  <c r="S23" i="20" s="1"/>
  <c r="M77" i="50"/>
  <c r="N23" i="20" s="1"/>
  <c r="M15" i="23" s="1"/>
  <c r="O15" i="23" s="1"/>
  <c r="N77" i="50"/>
  <c r="O23" i="20" s="1"/>
  <c r="O77" i="50"/>
  <c r="P23" i="20" s="1"/>
  <c r="P77" i="50"/>
  <c r="Q23" i="20" s="1"/>
  <c r="Q77" i="50"/>
  <c r="R23" i="20" s="1"/>
  <c r="AH15" i="23" s="1"/>
  <c r="R77" i="50"/>
  <c r="T23" i="20" s="1"/>
  <c r="AQ15" i="23" s="1"/>
  <c r="S77" i="50"/>
  <c r="L78" i="50"/>
  <c r="S24" i="20" s="1"/>
  <c r="M78" i="50"/>
  <c r="N24" i="20" s="1"/>
  <c r="M16" i="23" s="1"/>
  <c r="O16" i="23" s="1"/>
  <c r="N78" i="50"/>
  <c r="O24" i="20" s="1"/>
  <c r="O78" i="50"/>
  <c r="P24" i="20" s="1"/>
  <c r="C16" i="23" s="1"/>
  <c r="P78" i="50"/>
  <c r="Q24" i="20" s="1"/>
  <c r="Q78" i="50"/>
  <c r="R24" i="20" s="1"/>
  <c r="AH16" i="23" s="1"/>
  <c r="R78" i="50"/>
  <c r="T24" i="20" s="1"/>
  <c r="S78" i="50"/>
  <c r="L79" i="50"/>
  <c r="S25" i="20" s="1"/>
  <c r="M79" i="50"/>
  <c r="N25" i="20" s="1"/>
  <c r="N79" i="50"/>
  <c r="O25" i="20" s="1"/>
  <c r="AH17" i="23" s="1"/>
  <c r="O79" i="50"/>
  <c r="P25" i="20" s="1"/>
  <c r="P79" i="50"/>
  <c r="Q25" i="20" s="1"/>
  <c r="Q79" i="50"/>
  <c r="R25" i="20" s="1"/>
  <c r="R79" i="50"/>
  <c r="T25" i="20" s="1"/>
  <c r="AR17" i="23" s="1"/>
  <c r="S79" i="50"/>
  <c r="L80" i="50"/>
  <c r="S26" i="20" s="1"/>
  <c r="M80" i="50"/>
  <c r="N26" i="20" s="1"/>
  <c r="M18" i="23" s="1"/>
  <c r="O18" i="23" s="1"/>
  <c r="N80" i="50"/>
  <c r="O26" i="20" s="1"/>
  <c r="O80" i="50"/>
  <c r="P26" i="20" s="1"/>
  <c r="C18" i="23" s="1"/>
  <c r="P80" i="50"/>
  <c r="Q26" i="20" s="1"/>
  <c r="Q80" i="50"/>
  <c r="R26" i="20" s="1"/>
  <c r="AH18" i="23" s="1"/>
  <c r="R80" i="50"/>
  <c r="T26" i="20" s="1"/>
  <c r="S80" i="50"/>
  <c r="L81" i="50"/>
  <c r="S27" i="20" s="1"/>
  <c r="M81" i="50"/>
  <c r="N27" i="20" s="1"/>
  <c r="N81" i="50"/>
  <c r="O27" i="20" s="1"/>
  <c r="O81" i="50"/>
  <c r="P27" i="20" s="1"/>
  <c r="P81" i="50"/>
  <c r="Q27" i="20" s="1"/>
  <c r="Q81" i="50"/>
  <c r="R27" i="20" s="1"/>
  <c r="AH19" i="23" s="1"/>
  <c r="R81" i="50"/>
  <c r="T27" i="20" s="1"/>
  <c r="T28" i="20" s="1"/>
  <c r="S81" i="50"/>
  <c r="M71" i="50"/>
  <c r="N17" i="20" s="1"/>
  <c r="N71" i="50"/>
  <c r="O17" i="20" s="1"/>
  <c r="AG9" i="23" s="1"/>
  <c r="O71" i="50"/>
  <c r="P17" i="20" s="1"/>
  <c r="P71" i="50"/>
  <c r="Q17" i="20" s="1"/>
  <c r="Q71" i="50"/>
  <c r="R17" i="20" s="1"/>
  <c r="R71" i="50"/>
  <c r="T17" i="20" s="1"/>
  <c r="AR9" i="23" s="1"/>
  <c r="S71" i="50"/>
  <c r="L71" i="50"/>
  <c r="S17" i="20" s="1"/>
  <c r="I72" i="50"/>
  <c r="I73" i="50"/>
  <c r="I74" i="50"/>
  <c r="I75" i="50"/>
  <c r="I76" i="50"/>
  <c r="I77" i="50"/>
  <c r="I78" i="50"/>
  <c r="I79" i="50"/>
  <c r="I80" i="50"/>
  <c r="I81" i="50"/>
  <c r="I71" i="50"/>
  <c r="I44" i="4"/>
  <c r="V37" i="50"/>
  <c r="W37" i="50"/>
  <c r="W72" i="50" s="1"/>
  <c r="N69" i="20" s="1"/>
  <c r="X37" i="50"/>
  <c r="Y37" i="50"/>
  <c r="AI37" i="50" s="1"/>
  <c r="Z37" i="50"/>
  <c r="AA37" i="50"/>
  <c r="AA72" i="50" s="1"/>
  <c r="R69" i="20" s="1"/>
  <c r="AB37" i="50"/>
  <c r="AC37" i="50"/>
  <c r="V38" i="50"/>
  <c r="W38" i="50"/>
  <c r="W73" i="50" s="1"/>
  <c r="N70" i="20" s="1"/>
  <c r="X38" i="50"/>
  <c r="Y38" i="50"/>
  <c r="AI38" i="50" s="1"/>
  <c r="Z38" i="50"/>
  <c r="AA38" i="50"/>
  <c r="AA73" i="50" s="1"/>
  <c r="R70" i="20" s="1"/>
  <c r="AB38" i="50"/>
  <c r="AC38" i="50"/>
  <c r="AM38" i="50" s="1"/>
  <c r="V39" i="50"/>
  <c r="W39" i="50"/>
  <c r="W74" i="50" s="1"/>
  <c r="N71" i="20" s="1"/>
  <c r="X39" i="50"/>
  <c r="Y39" i="50"/>
  <c r="AI39" i="50" s="1"/>
  <c r="Z39" i="50"/>
  <c r="AA39" i="50"/>
  <c r="AA74" i="50" s="1"/>
  <c r="R71" i="20" s="1"/>
  <c r="AB39" i="50"/>
  <c r="AC39" i="50"/>
  <c r="AM39" i="50" s="1"/>
  <c r="V40" i="50"/>
  <c r="W40" i="50"/>
  <c r="W75" i="50" s="1"/>
  <c r="N72" i="20" s="1"/>
  <c r="X40" i="50"/>
  <c r="Y40" i="50"/>
  <c r="AI40" i="50" s="1"/>
  <c r="Z40" i="50"/>
  <c r="AA40" i="50"/>
  <c r="AA75" i="50" s="1"/>
  <c r="R72" i="20" s="1"/>
  <c r="AB40" i="50"/>
  <c r="AC40" i="50"/>
  <c r="AM40" i="50" s="1"/>
  <c r="V41" i="50"/>
  <c r="W41" i="50"/>
  <c r="W76" i="50" s="1"/>
  <c r="N73" i="20" s="1"/>
  <c r="X41" i="50"/>
  <c r="Y41" i="50"/>
  <c r="AI41" i="50" s="1"/>
  <c r="Z41" i="50"/>
  <c r="AA41" i="50"/>
  <c r="AA76" i="50" s="1"/>
  <c r="R73" i="20" s="1"/>
  <c r="AB41" i="50"/>
  <c r="AC41" i="50"/>
  <c r="AM41" i="50" s="1"/>
  <c r="V42" i="50"/>
  <c r="W42" i="50"/>
  <c r="W77" i="50" s="1"/>
  <c r="N74" i="20" s="1"/>
  <c r="X42" i="50"/>
  <c r="Y42" i="50"/>
  <c r="Z42" i="50"/>
  <c r="AA42" i="50"/>
  <c r="AA77" i="50" s="1"/>
  <c r="R74" i="20" s="1"/>
  <c r="AB42" i="50"/>
  <c r="AC42" i="50"/>
  <c r="AC57" i="50" s="1"/>
  <c r="V43" i="50"/>
  <c r="W43" i="50"/>
  <c r="W78" i="50" s="1"/>
  <c r="N75" i="20" s="1"/>
  <c r="X43" i="50"/>
  <c r="Y43" i="50"/>
  <c r="AI43" i="50" s="1"/>
  <c r="Z43" i="50"/>
  <c r="AA43" i="50"/>
  <c r="AA78" i="50" s="1"/>
  <c r="R75" i="20" s="1"/>
  <c r="AB43" i="50"/>
  <c r="AC43" i="50"/>
  <c r="AM43" i="50" s="1"/>
  <c r="V44" i="50"/>
  <c r="W44" i="50"/>
  <c r="W79" i="50" s="1"/>
  <c r="N76" i="20" s="1"/>
  <c r="X44" i="50"/>
  <c r="Y44" i="50"/>
  <c r="AI44" i="50" s="1"/>
  <c r="Z44" i="50"/>
  <c r="AA44" i="50"/>
  <c r="AA79" i="50" s="1"/>
  <c r="R76" i="20" s="1"/>
  <c r="AB44" i="50"/>
  <c r="AC44" i="50"/>
  <c r="V45" i="50"/>
  <c r="W45" i="50"/>
  <c r="AG45" i="50" s="1"/>
  <c r="X45" i="50"/>
  <c r="Y45" i="50"/>
  <c r="AI45" i="50" s="1"/>
  <c r="Z45" i="50"/>
  <c r="AA45" i="50"/>
  <c r="AK45" i="50" s="1"/>
  <c r="AB45" i="50"/>
  <c r="AC45" i="50"/>
  <c r="AM45" i="50" s="1"/>
  <c r="V46" i="50"/>
  <c r="AF46" i="50" s="1"/>
  <c r="W46" i="50"/>
  <c r="W81" i="50" s="1"/>
  <c r="N78" i="20" s="1"/>
  <c r="X46" i="50"/>
  <c r="Y46" i="50"/>
  <c r="Z46" i="50"/>
  <c r="AA46" i="50"/>
  <c r="AK46" i="50" s="1"/>
  <c r="AB46" i="50"/>
  <c r="AC46" i="50"/>
  <c r="AC61" i="50" s="1"/>
  <c r="W36" i="50"/>
  <c r="X36" i="50"/>
  <c r="AH36" i="50" s="1"/>
  <c r="Y36" i="50"/>
  <c r="Z36" i="50"/>
  <c r="AA36" i="50"/>
  <c r="AB36" i="50"/>
  <c r="AB71" i="50" s="1"/>
  <c r="T68" i="20" s="1"/>
  <c r="AC36" i="50"/>
  <c r="AI36" i="50"/>
  <c r="V36" i="50"/>
  <c r="I61" i="50"/>
  <c r="I60" i="50"/>
  <c r="I59" i="50"/>
  <c r="I58" i="50"/>
  <c r="I57" i="50"/>
  <c r="I51" i="50"/>
  <c r="I50" i="50"/>
  <c r="S61" i="50"/>
  <c r="R61" i="50"/>
  <c r="AE27" i="20" s="1"/>
  <c r="AP19" i="23" s="1"/>
  <c r="Q61" i="50"/>
  <c r="AC27" i="20" s="1"/>
  <c r="P61" i="50"/>
  <c r="AB27" i="20" s="1"/>
  <c r="O61" i="50"/>
  <c r="AA27" i="20" s="1"/>
  <c r="B19" i="23" s="1"/>
  <c r="N61" i="50"/>
  <c r="Z27" i="20" s="1"/>
  <c r="AF19" i="23" s="1"/>
  <c r="M61" i="50"/>
  <c r="Y27" i="20" s="1"/>
  <c r="L19" i="23" s="1"/>
  <c r="L61" i="50"/>
  <c r="AD27" i="20" s="1"/>
  <c r="S60" i="50"/>
  <c r="R60" i="50"/>
  <c r="AE26" i="20" s="1"/>
  <c r="AP18" i="23" s="1"/>
  <c r="Q60" i="50"/>
  <c r="AC26" i="20" s="1"/>
  <c r="P60" i="50"/>
  <c r="AB26" i="20" s="1"/>
  <c r="O60" i="50"/>
  <c r="AA26" i="20" s="1"/>
  <c r="B18" i="23" s="1"/>
  <c r="N60" i="50"/>
  <c r="Z26" i="20" s="1"/>
  <c r="AF18" i="23" s="1"/>
  <c r="M60" i="50"/>
  <c r="Y26" i="20" s="1"/>
  <c r="L60" i="50"/>
  <c r="AD26" i="20" s="1"/>
  <c r="S59" i="50"/>
  <c r="R59" i="50"/>
  <c r="AE25" i="20" s="1"/>
  <c r="AP17" i="23" s="1"/>
  <c r="Q59" i="50"/>
  <c r="AC25" i="20" s="1"/>
  <c r="P59" i="50"/>
  <c r="AB25" i="20" s="1"/>
  <c r="O59" i="50"/>
  <c r="AA25" i="20" s="1"/>
  <c r="N59" i="50"/>
  <c r="Z25" i="20" s="1"/>
  <c r="AF17" i="23" s="1"/>
  <c r="M59" i="50"/>
  <c r="Y25" i="20" s="1"/>
  <c r="L59" i="50"/>
  <c r="AD25" i="20" s="1"/>
  <c r="S58" i="50"/>
  <c r="R58" i="50"/>
  <c r="AE24" i="20" s="1"/>
  <c r="AP16" i="23" s="1"/>
  <c r="Q58" i="50"/>
  <c r="AC24" i="20" s="1"/>
  <c r="P58" i="50"/>
  <c r="AB24" i="20" s="1"/>
  <c r="O58" i="50"/>
  <c r="AA24" i="20" s="1"/>
  <c r="B16" i="23" s="1"/>
  <c r="N58" i="50"/>
  <c r="Z24" i="20" s="1"/>
  <c r="AF16" i="23" s="1"/>
  <c r="M58" i="50"/>
  <c r="Y24" i="20" s="1"/>
  <c r="L16" i="23" s="1"/>
  <c r="L58" i="50"/>
  <c r="AD24" i="20" s="1"/>
  <c r="S57" i="50"/>
  <c r="R57" i="50"/>
  <c r="AE23" i="20" s="1"/>
  <c r="AP15" i="23" s="1"/>
  <c r="Q57" i="50"/>
  <c r="AC23" i="20" s="1"/>
  <c r="P57" i="50"/>
  <c r="AB23" i="20" s="1"/>
  <c r="O57" i="50"/>
  <c r="AA23" i="20" s="1"/>
  <c r="B15" i="23" s="1"/>
  <c r="N57" i="50"/>
  <c r="Z23" i="20" s="1"/>
  <c r="AF15" i="23" s="1"/>
  <c r="M57" i="50"/>
  <c r="Y23" i="20" s="1"/>
  <c r="L15" i="23" s="1"/>
  <c r="L57" i="50"/>
  <c r="AD23" i="20" s="1"/>
  <c r="S56" i="50"/>
  <c r="R56" i="50"/>
  <c r="AE22" i="20" s="1"/>
  <c r="AP14" i="23" s="1"/>
  <c r="Q56" i="50"/>
  <c r="AC22" i="20" s="1"/>
  <c r="P56" i="50"/>
  <c r="AB22" i="20" s="1"/>
  <c r="O56" i="50"/>
  <c r="AA22" i="20" s="1"/>
  <c r="B14" i="23" s="1"/>
  <c r="N56" i="50"/>
  <c r="Z22" i="20" s="1"/>
  <c r="AG14" i="23" s="1"/>
  <c r="M56" i="50"/>
  <c r="Y22" i="20" s="1"/>
  <c r="L56" i="50"/>
  <c r="AD22" i="20" s="1"/>
  <c r="S55" i="50"/>
  <c r="R55" i="50"/>
  <c r="AE21" i="20" s="1"/>
  <c r="AP13" i="23" s="1"/>
  <c r="Q55" i="50"/>
  <c r="AC21" i="20" s="1"/>
  <c r="P55" i="50"/>
  <c r="AB21" i="20" s="1"/>
  <c r="O55" i="50"/>
  <c r="AA21" i="20" s="1"/>
  <c r="B13" i="23" s="1"/>
  <c r="N55" i="50"/>
  <c r="Z21" i="20" s="1"/>
  <c r="AF13" i="23" s="1"/>
  <c r="M55" i="50"/>
  <c r="Y21" i="20" s="1"/>
  <c r="L55" i="50"/>
  <c r="AD21" i="20" s="1"/>
  <c r="S54" i="50"/>
  <c r="R54" i="50"/>
  <c r="AE20" i="20" s="1"/>
  <c r="AP12" i="23" s="1"/>
  <c r="Q54" i="50"/>
  <c r="AC20" i="20" s="1"/>
  <c r="P54" i="50"/>
  <c r="AB20" i="20" s="1"/>
  <c r="O54" i="50"/>
  <c r="AA20" i="20" s="1"/>
  <c r="B12" i="23" s="1"/>
  <c r="N54" i="50"/>
  <c r="Z20" i="20" s="1"/>
  <c r="AF12" i="23" s="1"/>
  <c r="M54" i="50"/>
  <c r="Y20" i="20" s="1"/>
  <c r="L54" i="50"/>
  <c r="AD20" i="20" s="1"/>
  <c r="S53" i="50"/>
  <c r="R53" i="50"/>
  <c r="AE19" i="20" s="1"/>
  <c r="AP11" i="23" s="1"/>
  <c r="Q53" i="50"/>
  <c r="AC19" i="20" s="1"/>
  <c r="P53" i="50"/>
  <c r="AB19" i="20" s="1"/>
  <c r="O53" i="50"/>
  <c r="AA19" i="20" s="1"/>
  <c r="N53" i="50"/>
  <c r="Z19" i="20" s="1"/>
  <c r="AF11" i="23" s="1"/>
  <c r="M53" i="50"/>
  <c r="Y19" i="20" s="1"/>
  <c r="L53" i="50"/>
  <c r="AD19" i="20" s="1"/>
  <c r="S52" i="50"/>
  <c r="R52" i="50"/>
  <c r="AE18" i="20" s="1"/>
  <c r="AP10" i="23" s="1"/>
  <c r="Q52" i="50"/>
  <c r="AC18" i="20" s="1"/>
  <c r="P52" i="50"/>
  <c r="AB18" i="20" s="1"/>
  <c r="O52" i="50"/>
  <c r="AA18" i="20" s="1"/>
  <c r="N52" i="50"/>
  <c r="Z18" i="20" s="1"/>
  <c r="AF10" i="23" s="1"/>
  <c r="M52" i="50"/>
  <c r="Y18" i="20" s="1"/>
  <c r="L52" i="50"/>
  <c r="AD18" i="20" s="1"/>
  <c r="S51" i="50"/>
  <c r="R51" i="50"/>
  <c r="AE17" i="20" s="1"/>
  <c r="AP9" i="23" s="1"/>
  <c r="Q51" i="50"/>
  <c r="AC17" i="20" s="1"/>
  <c r="P51" i="50"/>
  <c r="AB17" i="20" s="1"/>
  <c r="O51" i="50"/>
  <c r="AA17" i="20" s="1"/>
  <c r="B9" i="23" s="1"/>
  <c r="N51" i="50"/>
  <c r="Z17" i="20" s="1"/>
  <c r="AF9" i="23" s="1"/>
  <c r="M51" i="50"/>
  <c r="Y17" i="20" s="1"/>
  <c r="L51" i="50"/>
  <c r="AD17" i="20" s="1"/>
  <c r="AG46" i="50"/>
  <c r="AL45" i="50"/>
  <c r="AH45" i="50"/>
  <c r="AM44" i="50"/>
  <c r="AL44" i="50"/>
  <c r="AH44" i="50"/>
  <c r="AL41" i="50"/>
  <c r="AH41" i="50"/>
  <c r="AL40" i="50"/>
  <c r="AH40" i="50"/>
  <c r="AL39" i="50"/>
  <c r="AH39" i="50"/>
  <c r="AL38" i="50"/>
  <c r="AH38" i="50"/>
  <c r="AM37" i="50"/>
  <c r="AL37" i="50"/>
  <c r="AH37" i="50"/>
  <c r="AM36" i="50"/>
  <c r="L22" i="50"/>
  <c r="H18" i="20" s="1"/>
  <c r="M22" i="50"/>
  <c r="C18" i="20" s="1"/>
  <c r="N22" i="50"/>
  <c r="D18" i="20" s="1"/>
  <c r="O22" i="50"/>
  <c r="E18" i="20" s="1"/>
  <c r="P22" i="50"/>
  <c r="F18" i="20" s="1"/>
  <c r="Q22" i="50"/>
  <c r="G18" i="20" s="1"/>
  <c r="R22" i="50"/>
  <c r="I18" i="20" s="1"/>
  <c r="S22" i="50"/>
  <c r="L23" i="50"/>
  <c r="H19" i="20" s="1"/>
  <c r="M23" i="50"/>
  <c r="C19" i="20" s="1"/>
  <c r="N23" i="50"/>
  <c r="D19" i="20" s="1"/>
  <c r="O23" i="50"/>
  <c r="E19" i="20" s="1"/>
  <c r="P23" i="50"/>
  <c r="F19" i="20" s="1"/>
  <c r="Q23" i="50"/>
  <c r="G19" i="20" s="1"/>
  <c r="R23" i="50"/>
  <c r="I19" i="20" s="1"/>
  <c r="S23" i="50"/>
  <c r="L24" i="50"/>
  <c r="H20" i="20" s="1"/>
  <c r="M24" i="50"/>
  <c r="C20" i="20" s="1"/>
  <c r="N24" i="50"/>
  <c r="D20" i="20" s="1"/>
  <c r="O24" i="50"/>
  <c r="E20" i="20" s="1"/>
  <c r="P24" i="50"/>
  <c r="F20" i="20" s="1"/>
  <c r="Q24" i="50"/>
  <c r="G20" i="20" s="1"/>
  <c r="R24" i="50"/>
  <c r="I20" i="20" s="1"/>
  <c r="S24" i="50"/>
  <c r="L25" i="50"/>
  <c r="H21" i="20" s="1"/>
  <c r="M25" i="50"/>
  <c r="C21" i="20" s="1"/>
  <c r="N25" i="50"/>
  <c r="D21" i="20" s="1"/>
  <c r="O25" i="50"/>
  <c r="E21" i="20" s="1"/>
  <c r="P25" i="50"/>
  <c r="F21" i="20" s="1"/>
  <c r="Q25" i="50"/>
  <c r="G21" i="20" s="1"/>
  <c r="R25" i="50"/>
  <c r="I21" i="20" s="1"/>
  <c r="S25" i="50"/>
  <c r="L26" i="50"/>
  <c r="H22" i="20" s="1"/>
  <c r="M26" i="50"/>
  <c r="C22" i="20" s="1"/>
  <c r="N26" i="50"/>
  <c r="D22" i="20" s="1"/>
  <c r="O26" i="50"/>
  <c r="E22" i="20" s="1"/>
  <c r="P26" i="50"/>
  <c r="F22" i="20" s="1"/>
  <c r="Q26" i="50"/>
  <c r="G22" i="20" s="1"/>
  <c r="R26" i="50"/>
  <c r="I22" i="20" s="1"/>
  <c r="S26" i="50"/>
  <c r="L27" i="50"/>
  <c r="H23" i="20" s="1"/>
  <c r="M27" i="50"/>
  <c r="C23" i="20" s="1"/>
  <c r="N27" i="50"/>
  <c r="D23" i="20" s="1"/>
  <c r="O27" i="50"/>
  <c r="E23" i="20" s="1"/>
  <c r="P27" i="50"/>
  <c r="F23" i="20" s="1"/>
  <c r="Q27" i="50"/>
  <c r="G23" i="20" s="1"/>
  <c r="R27" i="50"/>
  <c r="I23" i="20" s="1"/>
  <c r="S27" i="50"/>
  <c r="L28" i="50"/>
  <c r="H24" i="20" s="1"/>
  <c r="M28" i="50"/>
  <c r="C24" i="20" s="1"/>
  <c r="N28" i="50"/>
  <c r="D24" i="20" s="1"/>
  <c r="O28" i="50"/>
  <c r="E24" i="20" s="1"/>
  <c r="P28" i="50"/>
  <c r="F24" i="20" s="1"/>
  <c r="Q28" i="50"/>
  <c r="G24" i="20" s="1"/>
  <c r="R28" i="50"/>
  <c r="I24" i="20" s="1"/>
  <c r="S28" i="50"/>
  <c r="L29" i="50"/>
  <c r="H25" i="20" s="1"/>
  <c r="M29" i="50"/>
  <c r="C25" i="20" s="1"/>
  <c r="N29" i="50"/>
  <c r="D25" i="20" s="1"/>
  <c r="O29" i="50"/>
  <c r="E25" i="20" s="1"/>
  <c r="P29" i="50"/>
  <c r="F25" i="20" s="1"/>
  <c r="Q29" i="50"/>
  <c r="G25" i="20" s="1"/>
  <c r="R29" i="50"/>
  <c r="I25" i="20" s="1"/>
  <c r="S29" i="50"/>
  <c r="L30" i="50"/>
  <c r="H26" i="20" s="1"/>
  <c r="M30" i="50"/>
  <c r="C26" i="20" s="1"/>
  <c r="N30" i="50"/>
  <c r="D26" i="20" s="1"/>
  <c r="O30" i="50"/>
  <c r="E26" i="20" s="1"/>
  <c r="P30" i="50"/>
  <c r="F26" i="20" s="1"/>
  <c r="Q30" i="50"/>
  <c r="G26" i="20" s="1"/>
  <c r="R30" i="50"/>
  <c r="I26" i="20" s="1"/>
  <c r="S30" i="50"/>
  <c r="L31" i="50"/>
  <c r="H27" i="20" s="1"/>
  <c r="H63" i="20" s="1"/>
  <c r="H28" i="20" s="1"/>
  <c r="M31" i="50"/>
  <c r="C27" i="20" s="1"/>
  <c r="N31" i="50"/>
  <c r="D27" i="20" s="1"/>
  <c r="D63" i="20" s="1"/>
  <c r="D28" i="20" s="1"/>
  <c r="O31" i="50"/>
  <c r="E27" i="20" s="1"/>
  <c r="E63" i="20" s="1"/>
  <c r="P31" i="50"/>
  <c r="F27" i="20" s="1"/>
  <c r="F63" i="20" s="1"/>
  <c r="F28" i="20" s="1"/>
  <c r="Q31" i="50"/>
  <c r="G27" i="20" s="1"/>
  <c r="G63" i="20" s="1"/>
  <c r="R31" i="50"/>
  <c r="I27" i="20" s="1"/>
  <c r="I63" i="20" s="1"/>
  <c r="S31" i="50"/>
  <c r="M21" i="50"/>
  <c r="C17" i="20" s="1"/>
  <c r="N21" i="50"/>
  <c r="D17" i="20" s="1"/>
  <c r="O21" i="50"/>
  <c r="E17" i="20" s="1"/>
  <c r="P21" i="50"/>
  <c r="F17" i="20" s="1"/>
  <c r="Q21" i="50"/>
  <c r="G17" i="20" s="1"/>
  <c r="R21" i="50"/>
  <c r="I17" i="20" s="1"/>
  <c r="S21" i="50"/>
  <c r="L21" i="50"/>
  <c r="H17" i="20" s="1"/>
  <c r="I31" i="50"/>
  <c r="I30" i="50"/>
  <c r="I29" i="50"/>
  <c r="I28" i="50"/>
  <c r="I27" i="50"/>
  <c r="I26" i="50"/>
  <c r="I21" i="50"/>
  <c r="I20" i="50"/>
  <c r="V7" i="50"/>
  <c r="V22" i="50" s="1"/>
  <c r="H69" i="20" s="1"/>
  <c r="W7" i="50"/>
  <c r="AG7" i="50" s="1"/>
  <c r="X7" i="50"/>
  <c r="X72" i="50" s="1"/>
  <c r="O69" i="20" s="1"/>
  <c r="Y7" i="50"/>
  <c r="AI7" i="50" s="1"/>
  <c r="Z7" i="50"/>
  <c r="Z22" i="50" s="1"/>
  <c r="F69" i="20" s="1"/>
  <c r="AA7" i="50"/>
  <c r="AK7" i="50" s="1"/>
  <c r="AB7" i="50"/>
  <c r="AC7" i="50"/>
  <c r="V8" i="50"/>
  <c r="V23" i="50" s="1"/>
  <c r="H70" i="20" s="1"/>
  <c r="W8" i="50"/>
  <c r="AG8" i="50" s="1"/>
  <c r="X8" i="50"/>
  <c r="X73" i="50" s="1"/>
  <c r="O70" i="20" s="1"/>
  <c r="Y8" i="50"/>
  <c r="AI8" i="50" s="1"/>
  <c r="Z8" i="50"/>
  <c r="Z23" i="50" s="1"/>
  <c r="F70" i="20" s="1"/>
  <c r="AA8" i="50"/>
  <c r="AK8" i="50" s="1"/>
  <c r="AB8" i="50"/>
  <c r="AC8" i="50"/>
  <c r="V9" i="50"/>
  <c r="V24" i="50" s="1"/>
  <c r="H71" i="20" s="1"/>
  <c r="W9" i="50"/>
  <c r="AG9" i="50" s="1"/>
  <c r="X9" i="50"/>
  <c r="X74" i="50" s="1"/>
  <c r="O71" i="20" s="1"/>
  <c r="Y9" i="50"/>
  <c r="AI9" i="50" s="1"/>
  <c r="Z9" i="50"/>
  <c r="Z24" i="50" s="1"/>
  <c r="F71" i="20" s="1"/>
  <c r="AA9" i="50"/>
  <c r="AK9" i="50" s="1"/>
  <c r="AB9" i="50"/>
  <c r="AC9" i="50"/>
  <c r="V10" i="50"/>
  <c r="V25" i="50" s="1"/>
  <c r="H72" i="20" s="1"/>
  <c r="W10" i="50"/>
  <c r="AG10" i="50" s="1"/>
  <c r="X10" i="50"/>
  <c r="X75" i="50" s="1"/>
  <c r="O72" i="20" s="1"/>
  <c r="Y10" i="50"/>
  <c r="AI10" i="50" s="1"/>
  <c r="Z10" i="50"/>
  <c r="Z25" i="50" s="1"/>
  <c r="F72" i="20" s="1"/>
  <c r="AA10" i="50"/>
  <c r="AK10" i="50" s="1"/>
  <c r="AB10" i="50"/>
  <c r="AC10" i="50"/>
  <c r="V11" i="50"/>
  <c r="V26" i="50" s="1"/>
  <c r="H73" i="20" s="1"/>
  <c r="W11" i="50"/>
  <c r="AG11" i="50" s="1"/>
  <c r="X11" i="50"/>
  <c r="X76" i="50" s="1"/>
  <c r="O73" i="20" s="1"/>
  <c r="Y11" i="50"/>
  <c r="AI11" i="50" s="1"/>
  <c r="Z11" i="50"/>
  <c r="Z26" i="50" s="1"/>
  <c r="F73" i="20" s="1"/>
  <c r="AA11" i="50"/>
  <c r="AK11" i="50" s="1"/>
  <c r="AB11" i="50"/>
  <c r="AC11" i="50"/>
  <c r="V12" i="50"/>
  <c r="V27" i="50" s="1"/>
  <c r="H74" i="20" s="1"/>
  <c r="W12" i="50"/>
  <c r="AG12" i="50" s="1"/>
  <c r="X12" i="50"/>
  <c r="X77" i="50" s="1"/>
  <c r="O74" i="20" s="1"/>
  <c r="Y12" i="50"/>
  <c r="AI12" i="50" s="1"/>
  <c r="Z12" i="50"/>
  <c r="Z27" i="50" s="1"/>
  <c r="F74" i="20" s="1"/>
  <c r="AA12" i="50"/>
  <c r="AK12" i="50" s="1"/>
  <c r="AB12" i="50"/>
  <c r="AC12" i="50"/>
  <c r="V13" i="50"/>
  <c r="V28" i="50" s="1"/>
  <c r="H75" i="20" s="1"/>
  <c r="W13" i="50"/>
  <c r="AG13" i="50" s="1"/>
  <c r="X13" i="50"/>
  <c r="X78" i="50" s="1"/>
  <c r="O75" i="20" s="1"/>
  <c r="Y13" i="50"/>
  <c r="AI13" i="50" s="1"/>
  <c r="Z13" i="50"/>
  <c r="Z28" i="50" s="1"/>
  <c r="F75" i="20" s="1"/>
  <c r="AA13" i="50"/>
  <c r="AK13" i="50" s="1"/>
  <c r="AB13" i="50"/>
  <c r="AC13" i="50"/>
  <c r="V14" i="50"/>
  <c r="V29" i="50" s="1"/>
  <c r="H76" i="20" s="1"/>
  <c r="W14" i="50"/>
  <c r="AG14" i="50" s="1"/>
  <c r="X14" i="50"/>
  <c r="AH14" i="50" s="1"/>
  <c r="Y14" i="50"/>
  <c r="AI14" i="50" s="1"/>
  <c r="Z14" i="50"/>
  <c r="Z29" i="50" s="1"/>
  <c r="F76" i="20" s="1"/>
  <c r="AA14" i="50"/>
  <c r="AK14" i="50" s="1"/>
  <c r="AB14" i="50"/>
  <c r="AB79" i="50" s="1"/>
  <c r="T76" i="20" s="1"/>
  <c r="AC14" i="50"/>
  <c r="V15" i="50"/>
  <c r="V30" i="50" s="1"/>
  <c r="H77" i="20" s="1"/>
  <c r="W15" i="50"/>
  <c r="AG15" i="50" s="1"/>
  <c r="X15" i="50"/>
  <c r="AH15" i="50" s="1"/>
  <c r="Y15" i="50"/>
  <c r="AI15" i="50" s="1"/>
  <c r="Z15" i="50"/>
  <c r="Z30" i="50" s="1"/>
  <c r="F77" i="20" s="1"/>
  <c r="AA15" i="50"/>
  <c r="AK15" i="50" s="1"/>
  <c r="AB15" i="50"/>
  <c r="AC15" i="50"/>
  <c r="V16" i="50"/>
  <c r="V31" i="50" s="1"/>
  <c r="H78" i="20" s="1"/>
  <c r="W16" i="50"/>
  <c r="AG16" i="50" s="1"/>
  <c r="X16" i="50"/>
  <c r="AH16" i="50" s="1"/>
  <c r="Y16" i="50"/>
  <c r="AI16" i="50" s="1"/>
  <c r="Z16" i="50"/>
  <c r="Z31" i="50" s="1"/>
  <c r="F78" i="20" s="1"/>
  <c r="AA16" i="50"/>
  <c r="AK16" i="50" s="1"/>
  <c r="AB16" i="50"/>
  <c r="AB81" i="50" s="1"/>
  <c r="T78" i="20" s="1"/>
  <c r="AC16" i="50"/>
  <c r="W6" i="50"/>
  <c r="W71" i="50" s="1"/>
  <c r="N68" i="20" s="1"/>
  <c r="X6" i="50"/>
  <c r="AH6" i="50" s="1"/>
  <c r="Y6" i="50"/>
  <c r="AI6" i="50" s="1"/>
  <c r="Z6" i="50"/>
  <c r="AJ6" i="50" s="1"/>
  <c r="AA6" i="50"/>
  <c r="AA71" i="50" s="1"/>
  <c r="R68" i="20" s="1"/>
  <c r="AB6" i="50"/>
  <c r="AL6" i="50" s="1"/>
  <c r="AC6" i="50"/>
  <c r="AC71" i="50" s="1"/>
  <c r="V6" i="50"/>
  <c r="AF6" i="50" s="1"/>
  <c r="AL14" i="50"/>
  <c r="AL10" i="50"/>
  <c r="AJ10" i="50"/>
  <c r="U75" i="20" l="1"/>
  <c r="R86" i="20"/>
  <c r="R94" i="20"/>
  <c r="R102" i="20"/>
  <c r="R110" i="20"/>
  <c r="R101" i="20"/>
  <c r="R91" i="20"/>
  <c r="R107" i="20"/>
  <c r="R97" i="20"/>
  <c r="N82" i="20"/>
  <c r="N90" i="20"/>
  <c r="N98" i="20"/>
  <c r="N106" i="20"/>
  <c r="N83" i="20"/>
  <c r="N81" i="20"/>
  <c r="N97" i="20"/>
  <c r="N79" i="20"/>
  <c r="N111" i="20"/>
  <c r="O84" i="20"/>
  <c r="O92" i="20"/>
  <c r="O100" i="20"/>
  <c r="O108" i="20"/>
  <c r="O87" i="20"/>
  <c r="O103" i="20"/>
  <c r="O85" i="20"/>
  <c r="O81" i="20"/>
  <c r="U25" i="20"/>
  <c r="R52" i="20"/>
  <c r="R53" i="20"/>
  <c r="R29" i="20"/>
  <c r="R33" i="20"/>
  <c r="R41" i="20"/>
  <c r="R57" i="20"/>
  <c r="R35" i="20"/>
  <c r="R46" i="20"/>
  <c r="R28" i="20"/>
  <c r="R39" i="20"/>
  <c r="R47" i="20"/>
  <c r="R60" i="20"/>
  <c r="R54" i="20"/>
  <c r="R40" i="20"/>
  <c r="R49" i="20"/>
  <c r="R61" i="20"/>
  <c r="R51" i="20"/>
  <c r="R30" i="20"/>
  <c r="R34" i="20"/>
  <c r="R42" i="20"/>
  <c r="R58" i="20"/>
  <c r="R43" i="20"/>
  <c r="R59" i="20"/>
  <c r="R36" i="20"/>
  <c r="R37" i="20"/>
  <c r="R31" i="20"/>
  <c r="R55" i="20"/>
  <c r="R44" i="20"/>
  <c r="R48" i="20"/>
  <c r="R38" i="20"/>
  <c r="R32" i="20"/>
  <c r="R56" i="20"/>
  <c r="R45" i="20"/>
  <c r="R50" i="20"/>
  <c r="X71" i="50"/>
  <c r="O68" i="20" s="1"/>
  <c r="U68" i="20" s="1"/>
  <c r="W80" i="50"/>
  <c r="N77" i="20" s="1"/>
  <c r="N84" i="20" s="1"/>
  <c r="N17" i="23"/>
  <c r="D17" i="23"/>
  <c r="AG15" i="23"/>
  <c r="AQ9" i="23"/>
  <c r="AG19" i="23"/>
  <c r="AG12" i="23"/>
  <c r="AM16" i="50"/>
  <c r="AA13" i="14"/>
  <c r="AM15" i="50"/>
  <c r="AA12" i="14"/>
  <c r="AM13" i="50"/>
  <c r="AA10" i="14"/>
  <c r="AM12" i="50"/>
  <c r="AA9" i="14"/>
  <c r="AM10" i="50"/>
  <c r="AA7" i="14"/>
  <c r="AM9" i="50"/>
  <c r="AA6" i="14"/>
  <c r="Z81" i="50"/>
  <c r="Q78" i="20" s="1"/>
  <c r="Z80" i="50"/>
  <c r="Q77" i="20" s="1"/>
  <c r="Z79" i="50"/>
  <c r="Q76" i="20" s="1"/>
  <c r="Z78" i="50"/>
  <c r="Q75" i="20" s="1"/>
  <c r="Z77" i="50"/>
  <c r="Q74" i="20" s="1"/>
  <c r="Z76" i="50"/>
  <c r="Q73" i="20" s="1"/>
  <c r="Z75" i="50"/>
  <c r="Q72" i="20" s="1"/>
  <c r="Z73" i="50"/>
  <c r="Q70" i="20" s="1"/>
  <c r="AF47" i="10"/>
  <c r="E47" i="10"/>
  <c r="AF23" i="10"/>
  <c r="E23" i="10"/>
  <c r="N16" i="23"/>
  <c r="D16" i="23"/>
  <c r="E46" i="10"/>
  <c r="AF46" i="10"/>
  <c r="E30" i="10"/>
  <c r="AF30" i="10"/>
  <c r="N15" i="23"/>
  <c r="D15" i="23"/>
  <c r="AF21" i="10"/>
  <c r="E21" i="10"/>
  <c r="AF37" i="10"/>
  <c r="E37" i="10"/>
  <c r="E20" i="10"/>
  <c r="AF20" i="10"/>
  <c r="N13" i="23"/>
  <c r="D13" i="23"/>
  <c r="N18" i="23"/>
  <c r="D18" i="23"/>
  <c r="AF19" i="10"/>
  <c r="E19" i="10"/>
  <c r="AB30" i="50"/>
  <c r="I77" i="20" s="1"/>
  <c r="AB28" i="50"/>
  <c r="I75" i="20" s="1"/>
  <c r="AB27" i="50"/>
  <c r="I74" i="20" s="1"/>
  <c r="AB26" i="50"/>
  <c r="I73" i="20" s="1"/>
  <c r="AB25" i="50"/>
  <c r="I72" i="20" s="1"/>
  <c r="AB24" i="50"/>
  <c r="I71" i="20" s="1"/>
  <c r="AB23" i="50"/>
  <c r="I70" i="20" s="1"/>
  <c r="AB22" i="50"/>
  <c r="I69" i="20" s="1"/>
  <c r="I101" i="20"/>
  <c r="I100" i="20"/>
  <c r="I99" i="20"/>
  <c r="I96" i="20"/>
  <c r="I91" i="20"/>
  <c r="I107" i="20"/>
  <c r="I93" i="20"/>
  <c r="I79" i="20"/>
  <c r="I106" i="20"/>
  <c r="I111" i="20"/>
  <c r="I83" i="20"/>
  <c r="I80" i="20"/>
  <c r="I105" i="20"/>
  <c r="I102" i="20"/>
  <c r="I82" i="20"/>
  <c r="I84" i="20"/>
  <c r="I97" i="20"/>
  <c r="I110" i="20"/>
  <c r="I98" i="20"/>
  <c r="I95" i="20"/>
  <c r="I90" i="20"/>
  <c r="I87" i="20"/>
  <c r="I92" i="20"/>
  <c r="I89" i="20"/>
  <c r="I85" i="20"/>
  <c r="I109" i="20"/>
  <c r="I94" i="20"/>
  <c r="I86" i="20"/>
  <c r="I88" i="20"/>
  <c r="I81" i="20"/>
  <c r="I103" i="20"/>
  <c r="I108" i="20"/>
  <c r="I112" i="20"/>
  <c r="I104" i="20"/>
  <c r="AL36" i="50"/>
  <c r="AF7" i="50"/>
  <c r="AJ13" i="50"/>
  <c r="J21" i="20"/>
  <c r="J20" i="20"/>
  <c r="J19" i="20"/>
  <c r="J18" i="20"/>
  <c r="AF18" i="20"/>
  <c r="AF19" i="20"/>
  <c r="AF20" i="20"/>
  <c r="AF21" i="20"/>
  <c r="AF22" i="20"/>
  <c r="T29" i="20"/>
  <c r="O61" i="20"/>
  <c r="O29" i="20"/>
  <c r="O45" i="20"/>
  <c r="O28" i="20"/>
  <c r="O42" i="20"/>
  <c r="O58" i="20"/>
  <c r="O43" i="20"/>
  <c r="O59" i="20"/>
  <c r="O32" i="20"/>
  <c r="O44" i="20"/>
  <c r="O53" i="20"/>
  <c r="O50" i="20"/>
  <c r="O51" i="20"/>
  <c r="O57" i="20"/>
  <c r="O54" i="20"/>
  <c r="O55" i="20"/>
  <c r="O60" i="20"/>
  <c r="O33" i="20"/>
  <c r="O49" i="20"/>
  <c r="O30" i="20"/>
  <c r="O46" i="20"/>
  <c r="O31" i="20"/>
  <c r="O47" i="20"/>
  <c r="O56" i="20"/>
  <c r="O52" i="20"/>
  <c r="O37" i="20"/>
  <c r="O34" i="20"/>
  <c r="O35" i="20"/>
  <c r="O40" i="20"/>
  <c r="O36" i="20"/>
  <c r="O41" i="20"/>
  <c r="O38" i="20"/>
  <c r="O39" i="20"/>
  <c r="O48" i="20"/>
  <c r="Y71" i="50"/>
  <c r="P68" i="20" s="1"/>
  <c r="X81" i="50"/>
  <c r="O78" i="20" s="1"/>
  <c r="U78" i="20" s="1"/>
  <c r="AB80" i="50"/>
  <c r="T77" i="20" s="1"/>
  <c r="X80" i="50"/>
  <c r="O77" i="20" s="1"/>
  <c r="X79" i="50"/>
  <c r="O76" i="20" s="1"/>
  <c r="O86" i="20" s="1"/>
  <c r="AB78" i="50"/>
  <c r="T75" i="20" s="1"/>
  <c r="AB77" i="50"/>
  <c r="T74" i="20" s="1"/>
  <c r="AB76" i="50"/>
  <c r="T73" i="20" s="1"/>
  <c r="AB75" i="50"/>
  <c r="T72" i="20" s="1"/>
  <c r="AB74" i="50"/>
  <c r="T71" i="20" s="1"/>
  <c r="AB73" i="50"/>
  <c r="T70" i="20" s="1"/>
  <c r="AB72" i="50"/>
  <c r="T69" i="20" s="1"/>
  <c r="N14" i="23"/>
  <c r="D14" i="23"/>
  <c r="AF51" i="10"/>
  <c r="E51" i="10"/>
  <c r="AF43" i="10"/>
  <c r="E43" i="10"/>
  <c r="AF35" i="10"/>
  <c r="E35" i="10"/>
  <c r="AF27" i="10"/>
  <c r="E27" i="10"/>
  <c r="L11" i="23"/>
  <c r="AG16" i="23"/>
  <c r="AG10" i="23"/>
  <c r="E50" i="10"/>
  <c r="AF50" i="10"/>
  <c r="E42" i="10"/>
  <c r="AF42" i="10"/>
  <c r="E34" i="10"/>
  <c r="AF34" i="10"/>
  <c r="E26" i="10"/>
  <c r="AF26" i="10"/>
  <c r="AH9" i="23"/>
  <c r="AF49" i="10"/>
  <c r="E49" i="10"/>
  <c r="AF41" i="10"/>
  <c r="E41" i="10"/>
  <c r="AF33" i="10"/>
  <c r="E33" i="10"/>
  <c r="AF25" i="10"/>
  <c r="E25" i="10"/>
  <c r="AQ19" i="23"/>
  <c r="AG13" i="23"/>
  <c r="C19" i="10"/>
  <c r="N19" i="10" s="1"/>
  <c r="E48" i="10"/>
  <c r="AF48" i="10"/>
  <c r="E40" i="10"/>
  <c r="AF40" i="10"/>
  <c r="E32" i="10"/>
  <c r="AF32" i="10"/>
  <c r="E24" i="10"/>
  <c r="AF24" i="10"/>
  <c r="F81" i="20"/>
  <c r="F85" i="20"/>
  <c r="F89" i="20"/>
  <c r="F93" i="20"/>
  <c r="F97" i="20"/>
  <c r="F101" i="20"/>
  <c r="F105" i="20"/>
  <c r="F109" i="20"/>
  <c r="F79" i="20"/>
  <c r="F82" i="20"/>
  <c r="F86" i="20"/>
  <c r="F90" i="20"/>
  <c r="F94" i="20"/>
  <c r="F98" i="20"/>
  <c r="F102" i="20"/>
  <c r="F106" i="20"/>
  <c r="F110" i="20"/>
  <c r="F80" i="20"/>
  <c r="F88" i="20"/>
  <c r="F96" i="20"/>
  <c r="F104" i="20"/>
  <c r="F112" i="20"/>
  <c r="F83" i="20"/>
  <c r="F91" i="20"/>
  <c r="F99" i="20"/>
  <c r="F107" i="20"/>
  <c r="F95" i="20"/>
  <c r="F111" i="20"/>
  <c r="F103" i="20"/>
  <c r="F92" i="20"/>
  <c r="F108" i="20"/>
  <c r="F84" i="20"/>
  <c r="F100" i="20"/>
  <c r="F87" i="20"/>
  <c r="H81" i="20"/>
  <c r="H85" i="20"/>
  <c r="H89" i="20"/>
  <c r="H93" i="20"/>
  <c r="H97" i="20"/>
  <c r="H101" i="20"/>
  <c r="H105" i="20"/>
  <c r="H109" i="20"/>
  <c r="H79" i="20"/>
  <c r="H82" i="20"/>
  <c r="H86" i="20"/>
  <c r="H90" i="20"/>
  <c r="H94" i="20"/>
  <c r="H98" i="20"/>
  <c r="H102" i="20"/>
  <c r="H106" i="20"/>
  <c r="H110" i="20"/>
  <c r="H84" i="20"/>
  <c r="H92" i="20"/>
  <c r="H100" i="20"/>
  <c r="H108" i="20"/>
  <c r="H87" i="20"/>
  <c r="H95" i="20"/>
  <c r="H103" i="20"/>
  <c r="H111" i="20"/>
  <c r="H83" i="20"/>
  <c r="H99" i="20"/>
  <c r="H107" i="20"/>
  <c r="H96" i="20"/>
  <c r="H88" i="20"/>
  <c r="H104" i="20"/>
  <c r="H91" i="20"/>
  <c r="H80" i="20"/>
  <c r="H112" i="20"/>
  <c r="U27" i="20"/>
  <c r="U26" i="20"/>
  <c r="U24" i="20"/>
  <c r="U23" i="20"/>
  <c r="N28" i="20"/>
  <c r="N34" i="20"/>
  <c r="N31" i="20"/>
  <c r="N47" i="20"/>
  <c r="N32" i="20"/>
  <c r="N48" i="20"/>
  <c r="N29" i="20"/>
  <c r="N45" i="20"/>
  <c r="N61" i="20"/>
  <c r="N42" i="20"/>
  <c r="N39" i="20"/>
  <c r="N40" i="20"/>
  <c r="N37" i="20"/>
  <c r="N54" i="20"/>
  <c r="N43" i="20"/>
  <c r="N44" i="20"/>
  <c r="N41" i="20"/>
  <c r="N46" i="20"/>
  <c r="U22" i="20"/>
  <c r="N35" i="20"/>
  <c r="N51" i="20"/>
  <c r="N36" i="20"/>
  <c r="N52" i="20"/>
  <c r="N33" i="20"/>
  <c r="N49" i="20"/>
  <c r="N38" i="20"/>
  <c r="N58" i="20"/>
  <c r="N55" i="20"/>
  <c r="N56" i="20"/>
  <c r="N53" i="20"/>
  <c r="N30" i="20"/>
  <c r="N50" i="20"/>
  <c r="N59" i="20"/>
  <c r="N60" i="20"/>
  <c r="N57" i="20"/>
  <c r="U21" i="20"/>
  <c r="U20" i="20"/>
  <c r="U19" i="20"/>
  <c r="AA81" i="50"/>
  <c r="R78" i="20" s="1"/>
  <c r="AA80" i="50"/>
  <c r="R77" i="20" s="1"/>
  <c r="R80" i="20" s="1"/>
  <c r="AF14" i="23"/>
  <c r="AG11" i="23"/>
  <c r="M10" i="23"/>
  <c r="O10" i="23" s="1"/>
  <c r="N9" i="23"/>
  <c r="D9" i="23"/>
  <c r="AG18" i="23"/>
  <c r="Z17" i="14"/>
  <c r="Y16" i="14"/>
  <c r="AL16" i="14" s="1"/>
  <c r="AM14" i="50"/>
  <c r="AA11" i="14"/>
  <c r="AM11" i="50"/>
  <c r="AA8" i="14"/>
  <c r="AM8" i="50"/>
  <c r="AA5" i="14"/>
  <c r="AM7" i="50"/>
  <c r="AA4" i="14"/>
  <c r="U17" i="20"/>
  <c r="Q39" i="20"/>
  <c r="Q54" i="20"/>
  <c r="Q30" i="20"/>
  <c r="Q34" i="20"/>
  <c r="Q53" i="20"/>
  <c r="Q59" i="20"/>
  <c r="Q43" i="20"/>
  <c r="Q47" i="20"/>
  <c r="Q49" i="20"/>
  <c r="Q32" i="20"/>
  <c r="Q61" i="20"/>
  <c r="Q45" i="20"/>
  <c r="Q40" i="20"/>
  <c r="Q48" i="20"/>
  <c r="Q33" i="20"/>
  <c r="Q60" i="20"/>
  <c r="Q44" i="20"/>
  <c r="Q56" i="20"/>
  <c r="Q42" i="20"/>
  <c r="Q57" i="20"/>
  <c r="Q55" i="20"/>
  <c r="Q58" i="20"/>
  <c r="Q52" i="20"/>
  <c r="Q50" i="20"/>
  <c r="Q31" i="20"/>
  <c r="Q35" i="20"/>
  <c r="Q51" i="20"/>
  <c r="Q28" i="20"/>
  <c r="Q46" i="20"/>
  <c r="Q41" i="20"/>
  <c r="Q36" i="20"/>
  <c r="Q29" i="20"/>
  <c r="Q37" i="20"/>
  <c r="Q38" i="20"/>
  <c r="V81" i="50"/>
  <c r="S78" i="20" s="1"/>
  <c r="V80" i="50"/>
  <c r="S77" i="20" s="1"/>
  <c r="V79" i="50"/>
  <c r="S76" i="20" s="1"/>
  <c r="V78" i="50"/>
  <c r="S75" i="20" s="1"/>
  <c r="V77" i="50"/>
  <c r="S74" i="20" s="1"/>
  <c r="V76" i="50"/>
  <c r="S73" i="20" s="1"/>
  <c r="V75" i="50"/>
  <c r="S72" i="20" s="1"/>
  <c r="Z74" i="50"/>
  <c r="Q71" i="20" s="1"/>
  <c r="V74" i="50"/>
  <c r="S71" i="20" s="1"/>
  <c r="V73" i="50"/>
  <c r="S70" i="20" s="1"/>
  <c r="Z72" i="50"/>
  <c r="Q69" i="20" s="1"/>
  <c r="V72" i="50"/>
  <c r="S69" i="20" s="1"/>
  <c r="AF39" i="10"/>
  <c r="E39" i="10"/>
  <c r="AF31" i="10"/>
  <c r="E31" i="10"/>
  <c r="M17" i="23"/>
  <c r="O17" i="23" s="1"/>
  <c r="M11" i="23"/>
  <c r="O11" i="23" s="1"/>
  <c r="N10" i="23"/>
  <c r="D10" i="23"/>
  <c r="E38" i="10"/>
  <c r="AF38" i="10"/>
  <c r="E22" i="10"/>
  <c r="AF22" i="10"/>
  <c r="AF45" i="10"/>
  <c r="E45" i="10"/>
  <c r="AF29" i="10"/>
  <c r="E29" i="10"/>
  <c r="M19" i="23"/>
  <c r="O19" i="23" s="1"/>
  <c r="M12" i="23"/>
  <c r="O12" i="23" s="1"/>
  <c r="E18" i="10"/>
  <c r="AF18" i="10"/>
  <c r="AF44" i="10"/>
  <c r="E44" i="10"/>
  <c r="AF36" i="10"/>
  <c r="E36" i="10"/>
  <c r="AF28" i="10"/>
  <c r="E28" i="10"/>
  <c r="AF12" i="50"/>
  <c r="AM6" i="50"/>
  <c r="AA3" i="14"/>
  <c r="AB31" i="50"/>
  <c r="I78" i="20" s="1"/>
  <c r="I114" i="20" s="1"/>
  <c r="AB29" i="50"/>
  <c r="I76" i="20" s="1"/>
  <c r="Y61" i="50"/>
  <c r="AA78" i="20" s="1"/>
  <c r="P40" i="20"/>
  <c r="P59" i="20"/>
  <c r="P28" i="20"/>
  <c r="P29" i="20"/>
  <c r="P34" i="20"/>
  <c r="P51" i="20"/>
  <c r="P38" i="20"/>
  <c r="P47" i="20"/>
  <c r="P44" i="20"/>
  <c r="P41" i="20"/>
  <c r="P36" i="20"/>
  <c r="P57" i="20"/>
  <c r="P30" i="20"/>
  <c r="P43" i="20"/>
  <c r="P39" i="20"/>
  <c r="P37" i="20"/>
  <c r="P55" i="20"/>
  <c r="P60" i="20"/>
  <c r="P45" i="20"/>
  <c r="P31" i="20"/>
  <c r="P35" i="20"/>
  <c r="P54" i="20"/>
  <c r="P50" i="20"/>
  <c r="P46" i="20"/>
  <c r="P58" i="20"/>
  <c r="P32" i="20"/>
  <c r="P53" i="20"/>
  <c r="P42" i="20"/>
  <c r="P49" i="20"/>
  <c r="P61" i="20"/>
  <c r="P56" i="20"/>
  <c r="P33" i="20"/>
  <c r="P52" i="20"/>
  <c r="P48" i="20"/>
  <c r="V71" i="50"/>
  <c r="S68" i="20" s="1"/>
  <c r="Z71" i="50"/>
  <c r="Q68" i="20" s="1"/>
  <c r="AC81" i="50"/>
  <c r="Y81" i="50"/>
  <c r="P78" i="20" s="1"/>
  <c r="AC80" i="50"/>
  <c r="Y80" i="50"/>
  <c r="P77" i="20" s="1"/>
  <c r="AC79" i="50"/>
  <c r="Y79" i="50"/>
  <c r="P76" i="20" s="1"/>
  <c r="AC78" i="50"/>
  <c r="Y78" i="50"/>
  <c r="P75" i="20" s="1"/>
  <c r="AC77" i="50"/>
  <c r="Y77" i="50"/>
  <c r="P74" i="20" s="1"/>
  <c r="AC76" i="50"/>
  <c r="Y76" i="50"/>
  <c r="P73" i="20" s="1"/>
  <c r="AC75" i="50"/>
  <c r="Y75" i="50"/>
  <c r="P72" i="20" s="1"/>
  <c r="U72" i="20" s="1"/>
  <c r="AC74" i="50"/>
  <c r="Y74" i="50"/>
  <c r="P71" i="20" s="1"/>
  <c r="U71" i="20" s="1"/>
  <c r="AC73" i="50"/>
  <c r="Y73" i="50"/>
  <c r="P70" i="20" s="1"/>
  <c r="U70" i="20" s="1"/>
  <c r="AC72" i="50"/>
  <c r="Y72" i="50"/>
  <c r="P69" i="20" s="1"/>
  <c r="U69" i="20" s="1"/>
  <c r="M14" i="23"/>
  <c r="O14" i="23" s="1"/>
  <c r="AG17" i="23"/>
  <c r="N11" i="23"/>
  <c r="D11" i="23"/>
  <c r="L10" i="23"/>
  <c r="M9" i="23"/>
  <c r="O9" i="23" s="1"/>
  <c r="N19" i="23"/>
  <c r="D19" i="23"/>
  <c r="M13" i="23"/>
  <c r="O13" i="23" s="1"/>
  <c r="L13" i="23"/>
  <c r="N12" i="23"/>
  <c r="D12" i="23"/>
  <c r="AM61" i="50"/>
  <c r="AI61" i="50"/>
  <c r="AM57" i="50"/>
  <c r="AF15" i="50"/>
  <c r="AL8" i="50"/>
  <c r="AL12" i="50"/>
  <c r="AL16" i="50"/>
  <c r="AA21" i="50"/>
  <c r="W21" i="50"/>
  <c r="Y57" i="50"/>
  <c r="AF24" i="50"/>
  <c r="AJ7" i="50"/>
  <c r="AF9" i="50"/>
  <c r="AJ12" i="50"/>
  <c r="AF14" i="50"/>
  <c r="AJ15" i="50"/>
  <c r="V51" i="50"/>
  <c r="Z51" i="50"/>
  <c r="V52" i="50"/>
  <c r="Z52" i="50"/>
  <c r="V53" i="50"/>
  <c r="Z53" i="50"/>
  <c r="V54" i="50"/>
  <c r="Z54" i="50"/>
  <c r="V55" i="50"/>
  <c r="Z55" i="50"/>
  <c r="V56" i="50"/>
  <c r="Z56" i="50"/>
  <c r="V57" i="50"/>
  <c r="Z57" i="50"/>
  <c r="V58" i="50"/>
  <c r="Z58" i="50"/>
  <c r="V59" i="50"/>
  <c r="Z59" i="50"/>
  <c r="V60" i="50"/>
  <c r="Z60" i="50"/>
  <c r="Z61" i="50"/>
  <c r="AC51" i="50"/>
  <c r="AM51" i="50" s="1"/>
  <c r="Y55" i="50"/>
  <c r="AB54" i="50"/>
  <c r="AG6" i="50"/>
  <c r="AF8" i="50"/>
  <c r="AJ9" i="50"/>
  <c r="AF11" i="50"/>
  <c r="AJ14" i="50"/>
  <c r="AF16" i="50"/>
  <c r="W51" i="50"/>
  <c r="AA51" i="50"/>
  <c r="W52" i="50"/>
  <c r="AA52" i="50"/>
  <c r="W53" i="50"/>
  <c r="AA53" i="50"/>
  <c r="W54" i="50"/>
  <c r="AA54" i="50"/>
  <c r="W55" i="50"/>
  <c r="AA55" i="50"/>
  <c r="W56" i="50"/>
  <c r="AA56" i="50"/>
  <c r="W57" i="50"/>
  <c r="AA57" i="50"/>
  <c r="W59" i="50"/>
  <c r="AA59" i="50"/>
  <c r="AC52" i="50"/>
  <c r="AM52" i="50" s="1"/>
  <c r="AB56" i="50"/>
  <c r="X60" i="50"/>
  <c r="AK6" i="50"/>
  <c r="AJ8" i="50"/>
  <c r="AF10" i="50"/>
  <c r="AJ11" i="50"/>
  <c r="AF13" i="50"/>
  <c r="AJ16" i="50"/>
  <c r="X61" i="50"/>
  <c r="AB61" i="50"/>
  <c r="AB53" i="50"/>
  <c r="Y59" i="50"/>
  <c r="AJ23" i="50"/>
  <c r="AF23" i="50"/>
  <c r="AJ22" i="50"/>
  <c r="AF22" i="50"/>
  <c r="X31" i="50"/>
  <c r="X29" i="50"/>
  <c r="AL7" i="50"/>
  <c r="AL11" i="50"/>
  <c r="AL15" i="50"/>
  <c r="AC21" i="50"/>
  <c r="AM21" i="50" s="1"/>
  <c r="AF31" i="50"/>
  <c r="AF30" i="50"/>
  <c r="AF29" i="50"/>
  <c r="AF28" i="50"/>
  <c r="AF27" i="50"/>
  <c r="AF26" i="50"/>
  <c r="AJ25" i="50"/>
  <c r="AJ24" i="50"/>
  <c r="X27" i="50"/>
  <c r="AH12" i="50"/>
  <c r="AH11" i="50"/>
  <c r="X26" i="50"/>
  <c r="X23" i="50"/>
  <c r="AH8" i="50"/>
  <c r="AH7" i="50"/>
  <c r="X22" i="50"/>
  <c r="AL29" i="50"/>
  <c r="AL28" i="50"/>
  <c r="AL27" i="50"/>
  <c r="AL26" i="50"/>
  <c r="AL25" i="50"/>
  <c r="AL24" i="50"/>
  <c r="AL23" i="50"/>
  <c r="AL22" i="50"/>
  <c r="Y21" i="50"/>
  <c r="X30" i="50"/>
  <c r="AJ31" i="50"/>
  <c r="AJ30" i="50"/>
  <c r="AJ29" i="50"/>
  <c r="AJ28" i="50"/>
  <c r="AJ27" i="50"/>
  <c r="AJ26" i="50"/>
  <c r="AF25" i="50"/>
  <c r="AH13" i="50"/>
  <c r="X28" i="50"/>
  <c r="AH10" i="50"/>
  <c r="X25" i="50"/>
  <c r="AH9" i="50"/>
  <c r="X24" i="50"/>
  <c r="AL9" i="50"/>
  <c r="AL13" i="50"/>
  <c r="AB21" i="50"/>
  <c r="X21" i="50"/>
  <c r="AA31" i="50"/>
  <c r="W31" i="50"/>
  <c r="AA30" i="50"/>
  <c r="W30" i="50"/>
  <c r="AA29" i="50"/>
  <c r="W29" i="50"/>
  <c r="AA28" i="50"/>
  <c r="W28" i="50"/>
  <c r="AA27" i="50"/>
  <c r="W27" i="50"/>
  <c r="AA26" i="50"/>
  <c r="W26" i="50"/>
  <c r="AA25" i="50"/>
  <c r="W25" i="50"/>
  <c r="AA24" i="50"/>
  <c r="W24" i="50"/>
  <c r="AA23" i="50"/>
  <c r="W23" i="50"/>
  <c r="AA22" i="50"/>
  <c r="W22" i="50"/>
  <c r="X57" i="50"/>
  <c r="AB57" i="50"/>
  <c r="AE74" i="20" s="1"/>
  <c r="X58" i="50"/>
  <c r="AB58" i="50"/>
  <c r="X51" i="50"/>
  <c r="X52" i="50"/>
  <c r="AC53" i="50"/>
  <c r="AM53" i="50" s="1"/>
  <c r="AC54" i="50"/>
  <c r="AM54" i="50" s="1"/>
  <c r="AB55" i="50"/>
  <c r="Y58" i="50"/>
  <c r="AB59" i="50"/>
  <c r="AA60" i="50"/>
  <c r="AJ46" i="50"/>
  <c r="Y51" i="50"/>
  <c r="Y52" i="50"/>
  <c r="X53" i="50"/>
  <c r="X54" i="50"/>
  <c r="AC55" i="50"/>
  <c r="AM55" i="50" s="1"/>
  <c r="AC58" i="50"/>
  <c r="AM58" i="50" s="1"/>
  <c r="AC59" i="50"/>
  <c r="AM59" i="50" s="1"/>
  <c r="AB60" i="50"/>
  <c r="V21" i="50"/>
  <c r="Z21" i="50"/>
  <c r="AC31" i="50"/>
  <c r="AM31" i="50" s="1"/>
  <c r="Y31" i="50"/>
  <c r="AC30" i="50"/>
  <c r="AM30" i="50" s="1"/>
  <c r="Y30" i="50"/>
  <c r="AC29" i="50"/>
  <c r="AM29" i="50" s="1"/>
  <c r="Y29" i="50"/>
  <c r="AC28" i="50"/>
  <c r="AM28" i="50" s="1"/>
  <c r="Y28" i="50"/>
  <c r="AC27" i="50"/>
  <c r="AM27" i="50" s="1"/>
  <c r="Y27" i="50"/>
  <c r="AC26" i="50"/>
  <c r="AM26" i="50" s="1"/>
  <c r="Y26" i="50"/>
  <c r="AC25" i="50"/>
  <c r="AM25" i="50" s="1"/>
  <c r="Y25" i="50"/>
  <c r="AC24" i="50"/>
  <c r="AM24" i="50" s="1"/>
  <c r="Y24" i="50"/>
  <c r="AC23" i="50"/>
  <c r="AM23" i="50" s="1"/>
  <c r="Y23" i="50"/>
  <c r="AC22" i="50"/>
  <c r="AM22" i="50" s="1"/>
  <c r="Y22" i="50"/>
  <c r="AJ44" i="50"/>
  <c r="AB51" i="50"/>
  <c r="AB52" i="50"/>
  <c r="Y53" i="50"/>
  <c r="Y54" i="50"/>
  <c r="X55" i="50"/>
  <c r="X56" i="50"/>
  <c r="X59" i="50"/>
  <c r="W60" i="50"/>
  <c r="V61" i="50"/>
  <c r="AF36" i="50"/>
  <c r="AF37" i="50"/>
  <c r="AF38" i="50"/>
  <c r="AF39" i="50"/>
  <c r="AF40" i="50"/>
  <c r="AF42" i="50"/>
  <c r="AF43" i="50"/>
  <c r="AF45" i="50"/>
  <c r="AG36" i="50"/>
  <c r="AG37" i="50"/>
  <c r="AG38" i="50"/>
  <c r="AG39" i="50"/>
  <c r="AG40" i="50"/>
  <c r="AG41" i="50"/>
  <c r="AG42" i="50"/>
  <c r="W58" i="50"/>
  <c r="AG43" i="50"/>
  <c r="AJ43" i="50"/>
  <c r="AJ45" i="50"/>
  <c r="AJ36" i="50"/>
  <c r="AJ37" i="50"/>
  <c r="AJ38" i="50"/>
  <c r="AJ39" i="50"/>
  <c r="AJ40" i="50"/>
  <c r="AJ41" i="50"/>
  <c r="AJ42" i="50"/>
  <c r="AF44" i="50"/>
  <c r="AF41" i="50"/>
  <c r="AK43" i="50"/>
  <c r="AA58" i="50"/>
  <c r="AK36" i="50"/>
  <c r="AK37" i="50"/>
  <c r="AK38" i="50"/>
  <c r="AK39" i="50"/>
  <c r="AK40" i="50"/>
  <c r="AK41" i="50"/>
  <c r="AK42" i="50"/>
  <c r="AK44" i="50"/>
  <c r="W61" i="50"/>
  <c r="AA61" i="50"/>
  <c r="AH42" i="50"/>
  <c r="AL42" i="50"/>
  <c r="AH43" i="50"/>
  <c r="AL43" i="50"/>
  <c r="AH46" i="50"/>
  <c r="AL46" i="50"/>
  <c r="Y56" i="50"/>
  <c r="AC56" i="50"/>
  <c r="AM56" i="50" s="1"/>
  <c r="Y60" i="50"/>
  <c r="AC60" i="50"/>
  <c r="AM60" i="50" s="1"/>
  <c r="AG44" i="50"/>
  <c r="AI42" i="50"/>
  <c r="AM42" i="50"/>
  <c r="AI46" i="50"/>
  <c r="AM46" i="50"/>
  <c r="AR9" i="22"/>
  <c r="AR15" i="22"/>
  <c r="AR16" i="22"/>
  <c r="AR17" i="22"/>
  <c r="AR18" i="22"/>
  <c r="AR19" i="22"/>
  <c r="AQ9" i="22"/>
  <c r="AQ15" i="22"/>
  <c r="AQ16" i="22"/>
  <c r="AQ17" i="22"/>
  <c r="AQ18" i="22"/>
  <c r="AQ19" i="22"/>
  <c r="L16" i="22"/>
  <c r="L17" i="22"/>
  <c r="L18" i="22"/>
  <c r="L19" i="22"/>
  <c r="L9" i="22"/>
  <c r="L15" i="22"/>
  <c r="AF9" i="22"/>
  <c r="AF18" i="22"/>
  <c r="AF17" i="22"/>
  <c r="AF16" i="22"/>
  <c r="AF15" i="22"/>
  <c r="AF19" i="22"/>
  <c r="AO120" i="20"/>
  <c r="AG9" i="22" s="1"/>
  <c r="D9" i="22"/>
  <c r="D15" i="22"/>
  <c r="D16" i="22"/>
  <c r="D17" i="22"/>
  <c r="D18" i="22"/>
  <c r="D19" i="22"/>
  <c r="C9" i="22"/>
  <c r="E9" i="22" s="1"/>
  <c r="C15" i="22"/>
  <c r="E15" i="22" s="1"/>
  <c r="C16" i="22"/>
  <c r="E16" i="22" s="1"/>
  <c r="C17" i="22"/>
  <c r="E17" i="22" s="1"/>
  <c r="C18" i="22"/>
  <c r="E18" i="22" s="1"/>
  <c r="C19" i="22"/>
  <c r="E19" i="22" s="1"/>
  <c r="AO127" i="20"/>
  <c r="AQ127" i="20" s="1"/>
  <c r="AO128" i="20"/>
  <c r="AQ128" i="20" s="1"/>
  <c r="AO129" i="20"/>
  <c r="AQ129" i="20" s="1"/>
  <c r="AO130" i="20"/>
  <c r="AQ130" i="20" s="1"/>
  <c r="AO131" i="20"/>
  <c r="AQ131" i="20" s="1"/>
  <c r="AO132" i="20"/>
  <c r="AQ132" i="20" s="1"/>
  <c r="AO133" i="20"/>
  <c r="AQ133" i="20" s="1"/>
  <c r="AO134" i="20"/>
  <c r="AQ134" i="20" s="1"/>
  <c r="AO135" i="20"/>
  <c r="AQ135" i="20" s="1"/>
  <c r="AO136" i="20"/>
  <c r="AQ136" i="20" s="1"/>
  <c r="AO137" i="20"/>
  <c r="AQ137" i="20" s="1"/>
  <c r="AO138" i="20"/>
  <c r="AQ138" i="20" s="1"/>
  <c r="AO139" i="20"/>
  <c r="AO140" i="20"/>
  <c r="AQ140" i="20" s="1"/>
  <c r="AO141" i="20"/>
  <c r="AQ141" i="20" s="1"/>
  <c r="AO142" i="20"/>
  <c r="AQ142" i="20" s="1"/>
  <c r="AO143" i="20"/>
  <c r="AQ143" i="20" s="1"/>
  <c r="AO144" i="20"/>
  <c r="AQ144" i="20" s="1"/>
  <c r="AO145" i="20"/>
  <c r="AQ145" i="20" s="1"/>
  <c r="AO146" i="20"/>
  <c r="AQ146" i="20" s="1"/>
  <c r="AO147" i="20"/>
  <c r="AQ147" i="20" s="1"/>
  <c r="AO148" i="20"/>
  <c r="AQ148" i="20" s="1"/>
  <c r="AO149" i="20"/>
  <c r="AQ149" i="20" s="1"/>
  <c r="AO150" i="20"/>
  <c r="AQ150" i="20" s="1"/>
  <c r="AO151" i="20"/>
  <c r="AQ151" i="20" s="1"/>
  <c r="AO152" i="20"/>
  <c r="AQ152" i="20" s="1"/>
  <c r="AO153" i="20"/>
  <c r="AQ153" i="20" s="1"/>
  <c r="AO154" i="20"/>
  <c r="AQ154" i="20" s="1"/>
  <c r="AO155" i="20"/>
  <c r="AQ155" i="20" s="1"/>
  <c r="AO156" i="20"/>
  <c r="AQ156" i="20" s="1"/>
  <c r="AO157" i="20"/>
  <c r="AQ157" i="20" s="1"/>
  <c r="AO158" i="20"/>
  <c r="AQ158" i="20" s="1"/>
  <c r="AO159" i="20"/>
  <c r="AQ159" i="20" s="1"/>
  <c r="AO160" i="20"/>
  <c r="AQ160" i="20" s="1"/>
  <c r="AO161" i="20"/>
  <c r="AQ161" i="20" s="1"/>
  <c r="AO162" i="20"/>
  <c r="AQ162" i="20" s="1"/>
  <c r="AO163" i="20"/>
  <c r="AQ163" i="20" s="1"/>
  <c r="AO164" i="20"/>
  <c r="AQ164" i="20" s="1"/>
  <c r="AO126" i="20"/>
  <c r="AH15" i="22" s="1"/>
  <c r="AQ139" i="20"/>
  <c r="AI58" i="50" l="1"/>
  <c r="AA75" i="20"/>
  <c r="AG27" i="50"/>
  <c r="C74" i="20"/>
  <c r="AH25" i="50"/>
  <c r="D72" i="20"/>
  <c r="AH31" i="50"/>
  <c r="D78" i="20"/>
  <c r="AK57" i="50"/>
  <c r="AC74" i="20"/>
  <c r="AK51" i="50"/>
  <c r="AC68" i="20"/>
  <c r="AJ56" i="50"/>
  <c r="AB73" i="20"/>
  <c r="AK21" i="50"/>
  <c r="G68" i="20"/>
  <c r="AE112" i="20"/>
  <c r="AF61" i="50"/>
  <c r="AD78" i="20"/>
  <c r="AI29" i="50"/>
  <c r="E76" i="20"/>
  <c r="AK23" i="50"/>
  <c r="G70" i="20"/>
  <c r="AG53" i="50"/>
  <c r="Y70" i="20"/>
  <c r="AG51" i="50"/>
  <c r="Y68" i="20"/>
  <c r="AI55" i="50"/>
  <c r="AA72" i="20"/>
  <c r="AF60" i="50"/>
  <c r="AD77" i="20"/>
  <c r="AF58" i="50"/>
  <c r="AD75" i="20"/>
  <c r="AF56" i="50"/>
  <c r="AD73" i="20"/>
  <c r="AL57" i="50"/>
  <c r="AM3" i="14"/>
  <c r="AB3" i="14"/>
  <c r="AM4" i="14"/>
  <c r="AB4" i="14"/>
  <c r="AM8" i="14"/>
  <c r="AB8" i="14"/>
  <c r="C20" i="10"/>
  <c r="N20" i="10" s="1"/>
  <c r="S28" i="20"/>
  <c r="AE95" i="20"/>
  <c r="AE80" i="20"/>
  <c r="AE96" i="20"/>
  <c r="AM6" i="14"/>
  <c r="AB6" i="14"/>
  <c r="AM9" i="14"/>
  <c r="AB9" i="14"/>
  <c r="AM12" i="14"/>
  <c r="AB12" i="14"/>
  <c r="O105" i="20"/>
  <c r="O109" i="20"/>
  <c r="O79" i="20"/>
  <c r="O99" i="20"/>
  <c r="O83" i="20"/>
  <c r="O106" i="20"/>
  <c r="O98" i="20"/>
  <c r="O90" i="20"/>
  <c r="O82" i="20"/>
  <c r="N103" i="20"/>
  <c r="N109" i="20"/>
  <c r="N93" i="20"/>
  <c r="N107" i="20"/>
  <c r="N112" i="20"/>
  <c r="N104" i="20"/>
  <c r="N96" i="20"/>
  <c r="N88" i="20"/>
  <c r="N80" i="20"/>
  <c r="R89" i="20"/>
  <c r="R103" i="20"/>
  <c r="R87" i="20"/>
  <c r="R93" i="20"/>
  <c r="R108" i="20"/>
  <c r="R100" i="20"/>
  <c r="R92" i="20"/>
  <c r="R84" i="20"/>
  <c r="U76" i="20"/>
  <c r="AL52" i="50"/>
  <c r="AE69" i="20"/>
  <c r="AI51" i="50"/>
  <c r="AA68" i="20"/>
  <c r="AH52" i="50"/>
  <c r="Z69" i="20"/>
  <c r="AG23" i="50"/>
  <c r="C70" i="20"/>
  <c r="AG31" i="50"/>
  <c r="C78" i="20"/>
  <c r="AI21" i="50"/>
  <c r="E68" i="20"/>
  <c r="AL56" i="50"/>
  <c r="AE73" i="20"/>
  <c r="AK53" i="50"/>
  <c r="AC70" i="20"/>
  <c r="AL54" i="50"/>
  <c r="AE71" i="20"/>
  <c r="AJ58" i="50"/>
  <c r="AB75" i="20"/>
  <c r="AJ52" i="50"/>
  <c r="AB69" i="20"/>
  <c r="P81" i="20"/>
  <c r="P83" i="20"/>
  <c r="P85" i="20"/>
  <c r="P87" i="20"/>
  <c r="P89" i="20"/>
  <c r="P91" i="20"/>
  <c r="P93" i="20"/>
  <c r="P95" i="20"/>
  <c r="P97" i="20"/>
  <c r="P99" i="20"/>
  <c r="P101" i="20"/>
  <c r="P103" i="20"/>
  <c r="P105" i="20"/>
  <c r="P107" i="20"/>
  <c r="P109" i="20"/>
  <c r="P111" i="20"/>
  <c r="P79" i="20"/>
  <c r="P80" i="20"/>
  <c r="P88" i="20"/>
  <c r="P96" i="20"/>
  <c r="P104" i="20"/>
  <c r="P112" i="20"/>
  <c r="P82" i="20"/>
  <c r="P86" i="20"/>
  <c r="P90" i="20"/>
  <c r="P94" i="20"/>
  <c r="P98" i="20"/>
  <c r="P102" i="20"/>
  <c r="P106" i="20"/>
  <c r="P110" i="20"/>
  <c r="P84" i="20"/>
  <c r="P92" i="20"/>
  <c r="P100" i="20"/>
  <c r="P108" i="20"/>
  <c r="AB103" i="20"/>
  <c r="AE88" i="20"/>
  <c r="AK61" i="50"/>
  <c r="AC78" i="20"/>
  <c r="AG58" i="50"/>
  <c r="Y75" i="20"/>
  <c r="AH55" i="50"/>
  <c r="Z72" i="20"/>
  <c r="AI23" i="50"/>
  <c r="E70" i="20"/>
  <c r="AI27" i="50"/>
  <c r="E74" i="20"/>
  <c r="AL60" i="50"/>
  <c r="AE77" i="20"/>
  <c r="AH51" i="50"/>
  <c r="Z68" i="20"/>
  <c r="AK25" i="50"/>
  <c r="G72" i="20"/>
  <c r="AK29" i="50"/>
  <c r="G76" i="20"/>
  <c r="AL30" i="50"/>
  <c r="AI59" i="50"/>
  <c r="AA76" i="20"/>
  <c r="AG57" i="50"/>
  <c r="Y74" i="20"/>
  <c r="AF52" i="50"/>
  <c r="AD69" i="20"/>
  <c r="AI56" i="50"/>
  <c r="AA73" i="20"/>
  <c r="AG61" i="50"/>
  <c r="Y78" i="20"/>
  <c r="AG60" i="50"/>
  <c r="Y77" i="20"/>
  <c r="AI54" i="50"/>
  <c r="AA71" i="20"/>
  <c r="AH53" i="50"/>
  <c r="Z70" i="20"/>
  <c r="AK60" i="50"/>
  <c r="AC77" i="20"/>
  <c r="AL58" i="50"/>
  <c r="AE75" i="20"/>
  <c r="AG22" i="50"/>
  <c r="C69" i="20"/>
  <c r="AG24" i="50"/>
  <c r="C71" i="20"/>
  <c r="AG26" i="50"/>
  <c r="C73" i="20"/>
  <c r="AG28" i="50"/>
  <c r="C75" i="20"/>
  <c r="AG30" i="50"/>
  <c r="C77" i="20"/>
  <c r="AH21" i="50"/>
  <c r="D68" i="20"/>
  <c r="AH24" i="50"/>
  <c r="D71" i="20"/>
  <c r="AH28" i="50"/>
  <c r="D75" i="20"/>
  <c r="AL31" i="50"/>
  <c r="AH23" i="50"/>
  <c r="D70" i="20"/>
  <c r="AH27" i="50"/>
  <c r="D74" i="20"/>
  <c r="AL53" i="50"/>
  <c r="AE70" i="20"/>
  <c r="AK59" i="50"/>
  <c r="AC76" i="20"/>
  <c r="AK56" i="50"/>
  <c r="AC73" i="20"/>
  <c r="AK54" i="50"/>
  <c r="AC71" i="20"/>
  <c r="AK52" i="50"/>
  <c r="AC69" i="20"/>
  <c r="AJ59" i="50"/>
  <c r="AB76" i="20"/>
  <c r="AJ57" i="50"/>
  <c r="AB74" i="20"/>
  <c r="AJ55" i="50"/>
  <c r="AB72" i="20"/>
  <c r="AJ53" i="50"/>
  <c r="AB70" i="20"/>
  <c r="AJ51" i="50"/>
  <c r="AB68" i="20"/>
  <c r="AI57" i="50"/>
  <c r="AA74" i="20"/>
  <c r="U77" i="20"/>
  <c r="Z18" i="14"/>
  <c r="Y17" i="14"/>
  <c r="AL17" i="14" s="1"/>
  <c r="AB95" i="20"/>
  <c r="AB88" i="20"/>
  <c r="T30" i="20"/>
  <c r="S29" i="20"/>
  <c r="U29" i="20" s="1"/>
  <c r="O97" i="20"/>
  <c r="O101" i="20"/>
  <c r="O111" i="20"/>
  <c r="O95" i="20"/>
  <c r="O112" i="20"/>
  <c r="S112" i="20" s="1"/>
  <c r="AD112" i="20" s="1"/>
  <c r="O104" i="20"/>
  <c r="O96" i="20"/>
  <c r="O88" i="20"/>
  <c r="O80" i="20"/>
  <c r="N95" i="20"/>
  <c r="N105" i="20"/>
  <c r="N89" i="20"/>
  <c r="N99" i="20"/>
  <c r="N110" i="20"/>
  <c r="N102" i="20"/>
  <c r="N94" i="20"/>
  <c r="N86" i="20"/>
  <c r="R79" i="20"/>
  <c r="R81" i="20"/>
  <c r="R99" i="20"/>
  <c r="R83" i="20"/>
  <c r="R85" i="20"/>
  <c r="R106" i="20"/>
  <c r="R98" i="20"/>
  <c r="R90" i="20"/>
  <c r="R82" i="20"/>
  <c r="AI60" i="50"/>
  <c r="AA77" i="20"/>
  <c r="AH56" i="50"/>
  <c r="Z73" i="20"/>
  <c r="AF21" i="50"/>
  <c r="H68" i="20"/>
  <c r="AG25" i="50"/>
  <c r="C72" i="20"/>
  <c r="AG29" i="50"/>
  <c r="C76" i="20"/>
  <c r="AH61" i="50"/>
  <c r="Z78" i="20"/>
  <c r="AK55" i="50"/>
  <c r="AC72" i="20"/>
  <c r="AJ60" i="50"/>
  <c r="AB77" i="20"/>
  <c r="AJ54" i="50"/>
  <c r="AB71" i="20"/>
  <c r="AB99" i="20"/>
  <c r="T80" i="20"/>
  <c r="T82" i="20"/>
  <c r="AE82" i="20" s="1"/>
  <c r="T84" i="20"/>
  <c r="T86" i="20"/>
  <c r="S86" i="20" s="1"/>
  <c r="AD86" i="20" s="1"/>
  <c r="T88" i="20"/>
  <c r="T90" i="20"/>
  <c r="AE90" i="20" s="1"/>
  <c r="T92" i="20"/>
  <c r="AE92" i="20" s="1"/>
  <c r="T94" i="20"/>
  <c r="AE94" i="20" s="1"/>
  <c r="T96" i="20"/>
  <c r="T98" i="20"/>
  <c r="AE98" i="20" s="1"/>
  <c r="T100" i="20"/>
  <c r="T102" i="20"/>
  <c r="AE102" i="20" s="1"/>
  <c r="T104" i="20"/>
  <c r="T106" i="20"/>
  <c r="AE106" i="20" s="1"/>
  <c r="T108" i="20"/>
  <c r="AE108" i="20" s="1"/>
  <c r="T110" i="20"/>
  <c r="T112" i="20"/>
  <c r="T81" i="20"/>
  <c r="T85" i="20"/>
  <c r="T89" i="20"/>
  <c r="AE89" i="20" s="1"/>
  <c r="T93" i="20"/>
  <c r="T97" i="20"/>
  <c r="T101" i="20"/>
  <c r="AE101" i="20" s="1"/>
  <c r="T105" i="20"/>
  <c r="T109" i="20"/>
  <c r="T87" i="20"/>
  <c r="T95" i="20"/>
  <c r="T103" i="20"/>
  <c r="S103" i="20" s="1"/>
  <c r="AD103" i="20" s="1"/>
  <c r="T111" i="20"/>
  <c r="T83" i="20"/>
  <c r="S83" i="20" s="1"/>
  <c r="AD83" i="20" s="1"/>
  <c r="T91" i="20"/>
  <c r="AE91" i="20" s="1"/>
  <c r="T99" i="20"/>
  <c r="S99" i="20" s="1"/>
  <c r="AD99" i="20" s="1"/>
  <c r="T107" i="20"/>
  <c r="T79" i="20"/>
  <c r="AE85" i="20"/>
  <c r="AE105" i="20"/>
  <c r="Q81" i="20"/>
  <c r="Q83" i="20"/>
  <c r="AB83" i="20" s="1"/>
  <c r="Q85" i="20"/>
  <c r="AB85" i="20" s="1"/>
  <c r="Q87" i="20"/>
  <c r="Q89" i="20"/>
  <c r="AB89" i="20" s="1"/>
  <c r="Q91" i="20"/>
  <c r="AB91" i="20" s="1"/>
  <c r="Q93" i="20"/>
  <c r="AB93" i="20" s="1"/>
  <c r="Q95" i="20"/>
  <c r="Q97" i="20"/>
  <c r="AB97" i="20" s="1"/>
  <c r="Q99" i="20"/>
  <c r="Q101" i="20"/>
  <c r="Q103" i="20"/>
  <c r="Q105" i="20"/>
  <c r="AB105" i="20" s="1"/>
  <c r="Q107" i="20"/>
  <c r="AB107" i="20" s="1"/>
  <c r="Q109" i="20"/>
  <c r="AB109" i="20" s="1"/>
  <c r="Q111" i="20"/>
  <c r="AB111" i="20" s="1"/>
  <c r="Q79" i="20"/>
  <c r="AB79" i="20" s="1"/>
  <c r="Q80" i="20"/>
  <c r="Q84" i="20"/>
  <c r="AB84" i="20" s="1"/>
  <c r="Q88" i="20"/>
  <c r="Q92" i="20"/>
  <c r="Q96" i="20"/>
  <c r="AB96" i="20" s="1"/>
  <c r="Q100" i="20"/>
  <c r="S100" i="20" s="1"/>
  <c r="Q104" i="20"/>
  <c r="Q108" i="20"/>
  <c r="Q112" i="20"/>
  <c r="Q82" i="20"/>
  <c r="AB82" i="20" s="1"/>
  <c r="Q90" i="20"/>
  <c r="AB90" i="20" s="1"/>
  <c r="Q98" i="20"/>
  <c r="AB98" i="20" s="1"/>
  <c r="Q106" i="20"/>
  <c r="AB106" i="20" s="1"/>
  <c r="Q86" i="20"/>
  <c r="AB86" i="20" s="1"/>
  <c r="Q94" i="20"/>
  <c r="AB94" i="20" s="1"/>
  <c r="Q102" i="20"/>
  <c r="AB102" i="20" s="1"/>
  <c r="Q110" i="20"/>
  <c r="AB110" i="20" s="1"/>
  <c r="U83" i="20"/>
  <c r="AL51" i="50"/>
  <c r="AE68" i="20"/>
  <c r="AI25" i="50"/>
  <c r="E72" i="20"/>
  <c r="AI31" i="50"/>
  <c r="E78" i="20"/>
  <c r="AH54" i="50"/>
  <c r="Z71" i="20"/>
  <c r="AL55" i="50"/>
  <c r="AE72" i="20"/>
  <c r="AH57" i="50"/>
  <c r="Z74" i="20"/>
  <c r="AK27" i="50"/>
  <c r="G74" i="20"/>
  <c r="AK31" i="50"/>
  <c r="G78" i="20"/>
  <c r="AG55" i="50"/>
  <c r="Y72" i="20"/>
  <c r="AF72" i="20" s="1"/>
  <c r="AF54" i="50"/>
  <c r="AD71" i="20"/>
  <c r="AK58" i="50"/>
  <c r="AC75" i="20"/>
  <c r="AH59" i="50"/>
  <c r="Z76" i="20"/>
  <c r="AI53" i="50"/>
  <c r="AA70" i="20"/>
  <c r="AI22" i="50"/>
  <c r="E69" i="20"/>
  <c r="AI24" i="50"/>
  <c r="E71" i="20"/>
  <c r="AI26" i="50"/>
  <c r="E73" i="20"/>
  <c r="AI28" i="50"/>
  <c r="E75" i="20"/>
  <c r="AI30" i="50"/>
  <c r="E77" i="20"/>
  <c r="AJ21" i="50"/>
  <c r="F68" i="20"/>
  <c r="AI52" i="50"/>
  <c r="AA69" i="20"/>
  <c r="AL59" i="50"/>
  <c r="AE76" i="20"/>
  <c r="AH58" i="50"/>
  <c r="Z75" i="20"/>
  <c r="AK22" i="50"/>
  <c r="G69" i="20"/>
  <c r="AK24" i="50"/>
  <c r="G71" i="20"/>
  <c r="AK26" i="50"/>
  <c r="G73" i="20"/>
  <c r="AK28" i="50"/>
  <c r="G75" i="20"/>
  <c r="AK30" i="50"/>
  <c r="G77" i="20"/>
  <c r="AL21" i="50"/>
  <c r="I68" i="20"/>
  <c r="AH30" i="50"/>
  <c r="D77" i="20"/>
  <c r="AH22" i="50"/>
  <c r="D69" i="20"/>
  <c r="AH26" i="50"/>
  <c r="D73" i="20"/>
  <c r="AH29" i="50"/>
  <c r="D76" i="20"/>
  <c r="AL61" i="50"/>
  <c r="AE78" i="20"/>
  <c r="AH60" i="50"/>
  <c r="Z77" i="20"/>
  <c r="AG59" i="50"/>
  <c r="Y76" i="20"/>
  <c r="AF76" i="20" s="1"/>
  <c r="AG56" i="50"/>
  <c r="Y73" i="20"/>
  <c r="AF73" i="20" s="1"/>
  <c r="AG54" i="50"/>
  <c r="Y71" i="20"/>
  <c r="AF71" i="20" s="1"/>
  <c r="AG52" i="50"/>
  <c r="Y69" i="20"/>
  <c r="AF69" i="20" s="1"/>
  <c r="AJ61" i="50"/>
  <c r="AB78" i="20"/>
  <c r="AF59" i="50"/>
  <c r="AD76" i="20"/>
  <c r="AF57" i="50"/>
  <c r="AD74" i="20"/>
  <c r="AF55" i="50"/>
  <c r="AD72" i="20"/>
  <c r="AF53" i="50"/>
  <c r="AD70" i="20"/>
  <c r="AF51" i="50"/>
  <c r="AD68" i="20"/>
  <c r="AG21" i="50"/>
  <c r="C68" i="20"/>
  <c r="J68" i="20" s="1"/>
  <c r="AM5" i="14"/>
  <c r="AB5" i="14"/>
  <c r="AM11" i="14"/>
  <c r="AB11" i="14"/>
  <c r="AD100" i="20"/>
  <c r="AB87" i="20"/>
  <c r="AB92" i="20"/>
  <c r="AB112" i="20"/>
  <c r="AB80" i="20"/>
  <c r="AB101" i="20"/>
  <c r="AE104" i="20"/>
  <c r="AE109" i="20"/>
  <c r="AE110" i="20"/>
  <c r="AE111" i="20"/>
  <c r="AE107" i="20"/>
  <c r="AE100" i="20"/>
  <c r="U73" i="20"/>
  <c r="AM7" i="14"/>
  <c r="AB7" i="14"/>
  <c r="AM10" i="14"/>
  <c r="AB10" i="14"/>
  <c r="AB13" i="14"/>
  <c r="AM13" i="14"/>
  <c r="O89" i="20"/>
  <c r="O93" i="20"/>
  <c r="O107" i="20"/>
  <c r="O91" i="20"/>
  <c r="O110" i="20"/>
  <c r="S110" i="20" s="1"/>
  <c r="AD110" i="20" s="1"/>
  <c r="O102" i="20"/>
  <c r="O94" i="20"/>
  <c r="S94" i="20" s="1"/>
  <c r="AD94" i="20" s="1"/>
  <c r="U74" i="20"/>
  <c r="N87" i="20"/>
  <c r="N101" i="20"/>
  <c r="N85" i="20"/>
  <c r="N91" i="20"/>
  <c r="N108" i="20"/>
  <c r="N100" i="20"/>
  <c r="N92" i="20"/>
  <c r="R105" i="20"/>
  <c r="R111" i="20"/>
  <c r="R95" i="20"/>
  <c r="R109" i="20"/>
  <c r="R112" i="20"/>
  <c r="R104" i="20"/>
  <c r="R96" i="20"/>
  <c r="R88" i="20"/>
  <c r="AG19" i="22"/>
  <c r="AG16" i="22"/>
  <c r="AQ126" i="20"/>
  <c r="AG15" i="22"/>
  <c r="AH18" i="22"/>
  <c r="AH9" i="22"/>
  <c r="AG17" i="22"/>
  <c r="AH17" i="22"/>
  <c r="AH16" i="22"/>
  <c r="AH19" i="22"/>
  <c r="AG18" i="22"/>
  <c r="U81" i="20" l="1"/>
  <c r="D83" i="20"/>
  <c r="D87" i="20"/>
  <c r="D91" i="20"/>
  <c r="D95" i="20"/>
  <c r="Z95" i="20" s="1"/>
  <c r="D99" i="20"/>
  <c r="Z99" i="20" s="1"/>
  <c r="D103" i="20"/>
  <c r="Z103" i="20" s="1"/>
  <c r="D107" i="20"/>
  <c r="Z107" i="20" s="1"/>
  <c r="D111" i="20"/>
  <c r="Z111" i="20" s="1"/>
  <c r="D80" i="20"/>
  <c r="D84" i="20"/>
  <c r="D88" i="20"/>
  <c r="D92" i="20"/>
  <c r="D96" i="20"/>
  <c r="Z96" i="20" s="1"/>
  <c r="D100" i="20"/>
  <c r="Z100" i="20" s="1"/>
  <c r="D104" i="20"/>
  <c r="Z104" i="20" s="1"/>
  <c r="D108" i="20"/>
  <c r="Z108" i="20" s="1"/>
  <c r="D112" i="20"/>
  <c r="Z112" i="20" s="1"/>
  <c r="D86" i="20"/>
  <c r="D94" i="20"/>
  <c r="Z94" i="20" s="1"/>
  <c r="D102" i="20"/>
  <c r="Z102" i="20" s="1"/>
  <c r="D110" i="20"/>
  <c r="Z110" i="20" s="1"/>
  <c r="D81" i="20"/>
  <c r="D89" i="20"/>
  <c r="D97" i="20"/>
  <c r="Z97" i="20" s="1"/>
  <c r="D105" i="20"/>
  <c r="Z105" i="20" s="1"/>
  <c r="D79" i="20"/>
  <c r="D85" i="20"/>
  <c r="D101" i="20"/>
  <c r="Z101" i="20" s="1"/>
  <c r="D93" i="20"/>
  <c r="Z93" i="20" s="1"/>
  <c r="D98" i="20"/>
  <c r="Z98" i="20" s="1"/>
  <c r="D90" i="20"/>
  <c r="D106" i="20"/>
  <c r="Z106" i="20" s="1"/>
  <c r="D109" i="20"/>
  <c r="Z109" i="20" s="1"/>
  <c r="D82" i="20"/>
  <c r="E83" i="20"/>
  <c r="AA83" i="20" s="1"/>
  <c r="E87" i="20"/>
  <c r="AA87" i="20" s="1"/>
  <c r="E91" i="20"/>
  <c r="AA91" i="20" s="1"/>
  <c r="E95" i="20"/>
  <c r="AA95" i="20" s="1"/>
  <c r="E99" i="20"/>
  <c r="AA99" i="20" s="1"/>
  <c r="E103" i="20"/>
  <c r="AA103" i="20" s="1"/>
  <c r="E107" i="20"/>
  <c r="AA107" i="20" s="1"/>
  <c r="E111" i="20"/>
  <c r="AA111" i="20" s="1"/>
  <c r="E80" i="20"/>
  <c r="AA80" i="20" s="1"/>
  <c r="E84" i="20"/>
  <c r="AA84" i="20" s="1"/>
  <c r="E88" i="20"/>
  <c r="AA88" i="20" s="1"/>
  <c r="E92" i="20"/>
  <c r="AA92" i="20" s="1"/>
  <c r="E96" i="20"/>
  <c r="AA96" i="20" s="1"/>
  <c r="E100" i="20"/>
  <c r="AA100" i="20" s="1"/>
  <c r="E104" i="20"/>
  <c r="AA104" i="20" s="1"/>
  <c r="E108" i="20"/>
  <c r="AA108" i="20" s="1"/>
  <c r="E112" i="20"/>
  <c r="AA112" i="20" s="1"/>
  <c r="E86" i="20"/>
  <c r="AA86" i="20" s="1"/>
  <c r="E94" i="20"/>
  <c r="AA94" i="20" s="1"/>
  <c r="E102" i="20"/>
  <c r="AA102" i="20" s="1"/>
  <c r="E110" i="20"/>
  <c r="AA110" i="20" s="1"/>
  <c r="E81" i="20"/>
  <c r="AA81" i="20" s="1"/>
  <c r="E89" i="20"/>
  <c r="AA89" i="20" s="1"/>
  <c r="E97" i="20"/>
  <c r="AA97" i="20" s="1"/>
  <c r="E105" i="20"/>
  <c r="AA105" i="20" s="1"/>
  <c r="E79" i="20"/>
  <c r="AA79" i="20" s="1"/>
  <c r="E93" i="20"/>
  <c r="AA93" i="20" s="1"/>
  <c r="E109" i="20"/>
  <c r="AA109" i="20" s="1"/>
  <c r="E101" i="20"/>
  <c r="AA101" i="20" s="1"/>
  <c r="E106" i="20"/>
  <c r="AA106" i="20" s="1"/>
  <c r="E82" i="20"/>
  <c r="AA82" i="20" s="1"/>
  <c r="E98" i="20"/>
  <c r="AA98" i="20" s="1"/>
  <c r="E85" i="20"/>
  <c r="AA85" i="20" s="1"/>
  <c r="E90" i="20"/>
  <c r="AA90" i="20" s="1"/>
  <c r="S108" i="20"/>
  <c r="AD108" i="20" s="1"/>
  <c r="S92" i="20"/>
  <c r="AD92" i="20" s="1"/>
  <c r="S79" i="20"/>
  <c r="S87" i="20"/>
  <c r="AD87" i="20" s="1"/>
  <c r="S97" i="20"/>
  <c r="AD97" i="20" s="1"/>
  <c r="S81" i="20"/>
  <c r="AD81" i="20" s="1"/>
  <c r="U86" i="20"/>
  <c r="AE83" i="20"/>
  <c r="Z19" i="14"/>
  <c r="Y18" i="14"/>
  <c r="AL18" i="14" s="1"/>
  <c r="J70" i="20"/>
  <c r="S98" i="20"/>
  <c r="AD98" i="20" s="1"/>
  <c r="D16" i="10"/>
  <c r="AN12" i="14"/>
  <c r="D10" i="10"/>
  <c r="AN6" i="14"/>
  <c r="D12" i="10"/>
  <c r="AN8" i="14"/>
  <c r="D7" i="10"/>
  <c r="S102" i="20"/>
  <c r="AD102" i="20" s="1"/>
  <c r="AE87" i="20"/>
  <c r="S104" i="20"/>
  <c r="AD104" i="20" s="1"/>
  <c r="S88" i="20"/>
  <c r="AD88" i="20" s="1"/>
  <c r="S107" i="20"/>
  <c r="AD107" i="20" s="1"/>
  <c r="S111" i="20"/>
  <c r="AD111" i="20" s="1"/>
  <c r="S109" i="20"/>
  <c r="AD109" i="20" s="1"/>
  <c r="S93" i="20"/>
  <c r="AD93" i="20" s="1"/>
  <c r="S80" i="20"/>
  <c r="AD80" i="20" s="1"/>
  <c r="J76" i="20"/>
  <c r="AE103" i="20"/>
  <c r="AB108" i="20"/>
  <c r="J77" i="20"/>
  <c r="J73" i="20"/>
  <c r="J69" i="20"/>
  <c r="AF78" i="20"/>
  <c r="AB81" i="20"/>
  <c r="U80" i="20"/>
  <c r="S106" i="20"/>
  <c r="AD106" i="20" s="1"/>
  <c r="AE79" i="20"/>
  <c r="AF70" i="20"/>
  <c r="U28" i="20"/>
  <c r="J74" i="20"/>
  <c r="U87" i="20"/>
  <c r="D9" i="10"/>
  <c r="AN5" i="14"/>
  <c r="S89" i="20"/>
  <c r="AD89" i="20" s="1"/>
  <c r="AE99" i="20"/>
  <c r="AF75" i="20"/>
  <c r="J78" i="20"/>
  <c r="U88" i="20"/>
  <c r="S82" i="20"/>
  <c r="AD82" i="20" s="1"/>
  <c r="D13" i="10"/>
  <c r="AN9" i="14"/>
  <c r="AE86" i="20"/>
  <c r="D8" i="10"/>
  <c r="AN4" i="14"/>
  <c r="AB100" i="20"/>
  <c r="D11" i="10"/>
  <c r="AN7" i="14"/>
  <c r="D15" i="10"/>
  <c r="AN11" i="14"/>
  <c r="D14" i="10"/>
  <c r="AN10" i="14"/>
  <c r="G83" i="20"/>
  <c r="AC83" i="20" s="1"/>
  <c r="G87" i="20"/>
  <c r="AC87" i="20" s="1"/>
  <c r="G91" i="20"/>
  <c r="AC91" i="20" s="1"/>
  <c r="G95" i="20"/>
  <c r="AC95" i="20" s="1"/>
  <c r="G99" i="20"/>
  <c r="AC99" i="20" s="1"/>
  <c r="G103" i="20"/>
  <c r="AC103" i="20" s="1"/>
  <c r="G107" i="20"/>
  <c r="AC107" i="20" s="1"/>
  <c r="G111" i="20"/>
  <c r="AC111" i="20" s="1"/>
  <c r="G80" i="20"/>
  <c r="AC80" i="20" s="1"/>
  <c r="G84" i="20"/>
  <c r="AC84" i="20" s="1"/>
  <c r="G88" i="20"/>
  <c r="AC88" i="20" s="1"/>
  <c r="G92" i="20"/>
  <c r="AC92" i="20" s="1"/>
  <c r="G96" i="20"/>
  <c r="AC96" i="20" s="1"/>
  <c r="G100" i="20"/>
  <c r="AC100" i="20" s="1"/>
  <c r="G104" i="20"/>
  <c r="AC104" i="20" s="1"/>
  <c r="G108" i="20"/>
  <c r="AC108" i="20" s="1"/>
  <c r="G112" i="20"/>
  <c r="AC112" i="20" s="1"/>
  <c r="G82" i="20"/>
  <c r="AC82" i="20" s="1"/>
  <c r="G90" i="20"/>
  <c r="AC90" i="20" s="1"/>
  <c r="G98" i="20"/>
  <c r="AC98" i="20" s="1"/>
  <c r="G106" i="20"/>
  <c r="AC106" i="20" s="1"/>
  <c r="G85" i="20"/>
  <c r="AC85" i="20" s="1"/>
  <c r="G93" i="20"/>
  <c r="AC93" i="20" s="1"/>
  <c r="G101" i="20"/>
  <c r="AC101" i="20" s="1"/>
  <c r="G109" i="20"/>
  <c r="AC109" i="20" s="1"/>
  <c r="G81" i="20"/>
  <c r="AC81" i="20" s="1"/>
  <c r="G97" i="20"/>
  <c r="AC97" i="20" s="1"/>
  <c r="G79" i="20"/>
  <c r="AC79" i="20" s="1"/>
  <c r="G105" i="20"/>
  <c r="AC105" i="20" s="1"/>
  <c r="G94" i="20"/>
  <c r="AC94" i="20" s="1"/>
  <c r="G110" i="20"/>
  <c r="AC110" i="20" s="1"/>
  <c r="G86" i="20"/>
  <c r="AC86" i="20" s="1"/>
  <c r="G102" i="20"/>
  <c r="AC102" i="20" s="1"/>
  <c r="G89" i="20"/>
  <c r="AC89" i="20" s="1"/>
  <c r="S105" i="20"/>
  <c r="AD105" i="20" s="1"/>
  <c r="U91" i="20"/>
  <c r="D17" i="10"/>
  <c r="AN13" i="14"/>
  <c r="AB36" i="14"/>
  <c r="AA36" i="14" s="1"/>
  <c r="AM36" i="14" s="1"/>
  <c r="D40" i="10" s="1"/>
  <c r="W40" i="10" s="1"/>
  <c r="U40" i="10" s="1"/>
  <c r="AE81" i="20"/>
  <c r="S96" i="20"/>
  <c r="AD96" i="20" s="1"/>
  <c r="S91" i="20"/>
  <c r="AD91" i="20" s="1"/>
  <c r="S95" i="20"/>
  <c r="AD95" i="20" s="1"/>
  <c r="S101" i="20"/>
  <c r="AD101" i="20" s="1"/>
  <c r="S85" i="20"/>
  <c r="AD85" i="20" s="1"/>
  <c r="S84" i="20"/>
  <c r="AD84" i="20" s="1"/>
  <c r="J72" i="20"/>
  <c r="AE93" i="20"/>
  <c r="T31" i="20"/>
  <c r="S30" i="20"/>
  <c r="U30" i="20" s="1"/>
  <c r="C21" i="10"/>
  <c r="N21" i="10" s="1"/>
  <c r="J75" i="20"/>
  <c r="J71" i="20"/>
  <c r="AF77" i="20"/>
  <c r="AF74" i="20"/>
  <c r="AE97" i="20"/>
  <c r="AB104" i="20"/>
  <c r="S90" i="20"/>
  <c r="AD90" i="20" s="1"/>
  <c r="AE84" i="20"/>
  <c r="AB14" i="14"/>
  <c r="AA14" i="14" s="1"/>
  <c r="AM14" i="14" s="1"/>
  <c r="AB38" i="14"/>
  <c r="AA38" i="14" s="1"/>
  <c r="AM38" i="14" s="1"/>
  <c r="D42" i="10" s="1"/>
  <c r="W42" i="10" s="1"/>
  <c r="U42" i="10" s="1"/>
  <c r="AB37" i="14"/>
  <c r="AA37" i="14" s="1"/>
  <c r="AM37" i="14" s="1"/>
  <c r="D41" i="10" s="1"/>
  <c r="W41" i="10" s="1"/>
  <c r="U41" i="10" s="1"/>
  <c r="AB20" i="14"/>
  <c r="AA20" i="14" s="1"/>
  <c r="AM20" i="14" s="1"/>
  <c r="D24" i="10" s="1"/>
  <c r="W24" i="10" s="1"/>
  <c r="U24" i="10" s="1"/>
  <c r="AB32" i="14"/>
  <c r="AA32" i="14" s="1"/>
  <c r="AM32" i="14" s="1"/>
  <c r="D36" i="10" s="1"/>
  <c r="W36" i="10" s="1"/>
  <c r="U36" i="10" s="1"/>
  <c r="AB22" i="14"/>
  <c r="AA22" i="14" s="1"/>
  <c r="AM22" i="14" s="1"/>
  <c r="D26" i="10" s="1"/>
  <c r="W26" i="10" s="1"/>
  <c r="U26" i="10" s="1"/>
  <c r="AB35" i="14"/>
  <c r="AA35" i="14" s="1"/>
  <c r="AM35" i="14" s="1"/>
  <c r="D39" i="10" s="1"/>
  <c r="W39" i="10" s="1"/>
  <c r="U39" i="10" s="1"/>
  <c r="AB19" i="14"/>
  <c r="AA19" i="14" s="1"/>
  <c r="AM19" i="14" s="1"/>
  <c r="D23" i="10" s="1"/>
  <c r="W23" i="10" s="1"/>
  <c r="U23" i="10" s="1"/>
  <c r="AB21" i="14"/>
  <c r="AA21" i="14" s="1"/>
  <c r="AM21" i="14" s="1"/>
  <c r="D25" i="10" s="1"/>
  <c r="W25" i="10" s="1"/>
  <c r="U25" i="10" s="1"/>
  <c r="AB25" i="14"/>
  <c r="AA25" i="14" s="1"/>
  <c r="AM25" i="14" s="1"/>
  <c r="D29" i="10" s="1"/>
  <c r="W29" i="10" s="1"/>
  <c r="U29" i="10" s="1"/>
  <c r="AB23" i="14"/>
  <c r="AA23" i="14" s="1"/>
  <c r="AM23" i="14" s="1"/>
  <c r="D27" i="10" s="1"/>
  <c r="W27" i="10" s="1"/>
  <c r="U27" i="10" s="1"/>
  <c r="AB17" i="14"/>
  <c r="AA17" i="14" s="1"/>
  <c r="AM17" i="14" s="1"/>
  <c r="D21" i="10" s="1"/>
  <c r="W21" i="10" s="1"/>
  <c r="U21" i="10" s="1"/>
  <c r="AB29" i="14"/>
  <c r="AA29" i="14" s="1"/>
  <c r="AM29" i="14" s="1"/>
  <c r="D33" i="10" s="1"/>
  <c r="W33" i="10" s="1"/>
  <c r="U33" i="10" s="1"/>
  <c r="AB27" i="14"/>
  <c r="AA27" i="14" s="1"/>
  <c r="AM27" i="14" s="1"/>
  <c r="D31" i="10" s="1"/>
  <c r="W31" i="10" s="1"/>
  <c r="U31" i="10" s="1"/>
  <c r="AB34" i="14"/>
  <c r="AA34" i="14" s="1"/>
  <c r="AM34" i="14" s="1"/>
  <c r="D38" i="10" s="1"/>
  <c r="W38" i="10" s="1"/>
  <c r="U38" i="10" s="1"/>
  <c r="AB24" i="14"/>
  <c r="AA24" i="14" s="1"/>
  <c r="AM24" i="14" s="1"/>
  <c r="D28" i="10" s="1"/>
  <c r="W28" i="10" s="1"/>
  <c r="U28" i="10" s="1"/>
  <c r="AB26" i="14"/>
  <c r="AA26" i="14" s="1"/>
  <c r="AM26" i="14" s="1"/>
  <c r="D30" i="10" s="1"/>
  <c r="W30" i="10" s="1"/>
  <c r="U30" i="10" s="1"/>
  <c r="AB40" i="14"/>
  <c r="AA40" i="14" s="1"/>
  <c r="AM40" i="14" s="1"/>
  <c r="D44" i="10" s="1"/>
  <c r="W44" i="10" s="1"/>
  <c r="U44" i="10" s="1"/>
  <c r="AB33" i="14"/>
  <c r="AA33" i="14" s="1"/>
  <c r="AM33" i="14" s="1"/>
  <c r="D37" i="10" s="1"/>
  <c r="W37" i="10" s="1"/>
  <c r="U37" i="10" s="1"/>
  <c r="AB42" i="14"/>
  <c r="AA42" i="14" s="1"/>
  <c r="AM42" i="14" s="1"/>
  <c r="D46" i="10" s="1"/>
  <c r="W46" i="10" s="1"/>
  <c r="U46" i="10" s="1"/>
  <c r="AB28" i="14"/>
  <c r="AA28" i="14" s="1"/>
  <c r="AM28" i="14" s="1"/>
  <c r="D32" i="10" s="1"/>
  <c r="W32" i="10" s="1"/>
  <c r="U32" i="10" s="1"/>
  <c r="AB18" i="14"/>
  <c r="AA18" i="14" s="1"/>
  <c r="AM18" i="14" s="1"/>
  <c r="D22" i="10" s="1"/>
  <c r="W22" i="10" s="1"/>
  <c r="U22" i="10" s="1"/>
  <c r="AB41" i="14"/>
  <c r="AA41" i="14" s="1"/>
  <c r="AM41" i="14" s="1"/>
  <c r="D45" i="10" s="1"/>
  <c r="W45" i="10" s="1"/>
  <c r="U45" i="10" s="1"/>
  <c r="AB39" i="14"/>
  <c r="AA39" i="14" s="1"/>
  <c r="AM39" i="14" s="1"/>
  <c r="D43" i="10" s="1"/>
  <c r="W43" i="10" s="1"/>
  <c r="U43" i="10" s="1"/>
  <c r="AB45" i="14"/>
  <c r="AA45" i="14" s="1"/>
  <c r="AM45" i="14" s="1"/>
  <c r="D49" i="10" s="1"/>
  <c r="W49" i="10" s="1"/>
  <c r="U49" i="10" s="1"/>
  <c r="AB43" i="14"/>
  <c r="AA43" i="14" s="1"/>
  <c r="AM43" i="14" s="1"/>
  <c r="D47" i="10" s="1"/>
  <c r="W47" i="10" s="1"/>
  <c r="U47" i="10" s="1"/>
  <c r="AB15" i="14"/>
  <c r="AA15" i="14" s="1"/>
  <c r="AM15" i="14" s="1"/>
  <c r="AB44" i="14"/>
  <c r="AA44" i="14" s="1"/>
  <c r="AM44" i="14" s="1"/>
  <c r="D48" i="10" s="1"/>
  <c r="W48" i="10" s="1"/>
  <c r="U48" i="10" s="1"/>
  <c r="AB30" i="14"/>
  <c r="AA30" i="14" s="1"/>
  <c r="AM30" i="14" s="1"/>
  <c r="D34" i="10" s="1"/>
  <c r="W34" i="10" s="1"/>
  <c r="U34" i="10" s="1"/>
  <c r="AB31" i="14"/>
  <c r="AA31" i="14" s="1"/>
  <c r="AM31" i="14" s="1"/>
  <c r="D35" i="10" s="1"/>
  <c r="W35" i="10" s="1"/>
  <c r="U35" i="10" s="1"/>
  <c r="AB16" i="14"/>
  <c r="AA16" i="14" s="1"/>
  <c r="AM16" i="14" s="1"/>
  <c r="AB46" i="14"/>
  <c r="AA46" i="14" s="1"/>
  <c r="AM46" i="14" s="1"/>
  <c r="D50" i="10" s="1"/>
  <c r="W50" i="10" s="1"/>
  <c r="U50" i="10" s="1"/>
  <c r="AB47" i="14"/>
  <c r="AA47" i="14" s="1"/>
  <c r="AM47" i="14" s="1"/>
  <c r="D51" i="10" s="1"/>
  <c r="W51" i="10" s="1"/>
  <c r="U51" i="10" s="1"/>
  <c r="AF68" i="20"/>
  <c r="U93" i="20"/>
  <c r="C93" i="20"/>
  <c r="Y93" i="20" s="1"/>
  <c r="AT10" i="22"/>
  <c r="AT11" i="22"/>
  <c r="AT12" i="22"/>
  <c r="AT13" i="22"/>
  <c r="AT14" i="22"/>
  <c r="P10" i="22"/>
  <c r="Q10" i="22"/>
  <c r="P11" i="22"/>
  <c r="Q11" i="22"/>
  <c r="P12" i="22"/>
  <c r="Q12" i="22"/>
  <c r="P13" i="22"/>
  <c r="Q13" i="22"/>
  <c r="P14" i="22"/>
  <c r="Q14" i="22"/>
  <c r="AO5" i="22"/>
  <c r="AO4" i="22"/>
  <c r="AE5" i="22"/>
  <c r="AE4" i="22"/>
  <c r="Y5" i="22"/>
  <c r="X5" i="22"/>
  <c r="W5" i="22"/>
  <c r="V5" i="22"/>
  <c r="U5" i="22"/>
  <c r="Y4" i="22"/>
  <c r="X4" i="22"/>
  <c r="W4" i="22"/>
  <c r="V4" i="22"/>
  <c r="U4" i="22"/>
  <c r="K5" i="22"/>
  <c r="K4" i="22"/>
  <c r="A5" i="22"/>
  <c r="A4" i="22"/>
  <c r="A5" i="23"/>
  <c r="A4" i="23"/>
  <c r="Y5" i="23"/>
  <c r="X5" i="23"/>
  <c r="W5" i="23"/>
  <c r="V5" i="23"/>
  <c r="U5" i="23"/>
  <c r="Y4" i="23"/>
  <c r="X4" i="23"/>
  <c r="W4" i="23"/>
  <c r="V4" i="23"/>
  <c r="U4" i="23"/>
  <c r="AE5" i="23"/>
  <c r="AE4" i="23"/>
  <c r="AO5" i="23"/>
  <c r="AO4" i="23"/>
  <c r="AR5" i="23"/>
  <c r="AQ4" i="23"/>
  <c r="AR4" i="23"/>
  <c r="AQ5" i="23"/>
  <c r="AP5" i="23"/>
  <c r="AP4" i="23"/>
  <c r="AH5" i="23"/>
  <c r="AH4" i="23"/>
  <c r="AG5" i="23"/>
  <c r="AG4" i="23"/>
  <c r="AR5" i="22"/>
  <c r="AR4" i="22"/>
  <c r="AQ5" i="22"/>
  <c r="AQ4" i="22"/>
  <c r="AP16" i="22"/>
  <c r="AP17" i="22"/>
  <c r="AP18" i="22"/>
  <c r="AP19" i="22"/>
  <c r="AP15" i="22"/>
  <c r="AP5" i="22" s="1"/>
  <c r="AP9" i="22"/>
  <c r="AP4" i="22" s="1"/>
  <c r="AF5" i="22"/>
  <c r="AF4" i="22"/>
  <c r="AH5" i="22"/>
  <c r="AH4" i="22"/>
  <c r="AG5" i="22"/>
  <c r="AG4" i="22"/>
  <c r="AF46" i="53" l="1"/>
  <c r="AP46" i="53"/>
  <c r="B46" i="53"/>
  <c r="AP26" i="53"/>
  <c r="B26" i="53"/>
  <c r="B22" i="53"/>
  <c r="AP22" i="53"/>
  <c r="AF22" i="53"/>
  <c r="U13" i="10"/>
  <c r="Q13" i="10"/>
  <c r="S13" i="10"/>
  <c r="U9" i="10"/>
  <c r="Q9" i="10"/>
  <c r="S9" i="10"/>
  <c r="Z90" i="20"/>
  <c r="AF27" i="53" s="1"/>
  <c r="C90" i="20"/>
  <c r="Z85" i="20"/>
  <c r="C85" i="20"/>
  <c r="Z88" i="20"/>
  <c r="C88" i="20"/>
  <c r="Z91" i="20"/>
  <c r="C91" i="20"/>
  <c r="D20" i="10"/>
  <c r="W20" i="10" s="1"/>
  <c r="U20" i="10" s="1"/>
  <c r="AN16" i="14"/>
  <c r="D19" i="10"/>
  <c r="W19" i="10" s="1"/>
  <c r="U19" i="10" s="1"/>
  <c r="AN15" i="14"/>
  <c r="AP43" i="53"/>
  <c r="B43" i="53"/>
  <c r="AF43" i="53"/>
  <c r="AF35" i="53"/>
  <c r="AP35" i="53"/>
  <c r="B35" i="53"/>
  <c r="AP36" i="53"/>
  <c r="AF36" i="53"/>
  <c r="B36" i="53"/>
  <c r="AP25" i="53"/>
  <c r="AF25" i="53"/>
  <c r="B25" i="53"/>
  <c r="AP37" i="53"/>
  <c r="B37" i="53"/>
  <c r="AF37" i="53"/>
  <c r="AF39" i="53"/>
  <c r="B39" i="53"/>
  <c r="AP39" i="53"/>
  <c r="AN17" i="14"/>
  <c r="B38" i="53"/>
  <c r="AF38" i="53"/>
  <c r="AP38" i="53"/>
  <c r="S14" i="10"/>
  <c r="U14" i="10"/>
  <c r="Q14" i="10"/>
  <c r="Q11" i="10"/>
  <c r="S11" i="10"/>
  <c r="U11" i="10"/>
  <c r="Q8" i="10"/>
  <c r="S8" i="10"/>
  <c r="U8" i="10"/>
  <c r="Q12" i="10"/>
  <c r="S12" i="10"/>
  <c r="U12" i="10"/>
  <c r="AN18" i="14"/>
  <c r="C22" i="10"/>
  <c r="N22" i="10" s="1"/>
  <c r="Z82" i="20"/>
  <c r="C82" i="20"/>
  <c r="Z79" i="20"/>
  <c r="C79" i="20"/>
  <c r="Z81" i="20"/>
  <c r="C81" i="20"/>
  <c r="Z86" i="20"/>
  <c r="AF23" i="53" s="1"/>
  <c r="C86" i="20"/>
  <c r="Z84" i="20"/>
  <c r="C84" i="20"/>
  <c r="Z87" i="20"/>
  <c r="AF24" i="53" s="1"/>
  <c r="C87" i="20"/>
  <c r="U82" i="20"/>
  <c r="AP41" i="53"/>
  <c r="B41" i="53"/>
  <c r="AF41" i="53"/>
  <c r="AF19" i="53"/>
  <c r="AP19" i="53"/>
  <c r="B19" i="53"/>
  <c r="AP27" i="53"/>
  <c r="B27" i="53"/>
  <c r="AP24" i="53"/>
  <c r="B24" i="53"/>
  <c r="AP40" i="53"/>
  <c r="AF40" i="53"/>
  <c r="B40" i="53"/>
  <c r="U85" i="20"/>
  <c r="Q16" i="10"/>
  <c r="S16" i="10"/>
  <c r="U16" i="10"/>
  <c r="Z20" i="14"/>
  <c r="Y19" i="14"/>
  <c r="AL19" i="14" s="1"/>
  <c r="Z80" i="20"/>
  <c r="C80" i="20"/>
  <c r="Z83" i="20"/>
  <c r="C83" i="20"/>
  <c r="U92" i="20"/>
  <c r="AP48" i="53"/>
  <c r="AF48" i="53"/>
  <c r="B48" i="53"/>
  <c r="AP44" i="53"/>
  <c r="AF44" i="53"/>
  <c r="B44" i="53"/>
  <c r="AP21" i="53"/>
  <c r="AF21" i="53"/>
  <c r="B21" i="53"/>
  <c r="S10" i="10"/>
  <c r="U10" i="10"/>
  <c r="Q10" i="10"/>
  <c r="U79" i="20"/>
  <c r="AD79" i="20"/>
  <c r="Z89" i="20"/>
  <c r="AF26" i="53" s="1"/>
  <c r="C89" i="20"/>
  <c r="AP33" i="53"/>
  <c r="AF33" i="53"/>
  <c r="B33" i="53"/>
  <c r="AP45" i="53"/>
  <c r="AF45" i="53"/>
  <c r="B45" i="53"/>
  <c r="AP20" i="53"/>
  <c r="B20" i="53"/>
  <c r="AF20" i="53"/>
  <c r="AP42" i="53"/>
  <c r="B42" i="53"/>
  <c r="AF42" i="53"/>
  <c r="AP29" i="53"/>
  <c r="B29" i="53"/>
  <c r="AF49" i="53"/>
  <c r="B49" i="53"/>
  <c r="AP49" i="53"/>
  <c r="AP32" i="53"/>
  <c r="AF32" i="53"/>
  <c r="B32" i="53"/>
  <c r="B47" i="53"/>
  <c r="AF47" i="53"/>
  <c r="AP47" i="53"/>
  <c r="AF30" i="53"/>
  <c r="AP30" i="53"/>
  <c r="B30" i="53"/>
  <c r="L30" i="53"/>
  <c r="AP28" i="53"/>
  <c r="AF28" i="53"/>
  <c r="B28" i="53"/>
  <c r="B31" i="53"/>
  <c r="AF31" i="53"/>
  <c r="AP31" i="53"/>
  <c r="B23" i="53"/>
  <c r="AP23" i="53"/>
  <c r="AP34" i="53"/>
  <c r="AF34" i="53"/>
  <c r="B34" i="53"/>
  <c r="D18" i="10"/>
  <c r="W18" i="10" s="1"/>
  <c r="U18" i="10" s="1"/>
  <c r="AN14" i="14"/>
  <c r="T32" i="20"/>
  <c r="S31" i="20"/>
  <c r="U31" i="20" s="1"/>
  <c r="U17" i="10"/>
  <c r="Q17" i="10"/>
  <c r="S17" i="10"/>
  <c r="Q15" i="10"/>
  <c r="S15" i="10"/>
  <c r="U15" i="10"/>
  <c r="U89" i="20"/>
  <c r="S7" i="10"/>
  <c r="U7" i="10"/>
  <c r="Q7" i="10"/>
  <c r="Z92" i="20"/>
  <c r="AF29" i="53" s="1"/>
  <c r="C92" i="20"/>
  <c r="U84" i="20"/>
  <c r="U90" i="20"/>
  <c r="AF93" i="20"/>
  <c r="J93" i="20"/>
  <c r="C94" i="20"/>
  <c r="Y94" i="20" s="1"/>
  <c r="L31" i="53" s="1"/>
  <c r="U94" i="20"/>
  <c r="AG11" i="22"/>
  <c r="AF11" i="22"/>
  <c r="AF10" i="22"/>
  <c r="AF12" i="22"/>
  <c r="AH10" i="22"/>
  <c r="AH12" i="22"/>
  <c r="AH11" i="22"/>
  <c r="AR11" i="22"/>
  <c r="AF14" i="22"/>
  <c r="AH13" i="22"/>
  <c r="AG12" i="22"/>
  <c r="AP10" i="22"/>
  <c r="AR12" i="22"/>
  <c r="AQ11" i="22"/>
  <c r="AG14" i="22"/>
  <c r="AG10" i="22"/>
  <c r="AP13" i="22"/>
  <c r="AR14" i="22"/>
  <c r="AQ13" i="22"/>
  <c r="AR10" i="22"/>
  <c r="AP11" i="22"/>
  <c r="AP12" i="22"/>
  <c r="AQ14" i="22"/>
  <c r="AQ10" i="22"/>
  <c r="AF13" i="22"/>
  <c r="AH14" i="22"/>
  <c r="AG13" i="22"/>
  <c r="AP14" i="22"/>
  <c r="AR13" i="22"/>
  <c r="AQ12" i="22"/>
  <c r="R16" i="12"/>
  <c r="S16" i="12"/>
  <c r="V16" i="12"/>
  <c r="Z16" i="12"/>
  <c r="AA16" i="12"/>
  <c r="AD16" i="12"/>
  <c r="AH16" i="12"/>
  <c r="AI16" i="12"/>
  <c r="AL16" i="12"/>
  <c r="AP16" i="12"/>
  <c r="AQ16" i="12"/>
  <c r="AT16" i="12"/>
  <c r="AP15" i="12"/>
  <c r="AU15" i="12"/>
  <c r="Q12" i="12"/>
  <c r="Q16" i="12" s="1"/>
  <c r="R12" i="12"/>
  <c r="S12" i="12"/>
  <c r="T12" i="12"/>
  <c r="T16" i="12" s="1"/>
  <c r="U12" i="12"/>
  <c r="U16" i="12" s="1"/>
  <c r="V12" i="12"/>
  <c r="W12" i="12"/>
  <c r="W16" i="12" s="1"/>
  <c r="X12" i="12"/>
  <c r="X16" i="12" s="1"/>
  <c r="Y12" i="12"/>
  <c r="Y16" i="12" s="1"/>
  <c r="Z12" i="12"/>
  <c r="AA12" i="12"/>
  <c r="AB12" i="12"/>
  <c r="AB16" i="12" s="1"/>
  <c r="AC12" i="12"/>
  <c r="AC16" i="12" s="1"/>
  <c r="AD12" i="12"/>
  <c r="AE12" i="12"/>
  <c r="AE16" i="12" s="1"/>
  <c r="AF12" i="12"/>
  <c r="AF16" i="12" s="1"/>
  <c r="AG12" i="12"/>
  <c r="AG16" i="12" s="1"/>
  <c r="AH12" i="12"/>
  <c r="AI12" i="12"/>
  <c r="AJ12" i="12"/>
  <c r="AJ16" i="12" s="1"/>
  <c r="AK12" i="12"/>
  <c r="AK16" i="12" s="1"/>
  <c r="AL12" i="12"/>
  <c r="AM12" i="12"/>
  <c r="AM16" i="12" s="1"/>
  <c r="AN12" i="12"/>
  <c r="AN16" i="12" s="1"/>
  <c r="AO12" i="12"/>
  <c r="AO16" i="12" s="1"/>
  <c r="AP12" i="12"/>
  <c r="AQ12" i="12"/>
  <c r="AR12" i="12"/>
  <c r="AR16" i="12" s="1"/>
  <c r="AS12" i="12"/>
  <c r="AS16" i="12" s="1"/>
  <c r="AT12" i="12"/>
  <c r="AU12" i="12"/>
  <c r="AU16" i="12" s="1"/>
  <c r="AV12" i="12"/>
  <c r="AV16" i="12" s="1"/>
  <c r="P12" i="12"/>
  <c r="P16" i="12" s="1"/>
  <c r="AW12" i="12"/>
  <c r="Y92" i="20" l="1"/>
  <c r="J92" i="20"/>
  <c r="AH8" i="53"/>
  <c r="AR8" i="53"/>
  <c r="C8" i="53"/>
  <c r="E8" i="53" s="1"/>
  <c r="D8" i="53"/>
  <c r="N8" i="53"/>
  <c r="AN19" i="14"/>
  <c r="C23" i="10"/>
  <c r="N23" i="10" s="1"/>
  <c r="AH14" i="53"/>
  <c r="D14" i="53"/>
  <c r="N14" i="53"/>
  <c r="AR14" i="53"/>
  <c r="C14" i="53"/>
  <c r="E14" i="53" s="1"/>
  <c r="AG9" i="53"/>
  <c r="AI9" i="53" s="1"/>
  <c r="AQ9" i="53"/>
  <c r="AS9" i="53" s="1"/>
  <c r="M9" i="53"/>
  <c r="O9" i="53" s="1"/>
  <c r="Y90" i="20"/>
  <c r="J90" i="20"/>
  <c r="AP7" i="53"/>
  <c r="L7" i="53"/>
  <c r="AF7" i="53"/>
  <c r="B7" i="53"/>
  <c r="T33" i="20"/>
  <c r="S32" i="20"/>
  <c r="U32" i="20" s="1"/>
  <c r="AP8" i="53"/>
  <c r="B8" i="53"/>
  <c r="AF8" i="53"/>
  <c r="L8" i="53"/>
  <c r="Z21" i="14"/>
  <c r="Y20" i="14"/>
  <c r="AL20" i="14" s="1"/>
  <c r="Y84" i="20"/>
  <c r="J84" i="20"/>
  <c r="Y82" i="20"/>
  <c r="J82" i="20"/>
  <c r="AF10" i="53"/>
  <c r="L10" i="53"/>
  <c r="B10" i="53"/>
  <c r="AP10" i="53"/>
  <c r="AH9" i="53"/>
  <c r="AR9" i="53"/>
  <c r="N9" i="53"/>
  <c r="C9" i="53"/>
  <c r="E9" i="53" s="1"/>
  <c r="D9" i="53"/>
  <c r="AG11" i="53"/>
  <c r="AI11" i="53" s="1"/>
  <c r="AQ11" i="53"/>
  <c r="AS11" i="53" s="1"/>
  <c r="M11" i="53"/>
  <c r="O11" i="53" s="1"/>
  <c r="AQ8" i="53"/>
  <c r="AS8" i="53" s="1"/>
  <c r="AG8" i="53"/>
  <c r="AI8" i="53" s="1"/>
  <c r="M8" i="53"/>
  <c r="O8" i="53" s="1"/>
  <c r="Y80" i="20"/>
  <c r="AF80" i="20" s="1"/>
  <c r="J80" i="20"/>
  <c r="AP14" i="53"/>
  <c r="AF14" i="53"/>
  <c r="L14" i="53"/>
  <c r="B14" i="53"/>
  <c r="AG10" i="53"/>
  <c r="AI10" i="53" s="1"/>
  <c r="AQ10" i="53"/>
  <c r="AS10" i="53" s="1"/>
  <c r="M10" i="53"/>
  <c r="O10" i="53" s="1"/>
  <c r="AH6" i="53"/>
  <c r="AR6" i="53"/>
  <c r="D6" i="53"/>
  <c r="N6" i="53"/>
  <c r="C6" i="53"/>
  <c r="E6" i="53" s="1"/>
  <c r="AH12" i="53"/>
  <c r="AR12" i="53"/>
  <c r="C12" i="53"/>
  <c r="E12" i="53" s="1"/>
  <c r="D12" i="53"/>
  <c r="N12" i="53"/>
  <c r="Y91" i="20"/>
  <c r="J91" i="20"/>
  <c r="Y85" i="20"/>
  <c r="J85" i="20"/>
  <c r="AG7" i="53"/>
  <c r="AI7" i="53" s="1"/>
  <c r="M7" i="53"/>
  <c r="O7" i="53" s="1"/>
  <c r="AQ7" i="53"/>
  <c r="AS7" i="53" s="1"/>
  <c r="AR11" i="53"/>
  <c r="C11" i="53"/>
  <c r="E11" i="53" s="1"/>
  <c r="D11" i="53"/>
  <c r="AH11" i="53"/>
  <c r="N11" i="53"/>
  <c r="AQ5" i="53"/>
  <c r="AS5" i="53" s="1"/>
  <c r="M5" i="53"/>
  <c r="O5" i="53" s="1"/>
  <c r="AG5" i="53"/>
  <c r="AI5" i="53" s="1"/>
  <c r="AH13" i="53"/>
  <c r="AR13" i="53"/>
  <c r="N13" i="53"/>
  <c r="C13" i="53"/>
  <c r="E13" i="53" s="1"/>
  <c r="D13" i="53"/>
  <c r="Y89" i="20"/>
  <c r="J89" i="20"/>
  <c r="Y83" i="20"/>
  <c r="J83" i="20"/>
  <c r="AF6" i="53"/>
  <c r="L6" i="53"/>
  <c r="AP6" i="53"/>
  <c r="B6" i="53"/>
  <c r="AQ12" i="53"/>
  <c r="AS12" i="53" s="1"/>
  <c r="AG12" i="53"/>
  <c r="AI12" i="53" s="1"/>
  <c r="M12" i="53"/>
  <c r="O12" i="53" s="1"/>
  <c r="Y88" i="20"/>
  <c r="J88" i="20"/>
  <c r="AG15" i="53"/>
  <c r="AI15" i="53" s="1"/>
  <c r="AQ15" i="53"/>
  <c r="AS15" i="53" s="1"/>
  <c r="M15" i="53"/>
  <c r="O15" i="53" s="1"/>
  <c r="O16" i="53" s="1"/>
  <c r="O17" i="53" s="1"/>
  <c r="O18" i="53" s="1"/>
  <c r="O19" i="53" s="1"/>
  <c r="O20" i="53" s="1"/>
  <c r="O21" i="53" s="1"/>
  <c r="O22" i="53" s="1"/>
  <c r="O23" i="53" s="1"/>
  <c r="O24" i="53" s="1"/>
  <c r="O25" i="53" s="1"/>
  <c r="O26" i="53" s="1"/>
  <c r="O27" i="53" s="1"/>
  <c r="O28" i="53" s="1"/>
  <c r="O29" i="53" s="1"/>
  <c r="O30" i="53" s="1"/>
  <c r="O31" i="53" s="1"/>
  <c r="O32" i="53" s="1"/>
  <c r="O33" i="53" s="1"/>
  <c r="O34" i="53" s="1"/>
  <c r="O35" i="53" s="1"/>
  <c r="O36" i="53" s="1"/>
  <c r="O37" i="53" s="1"/>
  <c r="O38" i="53" s="1"/>
  <c r="O39" i="53" s="1"/>
  <c r="O40" i="53" s="1"/>
  <c r="O41" i="53" s="1"/>
  <c r="O42" i="53" s="1"/>
  <c r="O43" i="53" s="1"/>
  <c r="O44" i="53" s="1"/>
  <c r="O45" i="53" s="1"/>
  <c r="O46" i="53" s="1"/>
  <c r="O47" i="53" s="1"/>
  <c r="O48" i="53" s="1"/>
  <c r="O49" i="53" s="1"/>
  <c r="S18" i="10"/>
  <c r="Y81" i="20"/>
  <c r="AF81" i="20" s="1"/>
  <c r="J81" i="20"/>
  <c r="AG6" i="53"/>
  <c r="AI6" i="53" s="1"/>
  <c r="AQ6" i="53"/>
  <c r="AS6" i="53" s="1"/>
  <c r="M6" i="53"/>
  <c r="O6" i="53" s="1"/>
  <c r="AP18" i="53"/>
  <c r="B18" i="53"/>
  <c r="L18" i="53"/>
  <c r="AF18" i="53"/>
  <c r="AH5" i="53"/>
  <c r="AR5" i="53"/>
  <c r="C5" i="53"/>
  <c r="E5" i="53" s="1"/>
  <c r="D5" i="53"/>
  <c r="N5" i="53"/>
  <c r="AP13" i="53"/>
  <c r="L13" i="53"/>
  <c r="AF13" i="53"/>
  <c r="B13" i="53"/>
  <c r="AR15" i="53"/>
  <c r="C15" i="53"/>
  <c r="E15" i="53" s="1"/>
  <c r="D15" i="53"/>
  <c r="N15" i="53"/>
  <c r="AH15" i="53"/>
  <c r="AP5" i="53"/>
  <c r="B5" i="53"/>
  <c r="AF5" i="53"/>
  <c r="L5" i="53"/>
  <c r="AG13" i="53"/>
  <c r="AI13" i="53" s="1"/>
  <c r="AQ13" i="53"/>
  <c r="AS13" i="53" s="1"/>
  <c r="M13" i="53"/>
  <c r="O13" i="53" s="1"/>
  <c r="AP15" i="53"/>
  <c r="L15" i="53"/>
  <c r="B15" i="53"/>
  <c r="AF15" i="53"/>
  <c r="AP16" i="53"/>
  <c r="B16" i="53"/>
  <c r="AF16" i="53"/>
  <c r="AG14" i="53"/>
  <c r="AI14" i="53" s="1"/>
  <c r="AQ14" i="53"/>
  <c r="AS14" i="53" s="1"/>
  <c r="M14" i="53"/>
  <c r="O14" i="53" s="1"/>
  <c r="Y87" i="20"/>
  <c r="J87" i="20"/>
  <c r="Y86" i="20"/>
  <c r="J86" i="20"/>
  <c r="Y79" i="20"/>
  <c r="AF79" i="20" s="1"/>
  <c r="J79" i="20"/>
  <c r="AH10" i="53"/>
  <c r="D10" i="53"/>
  <c r="AR10" i="53"/>
  <c r="N10" i="53"/>
  <c r="C10" i="53"/>
  <c r="E10" i="53" s="1"/>
  <c r="AP9" i="53"/>
  <c r="L9" i="53"/>
  <c r="AF9" i="53"/>
  <c r="B9" i="53"/>
  <c r="AP12" i="53"/>
  <c r="B12" i="53"/>
  <c r="AF12" i="53"/>
  <c r="L12" i="53"/>
  <c r="AP17" i="53"/>
  <c r="B17" i="53"/>
  <c r="L17" i="53"/>
  <c r="AF17" i="53"/>
  <c r="AR7" i="53"/>
  <c r="C7" i="53"/>
  <c r="E7" i="53" s="1"/>
  <c r="AH7" i="53"/>
  <c r="D7" i="53"/>
  <c r="N7" i="53"/>
  <c r="AP11" i="53"/>
  <c r="L11" i="53"/>
  <c r="AF11" i="53"/>
  <c r="B11" i="53"/>
  <c r="U95" i="20"/>
  <c r="AF94" i="20"/>
  <c r="J94" i="20"/>
  <c r="C95" i="20"/>
  <c r="Y95" i="20" s="1"/>
  <c r="L32" i="53" s="1"/>
  <c r="J18" i="10"/>
  <c r="AQ20" i="23" s="1"/>
  <c r="AS9" i="22"/>
  <c r="AS4" i="22" s="1"/>
  <c r="AS15" i="22"/>
  <c r="AS5" i="22" s="1"/>
  <c r="AS16" i="22"/>
  <c r="AS17" i="22"/>
  <c r="AS18" i="22"/>
  <c r="AS19" i="22"/>
  <c r="AI9" i="22"/>
  <c r="AI4" i="22" s="1"/>
  <c r="AI15" i="22"/>
  <c r="AI5" i="22" s="1"/>
  <c r="AI16" i="22"/>
  <c r="AI17" i="22"/>
  <c r="AI18" i="22"/>
  <c r="AI19" i="22"/>
  <c r="W20" i="22"/>
  <c r="W21" i="22" s="1"/>
  <c r="W22" i="22" s="1"/>
  <c r="W23" i="22" s="1"/>
  <c r="W24" i="22" s="1"/>
  <c r="W25" i="22" s="1"/>
  <c r="W26" i="22" s="1"/>
  <c r="W27" i="22" s="1"/>
  <c r="W28" i="22" s="1"/>
  <c r="W29" i="22" s="1"/>
  <c r="W30" i="22" s="1"/>
  <c r="W31" i="22" s="1"/>
  <c r="W32" i="22" s="1"/>
  <c r="W33" i="22" s="1"/>
  <c r="W34" i="22" s="1"/>
  <c r="W35" i="22" s="1"/>
  <c r="W36" i="22" s="1"/>
  <c r="W37" i="22" s="1"/>
  <c r="W38" i="22" s="1"/>
  <c r="W39" i="22" s="1"/>
  <c r="W40" i="22" s="1"/>
  <c r="W41" i="22" s="1"/>
  <c r="W42" i="22" s="1"/>
  <c r="W43" i="22" s="1"/>
  <c r="W44" i="22" s="1"/>
  <c r="W45" i="22" s="1"/>
  <c r="W46" i="22" s="1"/>
  <c r="W47" i="22" s="1"/>
  <c r="W48" i="22" s="1"/>
  <c r="W49" i="22" s="1"/>
  <c r="W50" i="22" s="1"/>
  <c r="W51" i="22" s="1"/>
  <c r="W52" i="22" s="1"/>
  <c r="W53" i="22" s="1"/>
  <c r="X20" i="22"/>
  <c r="X21" i="22" s="1"/>
  <c r="X22" i="22" s="1"/>
  <c r="X23" i="22" s="1"/>
  <c r="X24" i="22" s="1"/>
  <c r="X25" i="22" s="1"/>
  <c r="X26" i="22" s="1"/>
  <c r="X27" i="22" s="1"/>
  <c r="X28" i="22" s="1"/>
  <c r="X29" i="22" s="1"/>
  <c r="X30" i="22" s="1"/>
  <c r="X31" i="22" s="1"/>
  <c r="X32" i="22" s="1"/>
  <c r="X33" i="22" s="1"/>
  <c r="X34" i="22" s="1"/>
  <c r="X35" i="22" s="1"/>
  <c r="X36" i="22" s="1"/>
  <c r="X37" i="22" s="1"/>
  <c r="X38" i="22" s="1"/>
  <c r="X39" i="22" s="1"/>
  <c r="X40" i="22" s="1"/>
  <c r="X41" i="22" s="1"/>
  <c r="X42" i="22" s="1"/>
  <c r="X43" i="22" s="1"/>
  <c r="X44" i="22" s="1"/>
  <c r="X45" i="22" s="1"/>
  <c r="X46" i="22" s="1"/>
  <c r="X47" i="22" s="1"/>
  <c r="X48" i="22" s="1"/>
  <c r="X49" i="22" s="1"/>
  <c r="X50" i="22" s="1"/>
  <c r="X51" i="22" s="1"/>
  <c r="X52" i="22" s="1"/>
  <c r="X53" i="22" s="1"/>
  <c r="Y20" i="22"/>
  <c r="Y21" i="22" s="1"/>
  <c r="Y22" i="22" s="1"/>
  <c r="Y23" i="22" s="1"/>
  <c r="Y24" i="22" s="1"/>
  <c r="Y25" i="22" s="1"/>
  <c r="Y26" i="22" s="1"/>
  <c r="Y27" i="22" s="1"/>
  <c r="Y28" i="22" s="1"/>
  <c r="Y29" i="22" s="1"/>
  <c r="Y30" i="22" s="1"/>
  <c r="Y31" i="22" s="1"/>
  <c r="Y32" i="22" s="1"/>
  <c r="Y33" i="22" s="1"/>
  <c r="Y34" i="22" s="1"/>
  <c r="Y35" i="22" s="1"/>
  <c r="Y36" i="22" s="1"/>
  <c r="Y37" i="22" s="1"/>
  <c r="Y38" i="22" s="1"/>
  <c r="Y39" i="22" s="1"/>
  <c r="Y40" i="22" s="1"/>
  <c r="Y41" i="22" s="1"/>
  <c r="Y42" i="22" s="1"/>
  <c r="Y43" i="22" s="1"/>
  <c r="Y44" i="22" s="1"/>
  <c r="Y45" i="22" s="1"/>
  <c r="Y46" i="22" s="1"/>
  <c r="Y47" i="22" s="1"/>
  <c r="Y48" i="22" s="1"/>
  <c r="Y49" i="22" s="1"/>
  <c r="Y50" i="22" s="1"/>
  <c r="Y51" i="22" s="1"/>
  <c r="Y52" i="22" s="1"/>
  <c r="Y53" i="22" s="1"/>
  <c r="Z20" i="22"/>
  <c r="Z21" i="22" s="1"/>
  <c r="Z22" i="22" s="1"/>
  <c r="Z23" i="22" s="1"/>
  <c r="Z24" i="22" s="1"/>
  <c r="Z25" i="22" s="1"/>
  <c r="Z26" i="22" s="1"/>
  <c r="Z27" i="22" s="1"/>
  <c r="Z28" i="22" s="1"/>
  <c r="Z29" i="22" s="1"/>
  <c r="Z30" i="22" s="1"/>
  <c r="Z31" i="22" s="1"/>
  <c r="Z32" i="22" s="1"/>
  <c r="Z33" i="22" s="1"/>
  <c r="Z34" i="22" s="1"/>
  <c r="Z35" i="22" s="1"/>
  <c r="Z36" i="22" s="1"/>
  <c r="Z37" i="22" s="1"/>
  <c r="Z38" i="22" s="1"/>
  <c r="Z39" i="22" s="1"/>
  <c r="Z40" i="22" s="1"/>
  <c r="Z41" i="22" s="1"/>
  <c r="Z42" i="22" s="1"/>
  <c r="Z43" i="22" s="1"/>
  <c r="Z44" i="22" s="1"/>
  <c r="Z45" i="22" s="1"/>
  <c r="Z46" i="22" s="1"/>
  <c r="Z47" i="22" s="1"/>
  <c r="Z48" i="22" s="1"/>
  <c r="Z49" i="22" s="1"/>
  <c r="Z50" i="22" s="1"/>
  <c r="Z51" i="22" s="1"/>
  <c r="Z52" i="22" s="1"/>
  <c r="Z53" i="22" s="1"/>
  <c r="AA20" i="22"/>
  <c r="AA21" i="22" s="1"/>
  <c r="AA22" i="22" s="1"/>
  <c r="AA23" i="22" s="1"/>
  <c r="AA24" i="22" s="1"/>
  <c r="AA25" i="22" s="1"/>
  <c r="AA26" i="22" s="1"/>
  <c r="AA27" i="22" s="1"/>
  <c r="AA28" i="22" s="1"/>
  <c r="AA29" i="22" s="1"/>
  <c r="AA30" i="22" s="1"/>
  <c r="AA31" i="22" s="1"/>
  <c r="AA32" i="22" s="1"/>
  <c r="AA33" i="22" s="1"/>
  <c r="AA34" i="22" s="1"/>
  <c r="AA35" i="22" s="1"/>
  <c r="AA36" i="22" s="1"/>
  <c r="AA37" i="22" s="1"/>
  <c r="AA38" i="22" s="1"/>
  <c r="AA39" i="22" s="1"/>
  <c r="AA40" i="22" s="1"/>
  <c r="AA41" i="22" s="1"/>
  <c r="AA42" i="22" s="1"/>
  <c r="AA43" i="22" s="1"/>
  <c r="AA44" i="22" s="1"/>
  <c r="AA45" i="22" s="1"/>
  <c r="AA46" i="22" s="1"/>
  <c r="AA47" i="22" s="1"/>
  <c r="AA48" i="22" s="1"/>
  <c r="AA49" i="22" s="1"/>
  <c r="AA50" i="22" s="1"/>
  <c r="AA51" i="22" s="1"/>
  <c r="AA52" i="22" s="1"/>
  <c r="AA53" i="22" s="1"/>
  <c r="L4" i="22"/>
  <c r="M9" i="22"/>
  <c r="M15" i="22"/>
  <c r="M16" i="22"/>
  <c r="O16" i="22" s="1"/>
  <c r="M17" i="22"/>
  <c r="M18" i="22"/>
  <c r="O18" i="22" s="1"/>
  <c r="M19" i="22"/>
  <c r="O19" i="22" s="1"/>
  <c r="N9" i="22"/>
  <c r="N4" i="22" s="1"/>
  <c r="N15" i="22"/>
  <c r="N5" i="22" s="1"/>
  <c r="N16" i="22"/>
  <c r="N17" i="22"/>
  <c r="N18" i="22"/>
  <c r="N19" i="22"/>
  <c r="B4" i="22"/>
  <c r="B15" i="22"/>
  <c r="B5" i="22" s="1"/>
  <c r="B16" i="22"/>
  <c r="B17" i="22"/>
  <c r="B18" i="22"/>
  <c r="B19" i="22"/>
  <c r="C4" i="22"/>
  <c r="C5" i="22"/>
  <c r="D4" i="22"/>
  <c r="D5" i="22"/>
  <c r="E4" i="22"/>
  <c r="E5" i="22"/>
  <c r="F10" i="22"/>
  <c r="F11" i="22"/>
  <c r="F12" i="22"/>
  <c r="F13" i="22"/>
  <c r="F14" i="22"/>
  <c r="G10" i="22"/>
  <c r="G11" i="22"/>
  <c r="G12" i="22"/>
  <c r="G13" i="22"/>
  <c r="G14" i="22"/>
  <c r="AS9" i="23"/>
  <c r="AS4" i="23" s="1"/>
  <c r="AS15" i="23"/>
  <c r="AS5" i="23" s="1"/>
  <c r="AS16" i="23"/>
  <c r="AS17" i="23"/>
  <c r="AS18" i="23"/>
  <c r="AS19" i="23"/>
  <c r="AT10" i="23"/>
  <c r="AT11" i="23"/>
  <c r="AT12" i="23"/>
  <c r="AT13" i="23"/>
  <c r="AT14" i="23"/>
  <c r="AT20" i="23"/>
  <c r="AT21" i="23" s="1"/>
  <c r="AT22" i="23" s="1"/>
  <c r="AT23" i="23" s="1"/>
  <c r="AT24" i="23" s="1"/>
  <c r="AT25" i="23" s="1"/>
  <c r="AT26" i="23" s="1"/>
  <c r="AT27" i="23" s="1"/>
  <c r="AT28" i="23" s="1"/>
  <c r="AT29" i="23" s="1"/>
  <c r="AT30" i="23" s="1"/>
  <c r="AT31" i="23" s="1"/>
  <c r="AT32" i="23" s="1"/>
  <c r="AT33" i="23" s="1"/>
  <c r="AT34" i="23" s="1"/>
  <c r="AT35" i="23" s="1"/>
  <c r="AT36" i="23" s="1"/>
  <c r="AT37" i="23" s="1"/>
  <c r="AT38" i="23" s="1"/>
  <c r="AT39" i="23" s="1"/>
  <c r="AT40" i="23" s="1"/>
  <c r="AT41" i="23" s="1"/>
  <c r="AT42" i="23" s="1"/>
  <c r="AT43" i="23" s="1"/>
  <c r="AT44" i="23" s="1"/>
  <c r="AT45" i="23" s="1"/>
  <c r="AT46" i="23" s="1"/>
  <c r="AT47" i="23" s="1"/>
  <c r="AT48" i="23" s="1"/>
  <c r="AT49" i="23" s="1"/>
  <c r="AT50" i="23" s="1"/>
  <c r="AT51" i="23" s="1"/>
  <c r="AT52" i="23" s="1"/>
  <c r="AT53" i="23" s="1"/>
  <c r="AU10" i="23"/>
  <c r="AU11" i="23"/>
  <c r="AU12" i="23"/>
  <c r="AU13" i="23"/>
  <c r="AU14" i="23"/>
  <c r="AU20" i="23"/>
  <c r="AU21" i="23" s="1"/>
  <c r="AU22" i="23" s="1"/>
  <c r="AU23" i="23" s="1"/>
  <c r="AU24" i="23" s="1"/>
  <c r="AU25" i="23" s="1"/>
  <c r="AU26" i="23" s="1"/>
  <c r="AU27" i="23" s="1"/>
  <c r="AU28" i="23" s="1"/>
  <c r="AU29" i="23" s="1"/>
  <c r="AU30" i="23" s="1"/>
  <c r="AU31" i="23" s="1"/>
  <c r="AU32" i="23" s="1"/>
  <c r="AU33" i="23" s="1"/>
  <c r="AU34" i="23" s="1"/>
  <c r="AU35" i="23" s="1"/>
  <c r="AU36" i="23" s="1"/>
  <c r="AU37" i="23" s="1"/>
  <c r="AU38" i="23" s="1"/>
  <c r="AU39" i="23" s="1"/>
  <c r="AU40" i="23" s="1"/>
  <c r="AU41" i="23" s="1"/>
  <c r="AU42" i="23" s="1"/>
  <c r="AU43" i="23" s="1"/>
  <c r="AU44" i="23" s="1"/>
  <c r="AU45" i="23" s="1"/>
  <c r="AU46" i="23" s="1"/>
  <c r="AU47" i="23" s="1"/>
  <c r="AU48" i="23" s="1"/>
  <c r="AU49" i="23" s="1"/>
  <c r="AU50" i="23" s="1"/>
  <c r="AU51" i="23" s="1"/>
  <c r="AU52" i="23" s="1"/>
  <c r="AU53" i="23" s="1"/>
  <c r="AI9" i="23"/>
  <c r="AI4" i="23" s="1"/>
  <c r="AI15" i="23"/>
  <c r="AI5" i="23" s="1"/>
  <c r="AI16" i="23"/>
  <c r="AI18" i="23"/>
  <c r="AI19" i="23"/>
  <c r="AJ10" i="23"/>
  <c r="AJ11" i="23"/>
  <c r="AJ12" i="23"/>
  <c r="AJ13" i="23"/>
  <c r="AJ14" i="23"/>
  <c r="AJ20" i="23"/>
  <c r="AJ21" i="23" s="1"/>
  <c r="AJ22" i="23" s="1"/>
  <c r="AJ23" i="23" s="1"/>
  <c r="AJ24" i="23" s="1"/>
  <c r="AJ25" i="23" s="1"/>
  <c r="AJ26" i="23" s="1"/>
  <c r="AJ27" i="23" s="1"/>
  <c r="AJ28" i="23" s="1"/>
  <c r="AJ29" i="23" s="1"/>
  <c r="AJ30" i="23" s="1"/>
  <c r="AJ31" i="23" s="1"/>
  <c r="AJ32" i="23" s="1"/>
  <c r="AJ33" i="23" s="1"/>
  <c r="AJ34" i="23" s="1"/>
  <c r="AJ35" i="23" s="1"/>
  <c r="AJ36" i="23" s="1"/>
  <c r="AJ37" i="23" s="1"/>
  <c r="AJ38" i="23" s="1"/>
  <c r="AJ39" i="23" s="1"/>
  <c r="AJ40" i="23" s="1"/>
  <c r="AJ41" i="23" s="1"/>
  <c r="AJ42" i="23" s="1"/>
  <c r="AJ43" i="23" s="1"/>
  <c r="AJ44" i="23" s="1"/>
  <c r="AJ45" i="23" s="1"/>
  <c r="AJ46" i="23" s="1"/>
  <c r="AJ47" i="23" s="1"/>
  <c r="AJ48" i="23" s="1"/>
  <c r="AJ49" i="23" s="1"/>
  <c r="AJ50" i="23" s="1"/>
  <c r="AJ51" i="23" s="1"/>
  <c r="AJ52" i="23" s="1"/>
  <c r="AJ53" i="23" s="1"/>
  <c r="AK10" i="23"/>
  <c r="AK11" i="23"/>
  <c r="AK12" i="23"/>
  <c r="AK13" i="23"/>
  <c r="AK14" i="23"/>
  <c r="AK20" i="23"/>
  <c r="AK21" i="23" s="1"/>
  <c r="AK22" i="23" s="1"/>
  <c r="AK23" i="23" s="1"/>
  <c r="AK24" i="23" s="1"/>
  <c r="AK25" i="23" s="1"/>
  <c r="AK26" i="23" s="1"/>
  <c r="AK27" i="23" s="1"/>
  <c r="AK28" i="23" s="1"/>
  <c r="AK29" i="23" s="1"/>
  <c r="AK30" i="23" s="1"/>
  <c r="AK31" i="23" s="1"/>
  <c r="AK32" i="23" s="1"/>
  <c r="AK33" i="23" s="1"/>
  <c r="AK34" i="23" s="1"/>
  <c r="AK35" i="23" s="1"/>
  <c r="AK36" i="23" s="1"/>
  <c r="AK37" i="23" s="1"/>
  <c r="AK38" i="23" s="1"/>
  <c r="AK39" i="23" s="1"/>
  <c r="AK40" i="23" s="1"/>
  <c r="AK41" i="23" s="1"/>
  <c r="AK42" i="23" s="1"/>
  <c r="AK43" i="23" s="1"/>
  <c r="AK44" i="23" s="1"/>
  <c r="AK45" i="23" s="1"/>
  <c r="AK46" i="23" s="1"/>
  <c r="AK47" i="23" s="1"/>
  <c r="AK48" i="23" s="1"/>
  <c r="AK49" i="23" s="1"/>
  <c r="AK50" i="23" s="1"/>
  <c r="AK51" i="23" s="1"/>
  <c r="AK52" i="23" s="1"/>
  <c r="AK53" i="23" s="1"/>
  <c r="V20" i="23"/>
  <c r="V21" i="23"/>
  <c r="V22" i="23" s="1"/>
  <c r="V23" i="23" s="1"/>
  <c r="V24" i="23" s="1"/>
  <c r="V25" i="23" s="1"/>
  <c r="V26" i="23" s="1"/>
  <c r="V27" i="23" s="1"/>
  <c r="V28" i="23" s="1"/>
  <c r="V29" i="23" s="1"/>
  <c r="V30" i="23" s="1"/>
  <c r="V31" i="23" s="1"/>
  <c r="V32" i="23" s="1"/>
  <c r="V33" i="23" s="1"/>
  <c r="V34" i="23" s="1"/>
  <c r="V35" i="23" s="1"/>
  <c r="V36" i="23" s="1"/>
  <c r="V37" i="23" s="1"/>
  <c r="V38" i="23" s="1"/>
  <c r="V39" i="23" s="1"/>
  <c r="V40" i="23" s="1"/>
  <c r="V41" i="23" s="1"/>
  <c r="V42" i="23" s="1"/>
  <c r="V43" i="23" s="1"/>
  <c r="V44" i="23" s="1"/>
  <c r="V45" i="23" s="1"/>
  <c r="V46" i="23" s="1"/>
  <c r="V47" i="23" s="1"/>
  <c r="V48" i="23" s="1"/>
  <c r="V49" i="23" s="1"/>
  <c r="V50" i="23" s="1"/>
  <c r="V51" i="23" s="1"/>
  <c r="V52" i="23" s="1"/>
  <c r="V53" i="23" s="1"/>
  <c r="W20" i="23"/>
  <c r="W21" i="23" s="1"/>
  <c r="W22" i="23" s="1"/>
  <c r="W23" i="23" s="1"/>
  <c r="W24" i="23" s="1"/>
  <c r="W25" i="23" s="1"/>
  <c r="W26" i="23" s="1"/>
  <c r="W27" i="23" s="1"/>
  <c r="W28" i="23" s="1"/>
  <c r="W29" i="23" s="1"/>
  <c r="W30" i="23" s="1"/>
  <c r="W31" i="23" s="1"/>
  <c r="W32" i="23" s="1"/>
  <c r="W33" i="23" s="1"/>
  <c r="W34" i="23" s="1"/>
  <c r="W35" i="23" s="1"/>
  <c r="W36" i="23" s="1"/>
  <c r="W37" i="23" s="1"/>
  <c r="W38" i="23" s="1"/>
  <c r="W39" i="23" s="1"/>
  <c r="W40" i="23" s="1"/>
  <c r="W41" i="23" s="1"/>
  <c r="W42" i="23" s="1"/>
  <c r="W43" i="23" s="1"/>
  <c r="W44" i="23" s="1"/>
  <c r="W45" i="23" s="1"/>
  <c r="W46" i="23" s="1"/>
  <c r="W47" i="23" s="1"/>
  <c r="W48" i="23" s="1"/>
  <c r="W49" i="23" s="1"/>
  <c r="W50" i="23" s="1"/>
  <c r="W51" i="23" s="1"/>
  <c r="W52" i="23" s="1"/>
  <c r="W53" i="23" s="1"/>
  <c r="X20" i="23"/>
  <c r="X21" i="23" s="1"/>
  <c r="X22" i="23" s="1"/>
  <c r="X23" i="23" s="1"/>
  <c r="X24" i="23" s="1"/>
  <c r="X25" i="23" s="1"/>
  <c r="X26" i="23" s="1"/>
  <c r="X27" i="23" s="1"/>
  <c r="X28" i="23" s="1"/>
  <c r="X29" i="23" s="1"/>
  <c r="X30" i="23" s="1"/>
  <c r="X31" i="23" s="1"/>
  <c r="X32" i="23" s="1"/>
  <c r="X33" i="23" s="1"/>
  <c r="X34" i="23" s="1"/>
  <c r="X35" i="23" s="1"/>
  <c r="X36" i="23" s="1"/>
  <c r="X37" i="23" s="1"/>
  <c r="X38" i="23" s="1"/>
  <c r="X39" i="23" s="1"/>
  <c r="X40" i="23" s="1"/>
  <c r="X41" i="23" s="1"/>
  <c r="X42" i="23" s="1"/>
  <c r="X43" i="23" s="1"/>
  <c r="X44" i="23" s="1"/>
  <c r="X45" i="23" s="1"/>
  <c r="X46" i="23" s="1"/>
  <c r="X47" i="23" s="1"/>
  <c r="X48" i="23" s="1"/>
  <c r="X49" i="23" s="1"/>
  <c r="X50" i="23" s="1"/>
  <c r="X51" i="23" s="1"/>
  <c r="X52" i="23" s="1"/>
  <c r="X53" i="23" s="1"/>
  <c r="Y20" i="23"/>
  <c r="Y21" i="23" s="1"/>
  <c r="Y22" i="23" s="1"/>
  <c r="Y23" i="23" s="1"/>
  <c r="Y24" i="23" s="1"/>
  <c r="Y25" i="23" s="1"/>
  <c r="Y26" i="23" s="1"/>
  <c r="Y27" i="23" s="1"/>
  <c r="Y28" i="23" s="1"/>
  <c r="Y29" i="23" s="1"/>
  <c r="Y30" i="23" s="1"/>
  <c r="Y31" i="23" s="1"/>
  <c r="Y32" i="23" s="1"/>
  <c r="Y33" i="23" s="1"/>
  <c r="Y34" i="23" s="1"/>
  <c r="Y35" i="23" s="1"/>
  <c r="Y36" i="23" s="1"/>
  <c r="Y37" i="23" s="1"/>
  <c r="Y38" i="23" s="1"/>
  <c r="Y39" i="23" s="1"/>
  <c r="Y40" i="23" s="1"/>
  <c r="Y41" i="23" s="1"/>
  <c r="Y42" i="23" s="1"/>
  <c r="Y43" i="23" s="1"/>
  <c r="Y44" i="23" s="1"/>
  <c r="Y45" i="23" s="1"/>
  <c r="Y46" i="23" s="1"/>
  <c r="Y47" i="23" s="1"/>
  <c r="Y48" i="23" s="1"/>
  <c r="Y49" i="23" s="1"/>
  <c r="Y50" i="23" s="1"/>
  <c r="Y51" i="23" s="1"/>
  <c r="Y52" i="23" s="1"/>
  <c r="Y53" i="23" s="1"/>
  <c r="Z20" i="23"/>
  <c r="Z21" i="23" s="1"/>
  <c r="Z22" i="23" s="1"/>
  <c r="Z23" i="23" s="1"/>
  <c r="Z24" i="23" s="1"/>
  <c r="Z25" i="23" s="1"/>
  <c r="Z26" i="23" s="1"/>
  <c r="Z27" i="23" s="1"/>
  <c r="Z28" i="23" s="1"/>
  <c r="Z29" i="23" s="1"/>
  <c r="Z30" i="23" s="1"/>
  <c r="Z31" i="23" s="1"/>
  <c r="Z32" i="23" s="1"/>
  <c r="Z33" i="23" s="1"/>
  <c r="Z34" i="23" s="1"/>
  <c r="Z35" i="23" s="1"/>
  <c r="Z36" i="23" s="1"/>
  <c r="Z37" i="23" s="1"/>
  <c r="Z38" i="23" s="1"/>
  <c r="Z39" i="23" s="1"/>
  <c r="Z40" i="23" s="1"/>
  <c r="Z41" i="23" s="1"/>
  <c r="Z42" i="23" s="1"/>
  <c r="Z43" i="23" s="1"/>
  <c r="Z44" i="23" s="1"/>
  <c r="Z45" i="23" s="1"/>
  <c r="Z46" i="23" s="1"/>
  <c r="Z47" i="23" s="1"/>
  <c r="Z48" i="23" s="1"/>
  <c r="Z49" i="23" s="1"/>
  <c r="Z50" i="23" s="1"/>
  <c r="Z51" i="23" s="1"/>
  <c r="Z52" i="23" s="1"/>
  <c r="Z53" i="23" s="1"/>
  <c r="AA20" i="23"/>
  <c r="AA21" i="23" s="1"/>
  <c r="AA22" i="23" s="1"/>
  <c r="AA23" i="23" s="1"/>
  <c r="AA24" i="23" s="1"/>
  <c r="AA25" i="23" s="1"/>
  <c r="AA26" i="23" s="1"/>
  <c r="AA27" i="23" s="1"/>
  <c r="AA28" i="23" s="1"/>
  <c r="AA29" i="23" s="1"/>
  <c r="AA30" i="23" s="1"/>
  <c r="AA31" i="23" s="1"/>
  <c r="AA32" i="23" s="1"/>
  <c r="AA33" i="23" s="1"/>
  <c r="AA34" i="23" s="1"/>
  <c r="AA35" i="23" s="1"/>
  <c r="AA36" i="23" s="1"/>
  <c r="AA37" i="23" s="1"/>
  <c r="AA38" i="23" s="1"/>
  <c r="AA39" i="23" s="1"/>
  <c r="AA40" i="23" s="1"/>
  <c r="AA41" i="23" s="1"/>
  <c r="AA42" i="23" s="1"/>
  <c r="AA43" i="23" s="1"/>
  <c r="AA44" i="23" s="1"/>
  <c r="AA45" i="23" s="1"/>
  <c r="AA46" i="23" s="1"/>
  <c r="AA47" i="23" s="1"/>
  <c r="AA48" i="23" s="1"/>
  <c r="AA49" i="23" s="1"/>
  <c r="AA50" i="23" s="1"/>
  <c r="AA51" i="23" s="1"/>
  <c r="AA52" i="23" s="1"/>
  <c r="AA53" i="23" s="1"/>
  <c r="M20" i="23"/>
  <c r="M21" i="23" s="1"/>
  <c r="M22" i="23" s="1"/>
  <c r="M23" i="23" s="1"/>
  <c r="M24" i="23" s="1"/>
  <c r="M25" i="23" s="1"/>
  <c r="M26" i="23" s="1"/>
  <c r="M27" i="23" s="1"/>
  <c r="M28" i="23" s="1"/>
  <c r="M29" i="23" s="1"/>
  <c r="M30" i="23" s="1"/>
  <c r="M31" i="23" s="1"/>
  <c r="M32" i="23" s="1"/>
  <c r="M33" i="23" s="1"/>
  <c r="M34" i="23" s="1"/>
  <c r="M35" i="23" s="1"/>
  <c r="M36" i="23" s="1"/>
  <c r="M37" i="23" s="1"/>
  <c r="M38" i="23" s="1"/>
  <c r="M39" i="23" s="1"/>
  <c r="M40" i="23" s="1"/>
  <c r="M41" i="23" s="1"/>
  <c r="M42" i="23" s="1"/>
  <c r="M43" i="23" s="1"/>
  <c r="M44" i="23" s="1"/>
  <c r="M45" i="23" s="1"/>
  <c r="M46" i="23" s="1"/>
  <c r="M47" i="23" s="1"/>
  <c r="M48" i="23" s="1"/>
  <c r="M49" i="23" s="1"/>
  <c r="M50" i="23" s="1"/>
  <c r="M51" i="23" s="1"/>
  <c r="M52" i="23" s="1"/>
  <c r="M53" i="23" s="1"/>
  <c r="O20" i="23"/>
  <c r="O21" i="23" s="1"/>
  <c r="O22" i="23" s="1"/>
  <c r="O23" i="23" s="1"/>
  <c r="O24" i="23" s="1"/>
  <c r="O25" i="23" s="1"/>
  <c r="O26" i="23" s="1"/>
  <c r="O27" i="23" s="1"/>
  <c r="O28" i="23" s="1"/>
  <c r="O29" i="23" s="1"/>
  <c r="O30" i="23" s="1"/>
  <c r="O31" i="23" s="1"/>
  <c r="O32" i="23" s="1"/>
  <c r="O33" i="23" s="1"/>
  <c r="O34" i="23" s="1"/>
  <c r="O35" i="23" s="1"/>
  <c r="O36" i="23" s="1"/>
  <c r="O37" i="23" s="1"/>
  <c r="O38" i="23" s="1"/>
  <c r="O39" i="23" s="1"/>
  <c r="O40" i="23" s="1"/>
  <c r="O41" i="23" s="1"/>
  <c r="O42" i="23" s="1"/>
  <c r="O43" i="23" s="1"/>
  <c r="O44" i="23" s="1"/>
  <c r="O45" i="23" s="1"/>
  <c r="O46" i="23" s="1"/>
  <c r="O47" i="23" s="1"/>
  <c r="O48" i="23" s="1"/>
  <c r="O49" i="23" s="1"/>
  <c r="O50" i="23" s="1"/>
  <c r="O51" i="23" s="1"/>
  <c r="O52" i="23" s="1"/>
  <c r="O53" i="23" s="1"/>
  <c r="P20" i="23"/>
  <c r="P21" i="23" s="1"/>
  <c r="P22" i="23" s="1"/>
  <c r="P23" i="23" s="1"/>
  <c r="P24" i="23" s="1"/>
  <c r="P25" i="23" s="1"/>
  <c r="P26" i="23" s="1"/>
  <c r="P27" i="23" s="1"/>
  <c r="P28" i="23" s="1"/>
  <c r="P29" i="23" s="1"/>
  <c r="P30" i="23" s="1"/>
  <c r="P31" i="23" s="1"/>
  <c r="P32" i="23" s="1"/>
  <c r="P33" i="23" s="1"/>
  <c r="P34" i="23" s="1"/>
  <c r="P35" i="23" s="1"/>
  <c r="P36" i="23" s="1"/>
  <c r="P37" i="23" s="1"/>
  <c r="P38" i="23" s="1"/>
  <c r="P39" i="23" s="1"/>
  <c r="P40" i="23" s="1"/>
  <c r="P41" i="23" s="1"/>
  <c r="P42" i="23" s="1"/>
  <c r="P43" i="23" s="1"/>
  <c r="P44" i="23" s="1"/>
  <c r="P45" i="23" s="1"/>
  <c r="P46" i="23" s="1"/>
  <c r="P47" i="23" s="1"/>
  <c r="P48" i="23" s="1"/>
  <c r="P49" i="23" s="1"/>
  <c r="P50" i="23" s="1"/>
  <c r="P51" i="23" s="1"/>
  <c r="P52" i="23" s="1"/>
  <c r="P53" i="23" s="1"/>
  <c r="Q20" i="23"/>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C5" i="23"/>
  <c r="E16" i="23"/>
  <c r="E18" i="23"/>
  <c r="E19" i="23"/>
  <c r="D5" i="23"/>
  <c r="E17" i="23"/>
  <c r="F10" i="23"/>
  <c r="F11" i="23"/>
  <c r="F12" i="23"/>
  <c r="F13" i="23"/>
  <c r="F14" i="23"/>
  <c r="F20" i="23"/>
  <c r="F21" i="23" s="1"/>
  <c r="F22" i="23" s="1"/>
  <c r="F23" i="23" s="1"/>
  <c r="F24" i="23" s="1"/>
  <c r="F25" i="23" s="1"/>
  <c r="F26" i="23" s="1"/>
  <c r="F27" i="23" s="1"/>
  <c r="F28" i="23" s="1"/>
  <c r="F29" i="23" s="1"/>
  <c r="F30" i="23" s="1"/>
  <c r="F31" i="23" s="1"/>
  <c r="F32" i="23" s="1"/>
  <c r="F33" i="23" s="1"/>
  <c r="F34" i="23" s="1"/>
  <c r="F35" i="23" s="1"/>
  <c r="F36" i="23" s="1"/>
  <c r="F37" i="23" s="1"/>
  <c r="F38" i="23" s="1"/>
  <c r="F39" i="23" s="1"/>
  <c r="F40" i="23" s="1"/>
  <c r="F41" i="23" s="1"/>
  <c r="F42" i="23" s="1"/>
  <c r="F43" i="23" s="1"/>
  <c r="F44" i="23" s="1"/>
  <c r="F45" i="23" s="1"/>
  <c r="F46" i="23" s="1"/>
  <c r="F47" i="23" s="1"/>
  <c r="F48" i="23" s="1"/>
  <c r="F49" i="23" s="1"/>
  <c r="F50" i="23" s="1"/>
  <c r="F51" i="23" s="1"/>
  <c r="F52" i="23" s="1"/>
  <c r="F53" i="23" s="1"/>
  <c r="G10" i="23"/>
  <c r="G11" i="23"/>
  <c r="G12" i="23"/>
  <c r="G13" i="23"/>
  <c r="G14" i="23"/>
  <c r="G20" i="23"/>
  <c r="G21" i="23" s="1"/>
  <c r="G22" i="23" s="1"/>
  <c r="G23" i="23" s="1"/>
  <c r="G24" i="23" s="1"/>
  <c r="G25" i="23" s="1"/>
  <c r="G26" i="23" s="1"/>
  <c r="G27" i="23" s="1"/>
  <c r="G28" i="23" s="1"/>
  <c r="G29" i="23" s="1"/>
  <c r="G30" i="23" s="1"/>
  <c r="G31" i="23" s="1"/>
  <c r="G32" i="23" s="1"/>
  <c r="G33" i="23" s="1"/>
  <c r="G34" i="23" s="1"/>
  <c r="G35" i="23" s="1"/>
  <c r="G36" i="23" s="1"/>
  <c r="G37" i="23" s="1"/>
  <c r="G38" i="23" s="1"/>
  <c r="G39" i="23" s="1"/>
  <c r="G40" i="23" s="1"/>
  <c r="G41" i="23" s="1"/>
  <c r="G42" i="23" s="1"/>
  <c r="G43" i="23" s="1"/>
  <c r="G44" i="23" s="1"/>
  <c r="G45" i="23" s="1"/>
  <c r="G46" i="23" s="1"/>
  <c r="G47" i="23" s="1"/>
  <c r="G48" i="23" s="1"/>
  <c r="G49" i="23" s="1"/>
  <c r="G50" i="23" s="1"/>
  <c r="G51" i="23" s="1"/>
  <c r="G52" i="23" s="1"/>
  <c r="G53" i="23" s="1"/>
  <c r="C4" i="23"/>
  <c r="D4" i="23"/>
  <c r="AU20" i="22"/>
  <c r="AU21" i="22" s="1"/>
  <c r="AU22" i="22" s="1"/>
  <c r="AU23" i="22" s="1"/>
  <c r="AU24" i="22" s="1"/>
  <c r="AU25" i="22" s="1"/>
  <c r="AU26" i="22" s="1"/>
  <c r="AU27" i="22" s="1"/>
  <c r="AU28" i="22" s="1"/>
  <c r="AU29" i="22" s="1"/>
  <c r="AU30" i="22" s="1"/>
  <c r="AU31" i="22" s="1"/>
  <c r="AU32" i="22" s="1"/>
  <c r="AU33" i="22" s="1"/>
  <c r="AU34" i="22" s="1"/>
  <c r="AU35" i="22" s="1"/>
  <c r="AU36" i="22" s="1"/>
  <c r="AU37" i="22" s="1"/>
  <c r="AU38" i="22" s="1"/>
  <c r="AU39" i="22" s="1"/>
  <c r="AU40" i="22" s="1"/>
  <c r="AU41" i="22" s="1"/>
  <c r="AU42" i="22" s="1"/>
  <c r="AU43" i="22" s="1"/>
  <c r="AU44" i="22" s="1"/>
  <c r="AU45" i="22" s="1"/>
  <c r="AU46" i="22" s="1"/>
  <c r="AU47" i="22" s="1"/>
  <c r="AU48" i="22" s="1"/>
  <c r="AU49" i="22" s="1"/>
  <c r="AU50" i="22" s="1"/>
  <c r="AU51" i="22" s="1"/>
  <c r="AU52" i="22" s="1"/>
  <c r="AU53" i="22" s="1"/>
  <c r="AT20" i="22"/>
  <c r="AT21" i="22" s="1"/>
  <c r="AT22" i="22" s="1"/>
  <c r="AT23" i="22" s="1"/>
  <c r="AT24" i="22" s="1"/>
  <c r="AT25" i="22" s="1"/>
  <c r="AT26" i="22" s="1"/>
  <c r="AT27" i="22" s="1"/>
  <c r="AT28" i="22" s="1"/>
  <c r="AT29" i="22" s="1"/>
  <c r="AT30" i="22" s="1"/>
  <c r="AT31" i="22" s="1"/>
  <c r="AT32" i="22" s="1"/>
  <c r="AT33" i="22" s="1"/>
  <c r="AT34" i="22" s="1"/>
  <c r="AT35" i="22" s="1"/>
  <c r="AT36" i="22" s="1"/>
  <c r="AT37" i="22" s="1"/>
  <c r="AT38" i="22" s="1"/>
  <c r="AT39" i="22" s="1"/>
  <c r="AT40" i="22" s="1"/>
  <c r="AT41" i="22" s="1"/>
  <c r="AT42" i="22" s="1"/>
  <c r="AT43" i="22" s="1"/>
  <c r="AT44" i="22" s="1"/>
  <c r="AT45" i="22" s="1"/>
  <c r="AT46" i="22" s="1"/>
  <c r="AT47" i="22" s="1"/>
  <c r="AT48" i="22" s="1"/>
  <c r="AT49" i="22" s="1"/>
  <c r="AT50" i="22" s="1"/>
  <c r="AT51" i="22" s="1"/>
  <c r="AT52" i="22" s="1"/>
  <c r="AT53" i="22" s="1"/>
  <c r="AJ20" i="22"/>
  <c r="AJ21" i="22" s="1"/>
  <c r="AJ22" i="22" s="1"/>
  <c r="AJ23" i="22" s="1"/>
  <c r="AJ24" i="22" s="1"/>
  <c r="AJ25" i="22" s="1"/>
  <c r="AJ26" i="22" s="1"/>
  <c r="AJ27" i="22" s="1"/>
  <c r="AJ28" i="22" s="1"/>
  <c r="AJ29" i="22" s="1"/>
  <c r="AJ30" i="22" s="1"/>
  <c r="AJ31" i="22" s="1"/>
  <c r="AJ32" i="22" s="1"/>
  <c r="AJ33" i="22" s="1"/>
  <c r="AJ34" i="22" s="1"/>
  <c r="AJ35" i="22" s="1"/>
  <c r="AJ36" i="22" s="1"/>
  <c r="AJ37" i="22" s="1"/>
  <c r="AJ38" i="22" s="1"/>
  <c r="AJ39" i="22" s="1"/>
  <c r="AJ40" i="22" s="1"/>
  <c r="AJ41" i="22" s="1"/>
  <c r="AJ42" i="22" s="1"/>
  <c r="AJ43" i="22" s="1"/>
  <c r="AJ44" i="22" s="1"/>
  <c r="AJ45" i="22" s="1"/>
  <c r="AJ46" i="22" s="1"/>
  <c r="AJ47" i="22" s="1"/>
  <c r="AJ48" i="22" s="1"/>
  <c r="AJ49" i="22" s="1"/>
  <c r="AJ50" i="22" s="1"/>
  <c r="AJ51" i="22" s="1"/>
  <c r="AJ52" i="22" s="1"/>
  <c r="AJ53" i="22" s="1"/>
  <c r="AK20" i="22"/>
  <c r="AK21" i="22" s="1"/>
  <c r="AK22" i="22" s="1"/>
  <c r="AK23" i="22" s="1"/>
  <c r="AK24" i="22" s="1"/>
  <c r="AK25" i="22" s="1"/>
  <c r="AK26" i="22" s="1"/>
  <c r="AK27" i="22" s="1"/>
  <c r="AK28" i="22" s="1"/>
  <c r="AK29" i="22" s="1"/>
  <c r="AK30" i="22" s="1"/>
  <c r="AK31" i="22" s="1"/>
  <c r="AK32" i="22" s="1"/>
  <c r="AK33" i="22" s="1"/>
  <c r="AK34" i="22" s="1"/>
  <c r="AK35" i="22" s="1"/>
  <c r="AK36" i="22" s="1"/>
  <c r="AK37" i="22" s="1"/>
  <c r="AK38" i="22" s="1"/>
  <c r="AK39" i="22" s="1"/>
  <c r="AK40" i="22" s="1"/>
  <c r="AK41" i="22" s="1"/>
  <c r="AK42" i="22" s="1"/>
  <c r="AK43" i="22" s="1"/>
  <c r="AK44" i="22" s="1"/>
  <c r="AK45" i="22" s="1"/>
  <c r="AK46" i="22" s="1"/>
  <c r="AK47" i="22" s="1"/>
  <c r="AK48" i="22" s="1"/>
  <c r="AK49" i="22" s="1"/>
  <c r="AK50" i="22" s="1"/>
  <c r="AK51" i="22" s="1"/>
  <c r="AK52" i="22" s="1"/>
  <c r="AK53" i="22" s="1"/>
  <c r="V20" i="22"/>
  <c r="V21" i="22" s="1"/>
  <c r="V22" i="22" s="1"/>
  <c r="V23" i="22" s="1"/>
  <c r="V24" i="22" s="1"/>
  <c r="V25" i="22" s="1"/>
  <c r="V26" i="22" s="1"/>
  <c r="V27" i="22" s="1"/>
  <c r="V28" i="22" s="1"/>
  <c r="V29" i="22" s="1"/>
  <c r="V30" i="22" s="1"/>
  <c r="V31" i="22" s="1"/>
  <c r="V32" i="22" s="1"/>
  <c r="V33" i="22" s="1"/>
  <c r="V34" i="22" s="1"/>
  <c r="V35" i="22" s="1"/>
  <c r="V36" i="22" s="1"/>
  <c r="V37" i="22" s="1"/>
  <c r="V38" i="22" s="1"/>
  <c r="V39" i="22" s="1"/>
  <c r="V40" i="22" s="1"/>
  <c r="V41" i="22" s="1"/>
  <c r="V42" i="22" s="1"/>
  <c r="V43" i="22" s="1"/>
  <c r="V44" i="22" s="1"/>
  <c r="V45" i="22" s="1"/>
  <c r="V46" i="22" s="1"/>
  <c r="V47" i="22" s="1"/>
  <c r="V48" i="22" s="1"/>
  <c r="V49" i="22" s="1"/>
  <c r="V50" i="22" s="1"/>
  <c r="V51" i="22" s="1"/>
  <c r="V52" i="22" s="1"/>
  <c r="V53" i="22" s="1"/>
  <c r="P20" i="22"/>
  <c r="P21" i="22" s="1"/>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AU14" i="22"/>
  <c r="AU13" i="22"/>
  <c r="AU12" i="22"/>
  <c r="AU11" i="22"/>
  <c r="AU10" i="22"/>
  <c r="AK14" i="22"/>
  <c r="AJ14" i="22"/>
  <c r="AK13" i="22"/>
  <c r="AJ13" i="22"/>
  <c r="AK12" i="22"/>
  <c r="AJ12" i="22"/>
  <c r="AK11" i="22"/>
  <c r="AJ11" i="22"/>
  <c r="AK10" i="22"/>
  <c r="AJ10" i="22"/>
  <c r="D61" i="20"/>
  <c r="D60" i="20"/>
  <c r="Z60" i="20" s="1"/>
  <c r="D59" i="20"/>
  <c r="D58" i="20"/>
  <c r="Z58" i="20" s="1"/>
  <c r="D57" i="20"/>
  <c r="D56" i="20"/>
  <c r="Z56" i="20" s="1"/>
  <c r="D55" i="20"/>
  <c r="D54" i="20"/>
  <c r="Z54" i="20" s="1"/>
  <c r="D53" i="20"/>
  <c r="D52" i="20"/>
  <c r="Z52" i="20" s="1"/>
  <c r="D51" i="20"/>
  <c r="D50" i="20"/>
  <c r="Z50" i="20" s="1"/>
  <c r="D49" i="20"/>
  <c r="D48" i="20"/>
  <c r="Z48" i="20" s="1"/>
  <c r="D47" i="20"/>
  <c r="D46" i="20"/>
  <c r="Z46" i="20" s="1"/>
  <c r="D45" i="20"/>
  <c r="D44" i="20"/>
  <c r="Z44" i="20" s="1"/>
  <c r="D43" i="20"/>
  <c r="D42" i="20"/>
  <c r="Z42" i="20" s="1"/>
  <c r="D41" i="20"/>
  <c r="D40" i="20"/>
  <c r="Z40" i="20" s="1"/>
  <c r="D39" i="20"/>
  <c r="D38" i="20"/>
  <c r="Z38" i="20" s="1"/>
  <c r="D37" i="20"/>
  <c r="D36" i="20"/>
  <c r="Z36" i="20" s="1"/>
  <c r="D35" i="20"/>
  <c r="D34" i="20"/>
  <c r="Z34" i="20" s="1"/>
  <c r="D33" i="20"/>
  <c r="D32" i="20"/>
  <c r="Z32" i="20" s="1"/>
  <c r="D31" i="20"/>
  <c r="D30" i="20"/>
  <c r="Z30" i="20" s="1"/>
  <c r="D29" i="20"/>
  <c r="F34" i="20"/>
  <c r="AB34" i="20" s="1"/>
  <c r="H34" i="20"/>
  <c r="I34" i="20"/>
  <c r="F35" i="20"/>
  <c r="H35" i="20"/>
  <c r="I35" i="20"/>
  <c r="F36" i="20"/>
  <c r="AB36" i="20" s="1"/>
  <c r="H36" i="20"/>
  <c r="I36" i="20"/>
  <c r="F37" i="20"/>
  <c r="H37" i="20"/>
  <c r="I37" i="20"/>
  <c r="F38" i="20"/>
  <c r="AB38" i="20" s="1"/>
  <c r="H38" i="20"/>
  <c r="I38" i="20"/>
  <c r="F39" i="20"/>
  <c r="H39" i="20"/>
  <c r="I39" i="20"/>
  <c r="F40" i="20"/>
  <c r="AB40" i="20" s="1"/>
  <c r="H40" i="20"/>
  <c r="I40" i="20"/>
  <c r="F41" i="20"/>
  <c r="H41" i="20"/>
  <c r="I41" i="20"/>
  <c r="F42" i="20"/>
  <c r="AB42" i="20" s="1"/>
  <c r="H42" i="20"/>
  <c r="I42" i="20"/>
  <c r="F43" i="20"/>
  <c r="H43" i="20"/>
  <c r="I43" i="20"/>
  <c r="F44" i="20"/>
  <c r="AB44" i="20" s="1"/>
  <c r="H44" i="20"/>
  <c r="I44" i="20"/>
  <c r="F45" i="20"/>
  <c r="H45" i="20"/>
  <c r="I45" i="20"/>
  <c r="F46" i="20"/>
  <c r="AB46" i="20" s="1"/>
  <c r="H46" i="20"/>
  <c r="I46" i="20"/>
  <c r="F47" i="20"/>
  <c r="H47" i="20"/>
  <c r="I47" i="20"/>
  <c r="F48" i="20"/>
  <c r="AB48" i="20" s="1"/>
  <c r="H48" i="20"/>
  <c r="I48" i="20"/>
  <c r="F49" i="20"/>
  <c r="H49" i="20"/>
  <c r="I49" i="20"/>
  <c r="F50" i="20"/>
  <c r="AB50" i="20" s="1"/>
  <c r="H50" i="20"/>
  <c r="I50" i="20"/>
  <c r="F51" i="20"/>
  <c r="H51" i="20"/>
  <c r="I51" i="20"/>
  <c r="F52" i="20"/>
  <c r="AB52" i="20" s="1"/>
  <c r="H52" i="20"/>
  <c r="I52" i="20"/>
  <c r="F53" i="20"/>
  <c r="H53" i="20"/>
  <c r="I53" i="20"/>
  <c r="F54" i="20"/>
  <c r="AB54" i="20" s="1"/>
  <c r="H54" i="20"/>
  <c r="I54" i="20"/>
  <c r="F55" i="20"/>
  <c r="H55" i="20"/>
  <c r="I55" i="20"/>
  <c r="F56" i="20"/>
  <c r="AB56" i="20" s="1"/>
  <c r="H56" i="20"/>
  <c r="I56" i="20"/>
  <c r="F57" i="20"/>
  <c r="H57" i="20"/>
  <c r="I57" i="20"/>
  <c r="F58" i="20"/>
  <c r="AB58" i="20" s="1"/>
  <c r="H58" i="20"/>
  <c r="I58" i="20"/>
  <c r="F59" i="20"/>
  <c r="H59" i="20"/>
  <c r="I59" i="20"/>
  <c r="F60" i="20"/>
  <c r="AB60" i="20" s="1"/>
  <c r="H60" i="20"/>
  <c r="I60" i="20"/>
  <c r="F61" i="20"/>
  <c r="H61" i="20"/>
  <c r="I61" i="20"/>
  <c r="I28" i="20"/>
  <c r="AE28" i="20" s="1"/>
  <c r="F29" i="20"/>
  <c r="H29" i="20"/>
  <c r="I29" i="20"/>
  <c r="F30" i="20"/>
  <c r="AB30" i="20" s="1"/>
  <c r="H30" i="20"/>
  <c r="I30" i="20"/>
  <c r="AE30" i="20" s="1"/>
  <c r="F31" i="20"/>
  <c r="H31" i="20"/>
  <c r="I31" i="20"/>
  <c r="F32" i="20"/>
  <c r="AB32" i="20" s="1"/>
  <c r="H32" i="20"/>
  <c r="I32" i="20"/>
  <c r="AE32" i="20" s="1"/>
  <c r="F33" i="20"/>
  <c r="H33" i="20"/>
  <c r="I33" i="20"/>
  <c r="G28" i="20"/>
  <c r="B4" i="23"/>
  <c r="AF25" i="20"/>
  <c r="B5" i="23"/>
  <c r="R107" i="12"/>
  <c r="N132" i="20"/>
  <c r="P132" i="20"/>
  <c r="N133" i="20"/>
  <c r="P133" i="20"/>
  <c r="N134" i="20"/>
  <c r="P134" i="20"/>
  <c r="N135" i="20"/>
  <c r="P135" i="20"/>
  <c r="N136" i="20"/>
  <c r="P136" i="20"/>
  <c r="N137" i="20"/>
  <c r="P137" i="20"/>
  <c r="N138" i="20"/>
  <c r="P138" i="20"/>
  <c r="N139" i="20"/>
  <c r="P139" i="20"/>
  <c r="N140" i="20"/>
  <c r="P140" i="20"/>
  <c r="N141" i="20"/>
  <c r="P141" i="20"/>
  <c r="N142" i="20"/>
  <c r="P142" i="20"/>
  <c r="N143" i="20"/>
  <c r="P143" i="20"/>
  <c r="N144" i="20"/>
  <c r="P144" i="20"/>
  <c r="N145" i="20"/>
  <c r="P145" i="20"/>
  <c r="N146" i="20"/>
  <c r="P146" i="20"/>
  <c r="N147" i="20"/>
  <c r="P147" i="20"/>
  <c r="N148" i="20"/>
  <c r="P148" i="20"/>
  <c r="N149" i="20"/>
  <c r="P149" i="20"/>
  <c r="N150" i="20"/>
  <c r="P150" i="20"/>
  <c r="N151" i="20"/>
  <c r="P151" i="20"/>
  <c r="N152" i="20"/>
  <c r="P152" i="20"/>
  <c r="N153" i="20"/>
  <c r="P153" i="20"/>
  <c r="N154" i="20"/>
  <c r="P154" i="20"/>
  <c r="N155" i="20"/>
  <c r="P155" i="20"/>
  <c r="N156" i="20"/>
  <c r="P156" i="20"/>
  <c r="N157" i="20"/>
  <c r="P157" i="20"/>
  <c r="N158" i="20"/>
  <c r="P158" i="20"/>
  <c r="N159" i="20"/>
  <c r="P159" i="20"/>
  <c r="N160" i="20"/>
  <c r="P160" i="20"/>
  <c r="N161" i="20"/>
  <c r="P161" i="20"/>
  <c r="N162" i="20"/>
  <c r="P162" i="20"/>
  <c r="N163" i="20"/>
  <c r="P163" i="20"/>
  <c r="N164" i="20"/>
  <c r="P164" i="20"/>
  <c r="N131" i="20"/>
  <c r="P131" i="20"/>
  <c r="Y121" i="20"/>
  <c r="Y126" i="20"/>
  <c r="Z126" i="20"/>
  <c r="AA126" i="20"/>
  <c r="AB126" i="20"/>
  <c r="AC126" i="20"/>
  <c r="AE126" i="20"/>
  <c r="Y127" i="20"/>
  <c r="Z127" i="20"/>
  <c r="AA127" i="20"/>
  <c r="AB127" i="20"/>
  <c r="AC127" i="20"/>
  <c r="AE127" i="20"/>
  <c r="Y128" i="20"/>
  <c r="Z128" i="20"/>
  <c r="AA128" i="20"/>
  <c r="AB128" i="20"/>
  <c r="AC128" i="20"/>
  <c r="AE128" i="20"/>
  <c r="Y129" i="20"/>
  <c r="Z129" i="20"/>
  <c r="AA129" i="20"/>
  <c r="AB129" i="20"/>
  <c r="AC129" i="20"/>
  <c r="AE129" i="20"/>
  <c r="Y130" i="20"/>
  <c r="Z130" i="20"/>
  <c r="AA130" i="20"/>
  <c r="AB130" i="20"/>
  <c r="AC130" i="20"/>
  <c r="AE130" i="20"/>
  <c r="Z120" i="20"/>
  <c r="AA120" i="20"/>
  <c r="AB120" i="20"/>
  <c r="AC120" i="20"/>
  <c r="AE120" i="20"/>
  <c r="I130" i="20"/>
  <c r="I129" i="20"/>
  <c r="I128" i="20"/>
  <c r="I127" i="20"/>
  <c r="I126" i="20"/>
  <c r="I125" i="20"/>
  <c r="I124" i="20"/>
  <c r="I123" i="20"/>
  <c r="I122" i="20"/>
  <c r="I121" i="20"/>
  <c r="I120" i="20"/>
  <c r="AE19" i="10"/>
  <c r="AE20" i="10"/>
  <c r="AE21" i="10"/>
  <c r="AE22" i="10"/>
  <c r="AD22" i="10" s="1"/>
  <c r="AE23" i="10"/>
  <c r="AE24" i="10"/>
  <c r="AE25" i="10"/>
  <c r="AE26" i="10"/>
  <c r="AD26" i="10" s="1"/>
  <c r="AE27" i="10"/>
  <c r="AE28" i="10"/>
  <c r="AE29" i="10"/>
  <c r="AE30" i="10"/>
  <c r="AD30" i="10" s="1"/>
  <c r="AE31" i="10"/>
  <c r="AE32" i="10"/>
  <c r="AE33" i="10"/>
  <c r="AE34" i="10"/>
  <c r="AD34" i="10" s="1"/>
  <c r="AE35" i="10"/>
  <c r="AE36" i="10"/>
  <c r="AE37" i="10"/>
  <c r="AE38" i="10"/>
  <c r="AD38" i="10" s="1"/>
  <c r="AE39" i="10"/>
  <c r="AE40" i="10"/>
  <c r="AE41" i="10"/>
  <c r="AE42" i="10"/>
  <c r="AD42" i="10" s="1"/>
  <c r="AE43" i="10"/>
  <c r="AE44" i="10"/>
  <c r="AE45" i="10"/>
  <c r="AE46" i="10"/>
  <c r="AD46" i="10" s="1"/>
  <c r="AE47" i="10"/>
  <c r="AE48" i="10"/>
  <c r="AE49" i="10"/>
  <c r="AE50" i="10"/>
  <c r="AD50" i="10" s="1"/>
  <c r="AE51" i="10"/>
  <c r="AE18" i="10"/>
  <c r="AA19" i="10"/>
  <c r="Z19" i="10" s="1"/>
  <c r="AA20" i="10"/>
  <c r="Z20" i="10" s="1"/>
  <c r="AA21" i="10"/>
  <c r="Z21" i="10" s="1"/>
  <c r="AA22" i="10"/>
  <c r="Z22" i="10" s="1"/>
  <c r="AA23" i="10"/>
  <c r="Z23" i="10" s="1"/>
  <c r="AA24" i="10"/>
  <c r="Z24" i="10" s="1"/>
  <c r="AA25" i="10"/>
  <c r="Z25" i="10" s="1"/>
  <c r="AA26" i="10"/>
  <c r="Z26" i="10" s="1"/>
  <c r="AA27" i="10"/>
  <c r="Z27" i="10" s="1"/>
  <c r="AA28" i="10"/>
  <c r="Z28" i="10" s="1"/>
  <c r="AA29" i="10"/>
  <c r="Z29" i="10" s="1"/>
  <c r="AA30" i="10"/>
  <c r="Z30" i="10" s="1"/>
  <c r="AA31" i="10"/>
  <c r="Z31" i="10" s="1"/>
  <c r="AA32" i="10"/>
  <c r="Z32" i="10" s="1"/>
  <c r="AA33" i="10"/>
  <c r="Z33" i="10" s="1"/>
  <c r="AA34" i="10"/>
  <c r="AA35" i="10"/>
  <c r="Z35" i="10" s="1"/>
  <c r="AA36" i="10"/>
  <c r="Z36" i="10" s="1"/>
  <c r="AA37" i="10"/>
  <c r="Z37" i="10" s="1"/>
  <c r="AA38" i="10"/>
  <c r="Z38" i="10" s="1"/>
  <c r="AA39" i="10"/>
  <c r="Z39" i="10" s="1"/>
  <c r="AA40" i="10"/>
  <c r="Z40" i="10" s="1"/>
  <c r="AA41" i="10"/>
  <c r="Z41" i="10" s="1"/>
  <c r="AA42" i="10"/>
  <c r="AA43" i="10"/>
  <c r="Z43" i="10" s="1"/>
  <c r="AA44" i="10"/>
  <c r="Z44" i="10" s="1"/>
  <c r="AA45" i="10"/>
  <c r="Z45" i="10" s="1"/>
  <c r="AA46" i="10"/>
  <c r="Z46" i="10" s="1"/>
  <c r="AA47" i="10"/>
  <c r="Z47" i="10" s="1"/>
  <c r="AA48" i="10"/>
  <c r="Z48" i="10" s="1"/>
  <c r="AA49" i="10"/>
  <c r="Z49" i="10" s="1"/>
  <c r="AA50" i="10"/>
  <c r="Z50" i="10" s="1"/>
  <c r="AA51" i="10"/>
  <c r="Z51" i="10" s="1"/>
  <c r="AA18" i="10"/>
  <c r="Z18" i="10" s="1"/>
  <c r="M19" i="10"/>
  <c r="AA29" i="20" s="1"/>
  <c r="M20" i="10"/>
  <c r="AA30" i="20" s="1"/>
  <c r="M21" i="10"/>
  <c r="AA31" i="20" s="1"/>
  <c r="M22" i="10"/>
  <c r="AA32" i="20" s="1"/>
  <c r="M23" i="10"/>
  <c r="AA33" i="20" s="1"/>
  <c r="M24" i="10"/>
  <c r="AA34" i="20" s="1"/>
  <c r="M25" i="10"/>
  <c r="AA35" i="20" s="1"/>
  <c r="M26" i="10"/>
  <c r="AA36" i="20" s="1"/>
  <c r="M27" i="10"/>
  <c r="AA37" i="20" s="1"/>
  <c r="M28" i="10"/>
  <c r="AA38" i="20" s="1"/>
  <c r="M29" i="10"/>
  <c r="AA39" i="20" s="1"/>
  <c r="M30" i="10"/>
  <c r="AA40" i="20" s="1"/>
  <c r="M31" i="10"/>
  <c r="AA41" i="20" s="1"/>
  <c r="M32" i="10"/>
  <c r="AA42" i="20" s="1"/>
  <c r="M33" i="10"/>
  <c r="AA43" i="20" s="1"/>
  <c r="M34" i="10"/>
  <c r="M35" i="10"/>
  <c r="AA45" i="20" s="1"/>
  <c r="M36" i="10"/>
  <c r="AA46" i="20" s="1"/>
  <c r="M37" i="10"/>
  <c r="M38" i="10"/>
  <c r="AA48" i="20" s="1"/>
  <c r="M39" i="10"/>
  <c r="AA49" i="20" s="1"/>
  <c r="M40" i="10"/>
  <c r="AA50" i="20" s="1"/>
  <c r="M41" i="10"/>
  <c r="AA51" i="20" s="1"/>
  <c r="M42" i="10"/>
  <c r="AA52" i="20" s="1"/>
  <c r="M43" i="10"/>
  <c r="AA53" i="20" s="1"/>
  <c r="M44" i="10"/>
  <c r="AA54" i="20" s="1"/>
  <c r="M45" i="10"/>
  <c r="M46" i="10"/>
  <c r="AA56" i="20" s="1"/>
  <c r="M47" i="10"/>
  <c r="AA57" i="20" s="1"/>
  <c r="M48" i="10"/>
  <c r="AA58" i="20" s="1"/>
  <c r="M49" i="10"/>
  <c r="AA59" i="20" s="1"/>
  <c r="M50" i="10"/>
  <c r="M51" i="10"/>
  <c r="AA61" i="20" s="1"/>
  <c r="M18" i="10"/>
  <c r="H51" i="5"/>
  <c r="S130" i="20"/>
  <c r="S129" i="20"/>
  <c r="S128" i="20"/>
  <c r="S127" i="20"/>
  <c r="S126" i="20"/>
  <c r="S120" i="20"/>
  <c r="C11" i="12"/>
  <c r="C17" i="12" s="1"/>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AG18" i="12"/>
  <c r="AH18" i="12"/>
  <c r="AI18" i="12"/>
  <c r="AJ18" i="12"/>
  <c r="AK18" i="12"/>
  <c r="AL18" i="12"/>
  <c r="AM18" i="12"/>
  <c r="AN18" i="12"/>
  <c r="AO18" i="12"/>
  <c r="AP18" i="12"/>
  <c r="AQ18" i="12"/>
  <c r="AR18" i="12"/>
  <c r="AS18" i="12"/>
  <c r="AT18" i="12"/>
  <c r="AU18" i="12"/>
  <c r="AV18" i="12"/>
  <c r="C18" i="12"/>
  <c r="AT11" i="12"/>
  <c r="AT15" i="12" s="1"/>
  <c r="AU17" i="12"/>
  <c r="AV11" i="12"/>
  <c r="AV15" i="12" s="1"/>
  <c r="D11" i="12"/>
  <c r="E11" i="12"/>
  <c r="E17" i="12" s="1"/>
  <c r="F11" i="12"/>
  <c r="G11" i="12"/>
  <c r="H11" i="12"/>
  <c r="I11" i="12"/>
  <c r="J11" i="12"/>
  <c r="K11" i="12"/>
  <c r="L11" i="12"/>
  <c r="M11" i="12"/>
  <c r="N11" i="12"/>
  <c r="O11" i="12"/>
  <c r="P11" i="12"/>
  <c r="P15" i="12" s="1"/>
  <c r="Q11" i="12"/>
  <c r="Q15" i="12" s="1"/>
  <c r="R11" i="12"/>
  <c r="R15" i="12" s="1"/>
  <c r="S11" i="12"/>
  <c r="S15" i="12" s="1"/>
  <c r="T11" i="12"/>
  <c r="T15" i="12" s="1"/>
  <c r="U11" i="12"/>
  <c r="U15" i="12" s="1"/>
  <c r="V11" i="12"/>
  <c r="V15" i="12" s="1"/>
  <c r="W11" i="12"/>
  <c r="W15" i="12" s="1"/>
  <c r="X11" i="12"/>
  <c r="X15" i="12" s="1"/>
  <c r="Y11" i="12"/>
  <c r="Y15" i="12" s="1"/>
  <c r="Z11" i="12"/>
  <c r="Z15" i="12" s="1"/>
  <c r="AA11" i="12"/>
  <c r="AA15" i="12" s="1"/>
  <c r="AB11" i="12"/>
  <c r="AB15" i="12" s="1"/>
  <c r="AC11" i="12"/>
  <c r="AC15" i="12" s="1"/>
  <c r="AD11" i="12"/>
  <c r="AD15" i="12" s="1"/>
  <c r="AE11" i="12"/>
  <c r="AE15" i="12" s="1"/>
  <c r="AF11" i="12"/>
  <c r="AF15" i="12" s="1"/>
  <c r="AG11" i="12"/>
  <c r="AG15" i="12" s="1"/>
  <c r="AH11" i="12"/>
  <c r="AH15" i="12" s="1"/>
  <c r="AI11" i="12"/>
  <c r="AI15" i="12" s="1"/>
  <c r="AJ11" i="12"/>
  <c r="AJ15" i="12" s="1"/>
  <c r="AK11" i="12"/>
  <c r="AK15" i="12" s="1"/>
  <c r="AL11" i="12"/>
  <c r="AL15" i="12" s="1"/>
  <c r="AM11" i="12"/>
  <c r="AM15" i="12" s="1"/>
  <c r="AN11" i="12"/>
  <c r="AN15" i="12" s="1"/>
  <c r="AO11" i="12"/>
  <c r="AO15" i="12" s="1"/>
  <c r="AP17" i="12"/>
  <c r="AQ11" i="12"/>
  <c r="AQ15" i="12" s="1"/>
  <c r="AR11" i="12"/>
  <c r="AR15" i="12" s="1"/>
  <c r="AS11" i="12"/>
  <c r="AS15" i="12" s="1"/>
  <c r="F4" i="13"/>
  <c r="O74" i="12"/>
  <c r="D19" i="12" s="1"/>
  <c r="P74" i="12"/>
  <c r="E19" i="12" s="1"/>
  <c r="Q74" i="12"/>
  <c r="F19" i="12" s="1"/>
  <c r="R74" i="12"/>
  <c r="G19" i="12"/>
  <c r="S74" i="12"/>
  <c r="H19" i="12" s="1"/>
  <c r="T74" i="12"/>
  <c r="I19" i="12" s="1"/>
  <c r="U74" i="12"/>
  <c r="J19" i="12" s="1"/>
  <c r="V74" i="12"/>
  <c r="K19" i="12"/>
  <c r="W74" i="12"/>
  <c r="L19" i="12" s="1"/>
  <c r="X74" i="12"/>
  <c r="M19" i="12" s="1"/>
  <c r="Y74" i="12"/>
  <c r="N19" i="12" s="1"/>
  <c r="Z74" i="12"/>
  <c r="O19" i="12"/>
  <c r="AA74" i="12"/>
  <c r="P19" i="12" s="1"/>
  <c r="AB74" i="12"/>
  <c r="Q19" i="12" s="1"/>
  <c r="AC74" i="12"/>
  <c r="R19" i="12" s="1"/>
  <c r="AD74" i="12"/>
  <c r="S19" i="12"/>
  <c r="AE74" i="12"/>
  <c r="T19" i="12" s="1"/>
  <c r="AF74" i="12"/>
  <c r="U19" i="12" s="1"/>
  <c r="AG74" i="12"/>
  <c r="V19" i="12" s="1"/>
  <c r="AH74" i="12"/>
  <c r="W19" i="12"/>
  <c r="AI74" i="12"/>
  <c r="X19" i="12" s="1"/>
  <c r="AJ74" i="12"/>
  <c r="Y19" i="12" s="1"/>
  <c r="AK74" i="12"/>
  <c r="Z19" i="12" s="1"/>
  <c r="AL74" i="12"/>
  <c r="AA19" i="12"/>
  <c r="AM74" i="12"/>
  <c r="AB19" i="12" s="1"/>
  <c r="AN74" i="12"/>
  <c r="AC19" i="12" s="1"/>
  <c r="AO74" i="12"/>
  <c r="AD19" i="12" s="1"/>
  <c r="AP74" i="12"/>
  <c r="AE19" i="12"/>
  <c r="AQ74" i="12"/>
  <c r="AF19" i="12" s="1"/>
  <c r="AR74" i="12"/>
  <c r="AG19" i="12" s="1"/>
  <c r="AS74" i="12"/>
  <c r="AH19" i="12" s="1"/>
  <c r="AT74" i="12"/>
  <c r="AI19" i="12"/>
  <c r="AU74" i="12"/>
  <c r="AJ19" i="12" s="1"/>
  <c r="AV74" i="12"/>
  <c r="AK19" i="12" s="1"/>
  <c r="AW74" i="12"/>
  <c r="AL19" i="12" s="1"/>
  <c r="AX74" i="12"/>
  <c r="AM19" i="12"/>
  <c r="AY74" i="12"/>
  <c r="AN19" i="12" s="1"/>
  <c r="AZ74" i="12"/>
  <c r="AO19" i="12" s="1"/>
  <c r="BA74" i="12"/>
  <c r="AP19" i="12" s="1"/>
  <c r="BB74" i="12"/>
  <c r="AQ19" i="12"/>
  <c r="BC74" i="12"/>
  <c r="AR19" i="12" s="1"/>
  <c r="BD74" i="12"/>
  <c r="AS19" i="12" s="1"/>
  <c r="BE74" i="12"/>
  <c r="AT19" i="12" s="1"/>
  <c r="BF74" i="12"/>
  <c r="AU19" i="12"/>
  <c r="BG74" i="12"/>
  <c r="AV19" i="12" s="1"/>
  <c r="N74" i="12"/>
  <c r="C19" i="12" s="1"/>
  <c r="Z48" i="12"/>
  <c r="AA48" i="12" s="1"/>
  <c r="Q14" i="12" s="1"/>
  <c r="Z49" i="12"/>
  <c r="AA49" i="12"/>
  <c r="Z50" i="12"/>
  <c r="AA50" i="12" s="1"/>
  <c r="AS14" i="12"/>
  <c r="AQ10" i="12"/>
  <c r="AR10" i="12"/>
  <c r="AS10" i="12"/>
  <c r="AT10" i="12"/>
  <c r="AU10" i="12"/>
  <c r="AV10" i="12"/>
  <c r="AI10" i="12"/>
  <c r="AJ10" i="12"/>
  <c r="AK10" i="12"/>
  <c r="AL10" i="12"/>
  <c r="AM10" i="12"/>
  <c r="AN10" i="12"/>
  <c r="AO10" i="12"/>
  <c r="AP10" i="12"/>
  <c r="X10" i="12"/>
  <c r="Y10" i="12"/>
  <c r="Z10" i="12"/>
  <c r="AA10" i="12"/>
  <c r="AB10" i="12"/>
  <c r="AC10" i="12"/>
  <c r="AD10" i="12"/>
  <c r="AE10" i="12"/>
  <c r="AF10" i="12"/>
  <c r="AG10" i="12"/>
  <c r="AH10" i="12"/>
  <c r="E10" i="12"/>
  <c r="F10" i="12"/>
  <c r="G10" i="12"/>
  <c r="H10" i="12"/>
  <c r="I10" i="12"/>
  <c r="J10" i="12"/>
  <c r="K10" i="12"/>
  <c r="L10" i="12"/>
  <c r="M10" i="12"/>
  <c r="N10" i="12"/>
  <c r="O10" i="12"/>
  <c r="P10" i="12"/>
  <c r="Q10" i="12"/>
  <c r="R10" i="12"/>
  <c r="S10" i="12"/>
  <c r="T10" i="12"/>
  <c r="U10" i="12"/>
  <c r="V10" i="12"/>
  <c r="W10" i="12"/>
  <c r="D10" i="12"/>
  <c r="C10" i="12"/>
  <c r="X51" i="4"/>
  <c r="X52" i="4"/>
  <c r="X53" i="4"/>
  <c r="X54" i="4"/>
  <c r="X50" i="4"/>
  <c r="X44" i="4"/>
  <c r="X52" i="5"/>
  <c r="AD127" i="20" s="1"/>
  <c r="X53" i="5"/>
  <c r="AD128" i="20" s="1"/>
  <c r="X54" i="5"/>
  <c r="AD129" i="20" s="1"/>
  <c r="X55" i="5"/>
  <c r="AD130" i="20" s="1"/>
  <c r="X51" i="5"/>
  <c r="AD126" i="20" s="1"/>
  <c r="X45" i="5"/>
  <c r="AD120" i="20" s="1"/>
  <c r="I45" i="5"/>
  <c r="J45" i="5"/>
  <c r="K45" i="5"/>
  <c r="L45" i="5"/>
  <c r="M45" i="5"/>
  <c r="I51" i="5"/>
  <c r="J51" i="5"/>
  <c r="K51" i="5"/>
  <c r="L51" i="5"/>
  <c r="M51" i="5"/>
  <c r="I52" i="5"/>
  <c r="J52" i="5"/>
  <c r="K52" i="5"/>
  <c r="L52" i="5"/>
  <c r="M52" i="5"/>
  <c r="I53" i="5"/>
  <c r="J53" i="5"/>
  <c r="K53" i="5"/>
  <c r="L53" i="5"/>
  <c r="M53" i="5"/>
  <c r="I54" i="5"/>
  <c r="J54" i="5"/>
  <c r="K54" i="5"/>
  <c r="L54" i="5"/>
  <c r="M54" i="5"/>
  <c r="I55" i="5"/>
  <c r="J55" i="5"/>
  <c r="K55" i="5"/>
  <c r="L55" i="5"/>
  <c r="M55" i="5"/>
  <c r="H52" i="5"/>
  <c r="H53" i="5"/>
  <c r="H54" i="5"/>
  <c r="H55" i="5"/>
  <c r="H50" i="4"/>
  <c r="J50" i="4"/>
  <c r="K50" i="4"/>
  <c r="L50" i="4"/>
  <c r="M50" i="4"/>
  <c r="N50" i="4"/>
  <c r="O14" i="4"/>
  <c r="O29" i="4"/>
  <c r="O50" i="4"/>
  <c r="H51" i="4"/>
  <c r="I51" i="4"/>
  <c r="J51" i="4"/>
  <c r="K51" i="4"/>
  <c r="L51" i="4"/>
  <c r="M51" i="4"/>
  <c r="N51" i="4"/>
  <c r="O15" i="4"/>
  <c r="O51" i="4" s="1"/>
  <c r="O30" i="4"/>
  <c r="H52" i="4"/>
  <c r="I52" i="4"/>
  <c r="J52" i="4"/>
  <c r="K52" i="4"/>
  <c r="L52" i="4"/>
  <c r="M52" i="4"/>
  <c r="N52" i="4"/>
  <c r="O16" i="4"/>
  <c r="O31" i="4"/>
  <c r="O52" i="4"/>
  <c r="H53" i="4"/>
  <c r="I53" i="4"/>
  <c r="J53" i="4"/>
  <c r="K53" i="4"/>
  <c r="L53" i="4"/>
  <c r="M53" i="4"/>
  <c r="N53" i="4"/>
  <c r="O17" i="4"/>
  <c r="O53" i="4" s="1"/>
  <c r="O32" i="4"/>
  <c r="H54" i="4"/>
  <c r="I54" i="4"/>
  <c r="J54" i="4"/>
  <c r="K54" i="4"/>
  <c r="L54" i="4"/>
  <c r="M54" i="4"/>
  <c r="N54" i="4"/>
  <c r="O18" i="4"/>
  <c r="O33" i="4"/>
  <c r="O54" i="4"/>
  <c r="J44" i="4"/>
  <c r="K44" i="4"/>
  <c r="L44" i="4"/>
  <c r="M44" i="4"/>
  <c r="N44" i="4"/>
  <c r="O8" i="4"/>
  <c r="O23" i="4"/>
  <c r="O44" i="4"/>
  <c r="H44" i="4"/>
  <c r="N23" i="5"/>
  <c r="N24" i="5"/>
  <c r="N30" i="5"/>
  <c r="N31" i="5"/>
  <c r="N32" i="5"/>
  <c r="N33" i="5"/>
  <c r="N8" i="5"/>
  <c r="N9" i="5"/>
  <c r="N10" i="5"/>
  <c r="N11" i="5"/>
  <c r="N12" i="5"/>
  <c r="N13" i="5"/>
  <c r="N51" i="5" s="1"/>
  <c r="N14" i="5"/>
  <c r="N52" i="5" s="1"/>
  <c r="N15" i="5"/>
  <c r="N53" i="5" s="1"/>
  <c r="N16" i="5"/>
  <c r="N54" i="5" s="1"/>
  <c r="N6" i="5"/>
  <c r="O13" i="4"/>
  <c r="O7" i="4"/>
  <c r="O22" i="4"/>
  <c r="N34" i="5"/>
  <c r="N7" i="5"/>
  <c r="N45" i="5" s="1"/>
  <c r="N17" i="5"/>
  <c r="N55" i="5" s="1"/>
  <c r="O33" i="1"/>
  <c r="O24" i="1"/>
  <c r="O25" i="1"/>
  <c r="O26" i="1"/>
  <c r="O27" i="1"/>
  <c r="O28" i="1"/>
  <c r="O29" i="1"/>
  <c r="O30" i="1"/>
  <c r="O31" i="1"/>
  <c r="O32" i="1"/>
  <c r="O23" i="1"/>
  <c r="E29" i="5"/>
  <c r="D29" i="5"/>
  <c r="E13" i="5"/>
  <c r="D13" i="5"/>
  <c r="E30" i="4"/>
  <c r="D30" i="4"/>
  <c r="E14" i="4"/>
  <c r="D14" i="4"/>
  <c r="L33" i="1"/>
  <c r="K33" i="1"/>
  <c r="J33" i="1"/>
  <c r="M32" i="1"/>
  <c r="I32" i="1"/>
  <c r="L31" i="1"/>
  <c r="J31" i="1"/>
  <c r="L29" i="1"/>
  <c r="K29" i="1"/>
  <c r="J29" i="1"/>
  <c r="M28" i="1"/>
  <c r="I28" i="1"/>
  <c r="L27" i="1"/>
  <c r="J27" i="1"/>
  <c r="L25" i="1"/>
  <c r="K25" i="1"/>
  <c r="J25" i="1"/>
  <c r="M24" i="1"/>
  <c r="I24" i="1"/>
  <c r="F24" i="1"/>
  <c r="L24" i="1" s="1"/>
  <c r="F25" i="1"/>
  <c r="M25" i="1" s="1"/>
  <c r="F26" i="1"/>
  <c r="J26" i="1" s="1"/>
  <c r="F27" i="1"/>
  <c r="M27" i="1" s="1"/>
  <c r="F28" i="1"/>
  <c r="L28" i="1" s="1"/>
  <c r="F29" i="1"/>
  <c r="M29" i="1" s="1"/>
  <c r="F30" i="1"/>
  <c r="J30" i="1" s="1"/>
  <c r="F31" i="1"/>
  <c r="M31" i="1" s="1"/>
  <c r="F32" i="1"/>
  <c r="L32" i="1" s="1"/>
  <c r="F33" i="1"/>
  <c r="M33" i="1" s="1"/>
  <c r="F23" i="1"/>
  <c r="M23" i="1" s="1"/>
  <c r="M8" i="1"/>
  <c r="M10" i="1"/>
  <c r="M12" i="1"/>
  <c r="F13" i="1"/>
  <c r="M13" i="1"/>
  <c r="M15" i="1"/>
  <c r="M17" i="1"/>
  <c r="J8" i="1"/>
  <c r="L8" i="1"/>
  <c r="L9" i="1"/>
  <c r="I10" i="1"/>
  <c r="J10" i="1"/>
  <c r="L10" i="1"/>
  <c r="J12" i="1"/>
  <c r="L12" i="1"/>
  <c r="I13" i="1"/>
  <c r="J13" i="1"/>
  <c r="K13" i="1"/>
  <c r="L13" i="1"/>
  <c r="L14" i="1"/>
  <c r="I15" i="1"/>
  <c r="J15" i="1"/>
  <c r="L15" i="1"/>
  <c r="J17" i="1"/>
  <c r="L17" i="1"/>
  <c r="I7" i="1"/>
  <c r="F8" i="1"/>
  <c r="I8" i="1" s="1"/>
  <c r="F9" i="1"/>
  <c r="I9" i="1" s="1"/>
  <c r="F10" i="1"/>
  <c r="K10" i="1" s="1"/>
  <c r="F11" i="1"/>
  <c r="M11" i="1" s="1"/>
  <c r="F12" i="1"/>
  <c r="I12" i="1" s="1"/>
  <c r="F14" i="1"/>
  <c r="M14" i="1" s="1"/>
  <c r="F15" i="1"/>
  <c r="K15" i="1" s="1"/>
  <c r="F16" i="1"/>
  <c r="I16" i="1" s="1"/>
  <c r="F17" i="1"/>
  <c r="I17" i="1" s="1"/>
  <c r="F7" i="1"/>
  <c r="M7" i="1" s="1"/>
  <c r="AF87" i="20" l="1"/>
  <c r="L24" i="53"/>
  <c r="AF83" i="20"/>
  <c r="L20" i="53"/>
  <c r="AF85" i="20"/>
  <c r="L22" i="53"/>
  <c r="AF84" i="20"/>
  <c r="L21" i="53"/>
  <c r="T34" i="20"/>
  <c r="S33" i="20"/>
  <c r="U33" i="20" s="1"/>
  <c r="L7" i="1"/>
  <c r="K17" i="1"/>
  <c r="K16" i="1"/>
  <c r="K14" i="1"/>
  <c r="K12" i="1"/>
  <c r="K11" i="1"/>
  <c r="K9" i="1"/>
  <c r="K8" i="1"/>
  <c r="M16" i="1"/>
  <c r="M9" i="1"/>
  <c r="K23" i="1"/>
  <c r="J24" i="1"/>
  <c r="I25" i="1"/>
  <c r="L26" i="1"/>
  <c r="K27" i="1"/>
  <c r="J28" i="1"/>
  <c r="I29" i="1"/>
  <c r="L30" i="1"/>
  <c r="K31" i="1"/>
  <c r="J32" i="1"/>
  <c r="I33" i="1"/>
  <c r="AC14" i="12"/>
  <c r="AB28" i="20"/>
  <c r="AA28" i="20"/>
  <c r="Z28" i="20"/>
  <c r="AD28" i="20"/>
  <c r="AC42" i="10"/>
  <c r="AB42" i="10" s="1"/>
  <c r="Z42" i="10"/>
  <c r="AC34" i="10"/>
  <c r="AB34" i="10" s="1"/>
  <c r="Z34" i="10"/>
  <c r="AA131" i="20"/>
  <c r="AD18" i="10"/>
  <c r="B20" i="22" s="1"/>
  <c r="AA161" i="20"/>
  <c r="AD48" i="10"/>
  <c r="B50" i="22" s="1"/>
  <c r="AA157" i="20"/>
  <c r="AD44" i="10"/>
  <c r="AA153" i="20"/>
  <c r="AD40" i="10"/>
  <c r="AA149" i="20"/>
  <c r="AD36" i="10"/>
  <c r="AA145" i="20"/>
  <c r="AD32" i="10"/>
  <c r="AA141" i="20"/>
  <c r="AD28" i="10"/>
  <c r="AA137" i="20"/>
  <c r="AD24" i="10"/>
  <c r="AA133" i="20"/>
  <c r="AD20" i="10"/>
  <c r="AE33" i="20"/>
  <c r="AD32" i="20"/>
  <c r="AB31" i="20"/>
  <c r="AE29" i="20"/>
  <c r="AB59" i="20"/>
  <c r="AB55" i="20"/>
  <c r="AB51" i="20"/>
  <c r="AB47" i="20"/>
  <c r="AB43" i="20"/>
  <c r="AB39" i="20"/>
  <c r="AB35" i="20"/>
  <c r="Z29" i="20"/>
  <c r="Z33" i="20"/>
  <c r="Z37" i="20"/>
  <c r="Z41" i="20"/>
  <c r="Z45" i="20"/>
  <c r="Z49" i="20"/>
  <c r="Z53" i="20"/>
  <c r="Z57" i="20"/>
  <c r="Z61" i="20"/>
  <c r="C24" i="10"/>
  <c r="N24" i="10" s="1"/>
  <c r="AN20" i="14"/>
  <c r="L16" i="1"/>
  <c r="K26" i="1"/>
  <c r="K30" i="1"/>
  <c r="AC158" i="20"/>
  <c r="AD45" i="10"/>
  <c r="B47" i="22" s="1"/>
  <c r="AC150" i="20"/>
  <c r="AD37" i="10"/>
  <c r="AC146" i="20"/>
  <c r="AD33" i="10"/>
  <c r="AC134" i="20"/>
  <c r="AD21" i="10"/>
  <c r="J11" i="1"/>
  <c r="K24" i="1"/>
  <c r="I26" i="1"/>
  <c r="K28" i="1"/>
  <c r="I30" i="1"/>
  <c r="AC160" i="20"/>
  <c r="AD47" i="10"/>
  <c r="AC152" i="20"/>
  <c r="AD39" i="10"/>
  <c r="AF41" i="22" s="1"/>
  <c r="AC144" i="20"/>
  <c r="AD31" i="10"/>
  <c r="AC136" i="20"/>
  <c r="AD23" i="10"/>
  <c r="AF25" i="22" s="1"/>
  <c r="AD33" i="20"/>
  <c r="AE34" i="20"/>
  <c r="AF86" i="20"/>
  <c r="L23" i="53"/>
  <c r="L16" i="53"/>
  <c r="AQ16" i="53"/>
  <c r="AS16" i="53" s="1"/>
  <c r="AG16" i="53"/>
  <c r="AI16" i="53" s="1"/>
  <c r="M16" i="53"/>
  <c r="S19" i="10"/>
  <c r="AF89" i="20"/>
  <c r="L26" i="53"/>
  <c r="AF91" i="20"/>
  <c r="L28" i="53"/>
  <c r="AF82" i="20"/>
  <c r="L19" i="53"/>
  <c r="Z22" i="14"/>
  <c r="Y21" i="14"/>
  <c r="AL21" i="14" s="1"/>
  <c r="AF90" i="20"/>
  <c r="L27" i="53"/>
  <c r="L11" i="1"/>
  <c r="J23" i="1"/>
  <c r="K24" i="55"/>
  <c r="B3" i="40" s="1"/>
  <c r="AO23" i="55"/>
  <c r="AF2" i="40" s="1"/>
  <c r="AB23" i="55"/>
  <c r="S2" i="40" s="1"/>
  <c r="AA28" i="55"/>
  <c r="R7" i="40" s="1"/>
  <c r="L28" i="55"/>
  <c r="C7" i="40" s="1"/>
  <c r="X25" i="55"/>
  <c r="O4" i="40" s="1"/>
  <c r="Q28" i="55"/>
  <c r="H7" i="40" s="1"/>
  <c r="I25" i="55"/>
  <c r="AU27" i="55"/>
  <c r="AL6" i="40" s="1"/>
  <c r="L27" i="55"/>
  <c r="C6" i="40" s="1"/>
  <c r="AP26" i="55"/>
  <c r="AG5" i="40" s="1"/>
  <c r="AC26" i="55"/>
  <c r="T5" i="40" s="1"/>
  <c r="AA25" i="55"/>
  <c r="R4" i="40" s="1"/>
  <c r="I24" i="55"/>
  <c r="AU26" i="55"/>
  <c r="AL5" i="40" s="1"/>
  <c r="AM23" i="55"/>
  <c r="AD2" i="40" s="1"/>
  <c r="AF26" i="55"/>
  <c r="W5" i="40" s="1"/>
  <c r="H23" i="55"/>
  <c r="AT25" i="55"/>
  <c r="AK4" i="40" s="1"/>
  <c r="AM28" i="55"/>
  <c r="AD7" i="40" s="1"/>
  <c r="AE25" i="55"/>
  <c r="V4" i="40" s="1"/>
  <c r="X28" i="55"/>
  <c r="O7" i="40" s="1"/>
  <c r="R25" i="55"/>
  <c r="I4" i="40" s="1"/>
  <c r="K28" i="55"/>
  <c r="B7" i="40" s="1"/>
  <c r="C25" i="55"/>
  <c r="AO27" i="55"/>
  <c r="AF6" i="40" s="1"/>
  <c r="AP23" i="55"/>
  <c r="AG2" i="40" s="1"/>
  <c r="P25" i="55"/>
  <c r="G4" i="40" s="1"/>
  <c r="AI26" i="55"/>
  <c r="Z5" i="40" s="1"/>
  <c r="I28" i="55"/>
  <c r="AA23" i="55"/>
  <c r="R2" i="40" s="1"/>
  <c r="AT24" i="55"/>
  <c r="AK3" i="40" s="1"/>
  <c r="T26" i="55"/>
  <c r="K5" i="40" s="1"/>
  <c r="AM27" i="55"/>
  <c r="AD6" i="40" s="1"/>
  <c r="X23" i="55"/>
  <c r="O2" i="40" s="1"/>
  <c r="I23" i="55"/>
  <c r="AN28" i="55"/>
  <c r="AE7" i="40" s="1"/>
  <c r="M23" i="55"/>
  <c r="D2" i="40" s="1"/>
  <c r="AR28" i="55"/>
  <c r="AI7" i="40" s="1"/>
  <c r="AN25" i="55"/>
  <c r="AE4" i="40" s="1"/>
  <c r="AG28" i="55"/>
  <c r="X7" i="40" s="1"/>
  <c r="Y25" i="55"/>
  <c r="P4" i="40" s="1"/>
  <c r="R28" i="55"/>
  <c r="I7" i="40" s="1"/>
  <c r="AR27" i="55"/>
  <c r="AI6" i="40" s="1"/>
  <c r="AC27" i="55"/>
  <c r="T6" i="40" s="1"/>
  <c r="P27" i="55"/>
  <c r="G6" i="40" s="1"/>
  <c r="AG27" i="55"/>
  <c r="X6" i="40" s="1"/>
  <c r="L25" i="55"/>
  <c r="C4" i="40" s="1"/>
  <c r="E28" i="55"/>
  <c r="AP24" i="55"/>
  <c r="AG3" i="40" s="1"/>
  <c r="AI27" i="55"/>
  <c r="Z6" i="40" s="1"/>
  <c r="AI24" i="55"/>
  <c r="Z3" i="40" s="1"/>
  <c r="AB27" i="55"/>
  <c r="S6" i="40" s="1"/>
  <c r="T24" i="55"/>
  <c r="K3" i="40" s="1"/>
  <c r="M27" i="55"/>
  <c r="D6" i="40" s="1"/>
  <c r="G24" i="55"/>
  <c r="AS26" i="55"/>
  <c r="AJ5" i="40" s="1"/>
  <c r="AK23" i="55"/>
  <c r="AB2" i="40" s="1"/>
  <c r="AD26" i="55"/>
  <c r="U5" i="40" s="1"/>
  <c r="N23" i="55"/>
  <c r="E2" i="40" s="1"/>
  <c r="AG24" i="55"/>
  <c r="X3" i="40" s="1"/>
  <c r="G26" i="55"/>
  <c r="Z27" i="55"/>
  <c r="Q6" i="40" s="1"/>
  <c r="AS28" i="55"/>
  <c r="AJ7" i="40" s="1"/>
  <c r="R24" i="55"/>
  <c r="I3" i="40" s="1"/>
  <c r="AK25" i="55"/>
  <c r="AB4" i="40" s="1"/>
  <c r="K27" i="55"/>
  <c r="B6" i="40" s="1"/>
  <c r="AD28" i="55"/>
  <c r="U7" i="40" s="1"/>
  <c r="AD25" i="55"/>
  <c r="U4" i="40" s="1"/>
  <c r="O25" i="55"/>
  <c r="F4" i="40" s="1"/>
  <c r="O24" i="55"/>
  <c r="F3" i="40" s="1"/>
  <c r="AS23" i="55"/>
  <c r="AJ2" i="40" s="1"/>
  <c r="R23" i="55"/>
  <c r="I2" i="40" s="1"/>
  <c r="K26" i="55"/>
  <c r="B5" i="40" s="1"/>
  <c r="C23" i="55"/>
  <c r="AO25" i="55"/>
  <c r="AF4" i="40" s="1"/>
  <c r="AH28" i="55"/>
  <c r="Y7" i="40" s="1"/>
  <c r="AE28" i="55"/>
  <c r="V7" i="40" s="1"/>
  <c r="P28" i="55"/>
  <c r="G7" i="40" s="1"/>
  <c r="C28" i="55"/>
  <c r="AT26" i="55"/>
  <c r="AK5" i="40" s="1"/>
  <c r="AO24" i="55"/>
  <c r="AF3" i="40" s="1"/>
  <c r="AH27" i="55"/>
  <c r="Y6" i="40" s="1"/>
  <c r="Z24" i="55"/>
  <c r="Q3" i="40" s="1"/>
  <c r="S27" i="55"/>
  <c r="J6" i="40" s="1"/>
  <c r="AN23" i="55"/>
  <c r="AE2" i="40" s="1"/>
  <c r="AG26" i="55"/>
  <c r="X5" i="40" s="1"/>
  <c r="Y23" i="55"/>
  <c r="P2" i="40" s="1"/>
  <c r="R26" i="55"/>
  <c r="I5" i="40" s="1"/>
  <c r="L23" i="55"/>
  <c r="C2" i="40" s="1"/>
  <c r="E26" i="55"/>
  <c r="AQ28" i="55"/>
  <c r="AH7" i="40" s="1"/>
  <c r="AI25" i="55"/>
  <c r="Z4" i="40" s="1"/>
  <c r="AB28" i="55"/>
  <c r="S7" i="40" s="1"/>
  <c r="M24" i="55"/>
  <c r="D3" i="40" s="1"/>
  <c r="AF25" i="55"/>
  <c r="W4" i="40" s="1"/>
  <c r="F27" i="55"/>
  <c r="Y28" i="55"/>
  <c r="P7" i="40" s="1"/>
  <c r="AQ23" i="55"/>
  <c r="AH2" i="40" s="1"/>
  <c r="Q25" i="55"/>
  <c r="H4" i="40" s="1"/>
  <c r="AJ26" i="55"/>
  <c r="AA5" i="40" s="1"/>
  <c r="J28" i="55"/>
  <c r="AQ24" i="55"/>
  <c r="AH3" i="40" s="1"/>
  <c r="AB24" i="55"/>
  <c r="S3" i="40" s="1"/>
  <c r="AU24" i="55"/>
  <c r="AL3" i="40" s="1"/>
  <c r="AF24" i="55"/>
  <c r="W3" i="40" s="1"/>
  <c r="AH23" i="55"/>
  <c r="Y2" i="40" s="1"/>
  <c r="AA26" i="55"/>
  <c r="R5" i="40" s="1"/>
  <c r="S23" i="55"/>
  <c r="J2" i="40" s="1"/>
  <c r="L26" i="55"/>
  <c r="C5" i="40" s="1"/>
  <c r="AF23" i="55"/>
  <c r="W2" i="40" s="1"/>
  <c r="Q23" i="55"/>
  <c r="H2" i="40" s="1"/>
  <c r="D23" i="55"/>
  <c r="AI28" i="55"/>
  <c r="Z7" i="40" s="1"/>
  <c r="F23" i="55"/>
  <c r="AR25" i="55"/>
  <c r="AI4" i="40" s="1"/>
  <c r="AK28" i="55"/>
  <c r="AB7" i="40" s="1"/>
  <c r="AC25" i="55"/>
  <c r="T4" i="40" s="1"/>
  <c r="V28" i="55"/>
  <c r="M7" i="40" s="1"/>
  <c r="V25" i="55"/>
  <c r="M4" i="40" s="1"/>
  <c r="O28" i="55"/>
  <c r="F7" i="40" s="1"/>
  <c r="G25" i="55"/>
  <c r="AS27" i="55"/>
  <c r="AJ6" i="40" s="1"/>
  <c r="AM24" i="55"/>
  <c r="AD3" i="40" s="1"/>
  <c r="AF27" i="55"/>
  <c r="W6" i="40" s="1"/>
  <c r="X24" i="55"/>
  <c r="O3" i="40" s="1"/>
  <c r="Q27" i="55"/>
  <c r="H6" i="40" s="1"/>
  <c r="AD23" i="55"/>
  <c r="U2" i="40" s="1"/>
  <c r="D25" i="55"/>
  <c r="W26" i="55"/>
  <c r="N5" i="40" s="1"/>
  <c r="AP27" i="55"/>
  <c r="AG6" i="40" s="1"/>
  <c r="O23" i="55"/>
  <c r="F2" i="40" s="1"/>
  <c r="AH24" i="55"/>
  <c r="Y3" i="40" s="1"/>
  <c r="H26" i="55"/>
  <c r="AA27" i="55"/>
  <c r="R6" i="40" s="1"/>
  <c r="AT28" i="55"/>
  <c r="AK7" i="40" s="1"/>
  <c r="D27" i="55"/>
  <c r="AH25" i="55"/>
  <c r="Y4" i="40" s="1"/>
  <c r="E24" i="55"/>
  <c r="AI23" i="55"/>
  <c r="Z2" i="40" s="1"/>
  <c r="S24" i="55"/>
  <c r="J3" i="40" s="1"/>
  <c r="AJ23" i="55"/>
  <c r="AA2" i="40" s="1"/>
  <c r="T28" i="55"/>
  <c r="K7" i="40" s="1"/>
  <c r="U28" i="55"/>
  <c r="L7" i="40" s="1"/>
  <c r="F28" i="55"/>
  <c r="T27" i="55"/>
  <c r="K6" i="40" s="1"/>
  <c r="E27" i="55"/>
  <c r="AK26" i="55"/>
  <c r="AB5" i="40" s="1"/>
  <c r="V26" i="55"/>
  <c r="M5" i="40" s="1"/>
  <c r="AC24" i="55"/>
  <c r="T3" i="40" s="1"/>
  <c r="V27" i="55"/>
  <c r="M6" i="40" s="1"/>
  <c r="N24" i="55"/>
  <c r="E3" i="40" s="1"/>
  <c r="G27" i="55"/>
  <c r="Q26" i="55"/>
  <c r="H5" i="40" s="1"/>
  <c r="U26" i="55"/>
  <c r="L5" i="40" s="1"/>
  <c r="U24" i="55"/>
  <c r="L3" i="40" s="1"/>
  <c r="F24" i="55"/>
  <c r="F25" i="55"/>
  <c r="W24" i="55"/>
  <c r="N3" i="40" s="1"/>
  <c r="AL23" i="55"/>
  <c r="AC2" i="40" s="1"/>
  <c r="W23" i="55"/>
  <c r="N2" i="40" s="1"/>
  <c r="P23" i="55"/>
  <c r="G2" i="40" s="1"/>
  <c r="AU28" i="55"/>
  <c r="AL7" i="40" s="1"/>
  <c r="AF28" i="55"/>
  <c r="W7" i="40" s="1"/>
  <c r="S28" i="55"/>
  <c r="J7" i="40" s="1"/>
  <c r="D28" i="55"/>
  <c r="T25" i="55"/>
  <c r="K4" i="40" s="1"/>
  <c r="M28" i="55"/>
  <c r="D7" i="40" s="1"/>
  <c r="E25" i="55"/>
  <c r="AQ27" i="55"/>
  <c r="AH6" i="40" s="1"/>
  <c r="W28" i="55"/>
  <c r="N7" i="40" s="1"/>
  <c r="H27" i="55"/>
  <c r="AK24" i="55"/>
  <c r="AB3" i="40" s="1"/>
  <c r="V24" i="55"/>
  <c r="M3" i="40" s="1"/>
  <c r="AL25" i="55"/>
  <c r="AC4" i="40" s="1"/>
  <c r="J25" i="55"/>
  <c r="V23" i="55"/>
  <c r="M2" i="40" s="1"/>
  <c r="G23" i="55"/>
  <c r="AL28" i="55"/>
  <c r="AC7" i="40" s="1"/>
  <c r="G28" i="55"/>
  <c r="AK27" i="55"/>
  <c r="AB6" i="40" s="1"/>
  <c r="X27" i="55"/>
  <c r="O6" i="40" s="1"/>
  <c r="I27" i="55"/>
  <c r="AS24" i="55"/>
  <c r="AJ3" i="40" s="1"/>
  <c r="AL27" i="55"/>
  <c r="AC6" i="40" s="1"/>
  <c r="AD24" i="55"/>
  <c r="U3" i="40" s="1"/>
  <c r="W27" i="55"/>
  <c r="N6" i="40" s="1"/>
  <c r="AJ27" i="55"/>
  <c r="AA6" i="40" s="1"/>
  <c r="AN27" i="55"/>
  <c r="AE6" i="40" s="1"/>
  <c r="H25" i="55"/>
  <c r="AL24" i="55"/>
  <c r="AC3" i="40" s="1"/>
  <c r="Y26" i="55"/>
  <c r="P5" i="40" s="1"/>
  <c r="AP25" i="55"/>
  <c r="AG4" i="40" s="1"/>
  <c r="Y24" i="55"/>
  <c r="P3" i="40" s="1"/>
  <c r="J24" i="55"/>
  <c r="C24" i="55"/>
  <c r="AG23" i="55"/>
  <c r="X2" i="40" s="1"/>
  <c r="T23" i="55"/>
  <c r="K2" i="40" s="1"/>
  <c r="E23" i="55"/>
  <c r="AJ28" i="55"/>
  <c r="AA7" i="40" s="1"/>
  <c r="AJ25" i="55"/>
  <c r="AA4" i="40" s="1"/>
  <c r="AC28" i="55"/>
  <c r="T7" i="40" s="1"/>
  <c r="U25" i="55"/>
  <c r="L4" i="40" s="1"/>
  <c r="N28" i="55"/>
  <c r="E7" i="40" s="1"/>
  <c r="AH26" i="55"/>
  <c r="Y5" i="40" s="1"/>
  <c r="AQ26" i="55"/>
  <c r="AH5" i="40" s="1"/>
  <c r="D24" i="55"/>
  <c r="AB25" i="55"/>
  <c r="S4" i="40" s="1"/>
  <c r="AA24" i="55"/>
  <c r="R3" i="40" s="1"/>
  <c r="AR23" i="55"/>
  <c r="AI2" i="40" s="1"/>
  <c r="J23" i="55"/>
  <c r="AO28" i="55"/>
  <c r="AF7" i="40" s="1"/>
  <c r="Z28" i="55"/>
  <c r="Q7" i="40" s="1"/>
  <c r="F26" i="55"/>
  <c r="AR26" i="55"/>
  <c r="AI5" i="40" s="1"/>
  <c r="AN24" i="55"/>
  <c r="AE3" i="40" s="1"/>
  <c r="P26" i="55"/>
  <c r="G5" i="40" s="1"/>
  <c r="AM25" i="55"/>
  <c r="AD4" i="40" s="1"/>
  <c r="K25" i="55"/>
  <c r="B4" i="40" s="1"/>
  <c r="AM26" i="55"/>
  <c r="AD5" i="40" s="1"/>
  <c r="X26" i="55"/>
  <c r="O5" i="40" s="1"/>
  <c r="O27" i="55"/>
  <c r="F6" i="40" s="1"/>
  <c r="H24" i="55"/>
  <c r="AR24" i="55"/>
  <c r="AI3" i="40" s="1"/>
  <c r="S26" i="55"/>
  <c r="J5" i="40" s="1"/>
  <c r="U27" i="55"/>
  <c r="L6" i="40" s="1"/>
  <c r="J26" i="55"/>
  <c r="AO26" i="55"/>
  <c r="AF5" i="40" s="1"/>
  <c r="Q24" i="55"/>
  <c r="H3" i="40" s="1"/>
  <c r="H28" i="55"/>
  <c r="AD27" i="55"/>
  <c r="U6" i="40" s="1"/>
  <c r="W25" i="55"/>
  <c r="N4" i="40" s="1"/>
  <c r="O26" i="55"/>
  <c r="F5" i="40" s="1"/>
  <c r="N25" i="55"/>
  <c r="E4" i="40" s="1"/>
  <c r="AE24" i="55"/>
  <c r="V3" i="40" s="1"/>
  <c r="Z23" i="55"/>
  <c r="Q2" i="40" s="1"/>
  <c r="K23" i="55"/>
  <c r="B2" i="40" s="1"/>
  <c r="AP28" i="55"/>
  <c r="AG7" i="40" s="1"/>
  <c r="Y27" i="55"/>
  <c r="P6" i="40" s="1"/>
  <c r="AE27" i="55"/>
  <c r="V6" i="40" s="1"/>
  <c r="N26" i="55"/>
  <c r="E5" i="40" s="1"/>
  <c r="C27" i="55"/>
  <c r="Z26" i="55"/>
  <c r="Q5" i="40" s="1"/>
  <c r="AQ25" i="55"/>
  <c r="AH4" i="40" s="1"/>
  <c r="J27" i="55"/>
  <c r="AN26" i="55"/>
  <c r="AE5" i="40" s="1"/>
  <c r="S25" i="55"/>
  <c r="J4" i="40" s="1"/>
  <c r="AB26" i="55"/>
  <c r="S5" i="40" s="1"/>
  <c r="U23" i="55"/>
  <c r="L2" i="40" s="1"/>
  <c r="M25" i="55"/>
  <c r="D4" i="40" s="1"/>
  <c r="L24" i="55"/>
  <c r="C3" i="40" s="1"/>
  <c r="AC23" i="55"/>
  <c r="T2" i="40" s="1"/>
  <c r="C26" i="55"/>
  <c r="AG25" i="55"/>
  <c r="X4" i="40" s="1"/>
  <c r="AU25" i="55"/>
  <c r="AL4" i="40" s="1"/>
  <c r="N27" i="55"/>
  <c r="E6" i="40" s="1"/>
  <c r="AJ24" i="55"/>
  <c r="AA3" i="40" s="1"/>
  <c r="AE26" i="55"/>
  <c r="V5" i="40" s="1"/>
  <c r="I26" i="55"/>
  <c r="Z25" i="55"/>
  <c r="Q4" i="40" s="1"/>
  <c r="AT23" i="55"/>
  <c r="AK2" i="40" s="1"/>
  <c r="AE23" i="55"/>
  <c r="V2" i="40" s="1"/>
  <c r="AL26" i="55"/>
  <c r="AC5" i="40" s="1"/>
  <c r="AS25" i="55"/>
  <c r="AJ4" i="40" s="1"/>
  <c r="P24" i="55"/>
  <c r="G3" i="40" s="1"/>
  <c r="D26" i="55"/>
  <c r="AT27" i="55"/>
  <c r="AK6" i="40" s="1"/>
  <c r="R27" i="55"/>
  <c r="I6" i="40" s="1"/>
  <c r="M26" i="55"/>
  <c r="D5" i="40" s="1"/>
  <c r="AU23" i="55"/>
  <c r="AL2" i="40" s="1"/>
  <c r="AA55" i="20"/>
  <c r="AA47" i="20"/>
  <c r="AC162" i="20"/>
  <c r="AD49" i="10"/>
  <c r="AC154" i="20"/>
  <c r="AD41" i="10"/>
  <c r="AC142" i="20"/>
  <c r="AD29" i="10"/>
  <c r="AC138" i="20"/>
  <c r="AD25" i="10"/>
  <c r="AD31" i="20"/>
  <c r="K7" i="1"/>
  <c r="J16" i="1"/>
  <c r="J14" i="1"/>
  <c r="J9" i="1"/>
  <c r="L23" i="1"/>
  <c r="M26" i="1"/>
  <c r="M30" i="1"/>
  <c r="K32" i="1"/>
  <c r="Z54" i="12"/>
  <c r="AC164" i="20"/>
  <c r="AD51" i="10"/>
  <c r="B53" i="22" s="1"/>
  <c r="AC156" i="20"/>
  <c r="AD43" i="10"/>
  <c r="AC148" i="20"/>
  <c r="AD35" i="10"/>
  <c r="AC140" i="20"/>
  <c r="AD27" i="10"/>
  <c r="AC132" i="20"/>
  <c r="AD19" i="10"/>
  <c r="AD29" i="20"/>
  <c r="J7" i="1"/>
  <c r="I14" i="1"/>
  <c r="I11" i="1"/>
  <c r="I23" i="1"/>
  <c r="I27" i="1"/>
  <c r="I31" i="1"/>
  <c r="BB54" i="12"/>
  <c r="AA60" i="20"/>
  <c r="AA44" i="20"/>
  <c r="AB33" i="20"/>
  <c r="AE31" i="20"/>
  <c r="AD30" i="20"/>
  <c r="AB29" i="20"/>
  <c r="AB61" i="20"/>
  <c r="AB57" i="20"/>
  <c r="AB53" i="20"/>
  <c r="AB49" i="20"/>
  <c r="AB45" i="20"/>
  <c r="AB41" i="20"/>
  <c r="AB37" i="20"/>
  <c r="Z31" i="20"/>
  <c r="Z35" i="20"/>
  <c r="Z39" i="20"/>
  <c r="Z43" i="20"/>
  <c r="Z47" i="20"/>
  <c r="Z51" i="20"/>
  <c r="Z55" i="20"/>
  <c r="Z59" i="20"/>
  <c r="AF88" i="20"/>
  <c r="L25" i="53"/>
  <c r="AF92" i="20"/>
  <c r="L29" i="53"/>
  <c r="J95" i="20"/>
  <c r="AF95" i="20"/>
  <c r="U96" i="20"/>
  <c r="C96" i="20"/>
  <c r="Y96" i="20" s="1"/>
  <c r="L33" i="53" s="1"/>
  <c r="G29" i="20"/>
  <c r="AC29" i="20" s="1"/>
  <c r="AC28" i="20"/>
  <c r="AF4" i="23"/>
  <c r="AA163" i="20"/>
  <c r="AA155" i="20"/>
  <c r="AA143" i="20"/>
  <c r="AA135" i="20"/>
  <c r="AF5" i="23"/>
  <c r="AA159" i="20"/>
  <c r="AA151" i="20"/>
  <c r="AA147" i="20"/>
  <c r="AA139" i="20"/>
  <c r="D35" i="22"/>
  <c r="N51" i="22"/>
  <c r="L22" i="10"/>
  <c r="D46" i="22"/>
  <c r="AR38" i="22"/>
  <c r="N30" i="22"/>
  <c r="D22" i="22"/>
  <c r="AC50" i="10"/>
  <c r="AB50" i="10" s="1"/>
  <c r="AP44" i="22"/>
  <c r="L21" i="10"/>
  <c r="AC51" i="10"/>
  <c r="AB51" i="10" s="1"/>
  <c r="AC47" i="10"/>
  <c r="AC43" i="10"/>
  <c r="AB43" i="10" s="1"/>
  <c r="AC39" i="10"/>
  <c r="AC35" i="10"/>
  <c r="AB35" i="10" s="1"/>
  <c r="AC31" i="10"/>
  <c r="AC27" i="10"/>
  <c r="AB27" i="10" s="1"/>
  <c r="AC23" i="10"/>
  <c r="AC19" i="10"/>
  <c r="AB19" i="10" s="1"/>
  <c r="AC46" i="10"/>
  <c r="AB46" i="10" s="1"/>
  <c r="AC38" i="10"/>
  <c r="AB38" i="10" s="1"/>
  <c r="AC30" i="10"/>
  <c r="AB30" i="10" s="1"/>
  <c r="AC22" i="10"/>
  <c r="AB22" i="10" s="1"/>
  <c r="D20" i="22"/>
  <c r="AB163" i="20"/>
  <c r="AB159" i="20"/>
  <c r="AB155" i="20"/>
  <c r="AB151" i="20"/>
  <c r="AB147" i="20"/>
  <c r="AB143" i="20"/>
  <c r="AB139" i="20"/>
  <c r="AB135" i="20"/>
  <c r="AC26" i="10"/>
  <c r="AB26" i="10" s="1"/>
  <c r="L19" i="10"/>
  <c r="L20" i="10"/>
  <c r="AH38" i="22"/>
  <c r="AF39" i="22"/>
  <c r="AF23" i="22"/>
  <c r="AA150" i="20"/>
  <c r="AA134" i="20"/>
  <c r="AH27" i="22"/>
  <c r="AR27" i="22"/>
  <c r="D27" i="22"/>
  <c r="N27" i="22"/>
  <c r="AB131" i="20"/>
  <c r="AB161" i="20"/>
  <c r="AB153" i="20"/>
  <c r="AB145" i="20"/>
  <c r="AB137" i="20"/>
  <c r="AB133" i="20"/>
  <c r="AC157" i="20"/>
  <c r="AC149" i="20"/>
  <c r="AC133" i="20"/>
  <c r="AC49" i="10"/>
  <c r="AB49" i="10" s="1"/>
  <c r="AC45" i="10"/>
  <c r="AB45" i="10" s="1"/>
  <c r="AC41" i="10"/>
  <c r="AB41" i="10" s="1"/>
  <c r="AC37" i="10"/>
  <c r="AB37" i="10" s="1"/>
  <c r="AC33" i="10"/>
  <c r="AB33" i="10" s="1"/>
  <c r="AC29" i="10"/>
  <c r="AB29" i="10" s="1"/>
  <c r="AC25" i="10"/>
  <c r="AB25" i="10" s="1"/>
  <c r="AC21" i="10"/>
  <c r="AB21" i="10" s="1"/>
  <c r="B46" i="22"/>
  <c r="AF38" i="22"/>
  <c r="AF34" i="22"/>
  <c r="B30" i="22"/>
  <c r="B22" i="22"/>
  <c r="AH50" i="22"/>
  <c r="AR50" i="22"/>
  <c r="N50" i="22"/>
  <c r="D50" i="22"/>
  <c r="AH42" i="22"/>
  <c r="AR42" i="22"/>
  <c r="N42" i="22"/>
  <c r="D42" i="22"/>
  <c r="AH34" i="22"/>
  <c r="AR34" i="22"/>
  <c r="N34" i="22"/>
  <c r="D34" i="22"/>
  <c r="AH26" i="22"/>
  <c r="AR26" i="22"/>
  <c r="N26" i="22"/>
  <c r="D26" i="22"/>
  <c r="AF51" i="22"/>
  <c r="B35" i="22"/>
  <c r="AA162" i="20"/>
  <c r="AA154" i="20"/>
  <c r="AA146" i="20"/>
  <c r="AA138" i="20"/>
  <c r="L24" i="10"/>
  <c r="AF31" i="22"/>
  <c r="AA158" i="20"/>
  <c r="AA142" i="20"/>
  <c r="M5" i="22"/>
  <c r="O15" i="22"/>
  <c r="O5" i="22" s="1"/>
  <c r="L18" i="10"/>
  <c r="AH43" i="22"/>
  <c r="AR43" i="22"/>
  <c r="D43" i="22"/>
  <c r="N43" i="22"/>
  <c r="AF52" i="22"/>
  <c r="AF36" i="22"/>
  <c r="AB157" i="20"/>
  <c r="AB149" i="20"/>
  <c r="AB141" i="20"/>
  <c r="AC131" i="20"/>
  <c r="AC141" i="20"/>
  <c r="AC18" i="10"/>
  <c r="AB18" i="10" s="1"/>
  <c r="AC48" i="10"/>
  <c r="AB48" i="10" s="1"/>
  <c r="AC44" i="10"/>
  <c r="AB44" i="10" s="1"/>
  <c r="AC40" i="10"/>
  <c r="AB40" i="10" s="1"/>
  <c r="AC36" i="10"/>
  <c r="AB36" i="10" s="1"/>
  <c r="AC32" i="10"/>
  <c r="AB32" i="10" s="1"/>
  <c r="AC28" i="10"/>
  <c r="AB28" i="10" s="1"/>
  <c r="AC24" i="10"/>
  <c r="AB24" i="10" s="1"/>
  <c r="AC20" i="10"/>
  <c r="AB20" i="10" s="1"/>
  <c r="B49" i="22"/>
  <c r="AF37" i="22"/>
  <c r="AF33" i="22"/>
  <c r="B21" i="22"/>
  <c r="AH47" i="22"/>
  <c r="AR47" i="22"/>
  <c r="N47" i="22"/>
  <c r="D47" i="22"/>
  <c r="AH39" i="22"/>
  <c r="AR39" i="22"/>
  <c r="N39" i="22"/>
  <c r="D39" i="22"/>
  <c r="AH31" i="22"/>
  <c r="AR31" i="22"/>
  <c r="N31" i="22"/>
  <c r="D31" i="22"/>
  <c r="AH23" i="22"/>
  <c r="AR23" i="22"/>
  <c r="N23" i="22"/>
  <c r="D23" i="22"/>
  <c r="B40" i="22"/>
  <c r="AF32" i="22"/>
  <c r="AC161" i="20"/>
  <c r="AC153" i="20"/>
  <c r="AC145" i="20"/>
  <c r="AC137" i="20"/>
  <c r="AB164" i="20"/>
  <c r="AB162" i="20"/>
  <c r="AB160" i="20"/>
  <c r="AB158" i="20"/>
  <c r="AB156" i="20"/>
  <c r="AB154" i="20"/>
  <c r="AB152" i="20"/>
  <c r="AB150" i="20"/>
  <c r="AB148" i="20"/>
  <c r="AB146" i="20"/>
  <c r="AB144" i="20"/>
  <c r="AB142" i="20"/>
  <c r="AB140" i="20"/>
  <c r="AB138" i="20"/>
  <c r="AB136" i="20"/>
  <c r="AB134" i="20"/>
  <c r="AB132" i="20"/>
  <c r="AA164" i="20"/>
  <c r="AA160" i="20"/>
  <c r="AA156" i="20"/>
  <c r="AA152" i="20"/>
  <c r="AA148" i="20"/>
  <c r="AA144" i="20"/>
  <c r="AA140" i="20"/>
  <c r="AA136" i="20"/>
  <c r="AA132" i="20"/>
  <c r="AS20" i="23"/>
  <c r="J19" i="10"/>
  <c r="AQ21" i="23" s="1"/>
  <c r="K18" i="10"/>
  <c r="L23" i="10"/>
  <c r="AC163" i="20"/>
  <c r="AC159" i="20"/>
  <c r="AC155" i="20"/>
  <c r="AC151" i="20"/>
  <c r="AC147" i="20"/>
  <c r="AC143" i="20"/>
  <c r="AC139" i="20"/>
  <c r="AC135" i="20"/>
  <c r="B23" i="22"/>
  <c r="AO14" i="12"/>
  <c r="AT54" i="12"/>
  <c r="AP54" i="12"/>
  <c r="M14" i="12"/>
  <c r="Y14" i="12"/>
  <c r="AD54" i="12"/>
  <c r="I14" i="12"/>
  <c r="AK14" i="12"/>
  <c r="U14" i="12"/>
  <c r="AH54" i="12"/>
  <c r="AX54" i="12"/>
  <c r="E14" i="12"/>
  <c r="AG14" i="12"/>
  <c r="AV14" i="12"/>
  <c r="AL54" i="12"/>
  <c r="BP54" i="12"/>
  <c r="BH54" i="12"/>
  <c r="AZ54" i="12"/>
  <c r="AR54" i="12"/>
  <c r="AJ54" i="12"/>
  <c r="AB54" i="12"/>
  <c r="S14" i="12"/>
  <c r="AA14" i="12"/>
  <c r="AI14" i="12"/>
  <c r="AU14" i="12"/>
  <c r="K14" i="12"/>
  <c r="BO54" i="12"/>
  <c r="BK54" i="12"/>
  <c r="BC54" i="12"/>
  <c r="AU54" i="12"/>
  <c r="AM54" i="12"/>
  <c r="AE54" i="12"/>
  <c r="W54" i="12"/>
  <c r="T14" i="12"/>
  <c r="AB14" i="12"/>
  <c r="AF14" i="12"/>
  <c r="AN14" i="12"/>
  <c r="D14" i="12"/>
  <c r="H14" i="12"/>
  <c r="P14" i="12"/>
  <c r="BF54" i="12"/>
  <c r="BM54" i="12"/>
  <c r="BI54" i="12"/>
  <c r="BE54" i="12"/>
  <c r="BA54" i="12"/>
  <c r="AW54" i="12"/>
  <c r="AS54" i="12"/>
  <c r="AO54" i="12"/>
  <c r="AK54" i="12"/>
  <c r="AG54" i="12"/>
  <c r="AC54" i="12"/>
  <c r="Y54" i="12"/>
  <c r="R14" i="12"/>
  <c r="V14" i="12"/>
  <c r="Z14" i="12"/>
  <c r="AD14" i="12"/>
  <c r="AH14" i="12"/>
  <c r="AL14" i="12"/>
  <c r="AP14" i="12"/>
  <c r="AT14" i="12"/>
  <c r="F14" i="12"/>
  <c r="J14" i="12"/>
  <c r="N14" i="12"/>
  <c r="C14" i="12"/>
  <c r="BL54" i="12"/>
  <c r="BD54" i="12"/>
  <c r="AV54" i="12"/>
  <c r="AN54" i="12"/>
  <c r="AF54" i="12"/>
  <c r="X54" i="12"/>
  <c r="W14" i="12"/>
  <c r="AE14" i="12"/>
  <c r="AM14" i="12"/>
  <c r="AQ14" i="12"/>
  <c r="G14" i="12"/>
  <c r="O14" i="12"/>
  <c r="BG54" i="12"/>
  <c r="AY54" i="12"/>
  <c r="AQ54" i="12"/>
  <c r="AI54" i="12"/>
  <c r="AA54" i="12"/>
  <c r="X14" i="12"/>
  <c r="AJ14" i="12"/>
  <c r="AR14" i="12"/>
  <c r="L14" i="12"/>
  <c r="BN54" i="12"/>
  <c r="BJ54" i="12"/>
  <c r="AR17" i="12"/>
  <c r="AN17" i="12"/>
  <c r="AL17" i="12"/>
  <c r="AJ17" i="12"/>
  <c r="AH17" i="12"/>
  <c r="AF17" i="12"/>
  <c r="AD17" i="12"/>
  <c r="AB17" i="12"/>
  <c r="Z17" i="12"/>
  <c r="X17" i="12"/>
  <c r="V17" i="12"/>
  <c r="T17" i="12"/>
  <c r="R17" i="12"/>
  <c r="P17" i="12"/>
  <c r="AO17" i="12"/>
  <c r="AM17" i="12"/>
  <c r="AK17" i="12"/>
  <c r="AI17" i="12"/>
  <c r="AG17" i="12"/>
  <c r="AE17" i="12"/>
  <c r="AC17" i="12"/>
  <c r="AA17" i="12"/>
  <c r="Y17" i="12"/>
  <c r="W17" i="12"/>
  <c r="U17" i="12"/>
  <c r="S17" i="12"/>
  <c r="Q17" i="12"/>
  <c r="AT17" i="12"/>
  <c r="AS17" i="12"/>
  <c r="AQ17" i="12"/>
  <c r="AV17" i="12"/>
  <c r="C23" i="7" a="1"/>
  <c r="R23" i="7" s="1"/>
  <c r="P22" i="22"/>
  <c r="Q21" i="22"/>
  <c r="Q20" i="22"/>
  <c r="C23" i="27" a="1"/>
  <c r="Z23" i="27" s="1"/>
  <c r="Z23" i="26" s="1"/>
  <c r="Q2" i="45" s="1"/>
  <c r="AS12" i="22"/>
  <c r="AS13" i="22"/>
  <c r="AS11" i="22"/>
  <c r="AS10" i="22"/>
  <c r="AS14" i="22"/>
  <c r="O9" i="22"/>
  <c r="O4" i="22" s="1"/>
  <c r="M4" i="22"/>
  <c r="C11" i="22"/>
  <c r="B12" i="22"/>
  <c r="B11" i="22"/>
  <c r="B13" i="22"/>
  <c r="B14" i="22"/>
  <c r="B10" i="22"/>
  <c r="N10" i="22"/>
  <c r="N11" i="22"/>
  <c r="N12" i="22"/>
  <c r="N13" i="22"/>
  <c r="N14" i="22"/>
  <c r="AI13" i="22"/>
  <c r="AI12" i="22"/>
  <c r="AI11" i="22"/>
  <c r="AI10" i="22"/>
  <c r="AI14" i="22"/>
  <c r="M164" i="20"/>
  <c r="Z164" i="20"/>
  <c r="Z162" i="20"/>
  <c r="M162" i="20"/>
  <c r="M160" i="20"/>
  <c r="Z160" i="20"/>
  <c r="Z158" i="20"/>
  <c r="M158" i="20"/>
  <c r="M156" i="20"/>
  <c r="Z156" i="20"/>
  <c r="M154" i="20"/>
  <c r="Z154" i="20"/>
  <c r="M152" i="20"/>
  <c r="Z152" i="20"/>
  <c r="M150" i="20"/>
  <c r="Z150" i="20"/>
  <c r="M148" i="20"/>
  <c r="Z148" i="20"/>
  <c r="M146" i="20"/>
  <c r="Z146" i="20"/>
  <c r="M144" i="20"/>
  <c r="Z144" i="20"/>
  <c r="M142" i="20"/>
  <c r="Z142" i="20"/>
  <c r="M140" i="20"/>
  <c r="Z140" i="20"/>
  <c r="M138" i="20"/>
  <c r="Z138" i="20"/>
  <c r="M136" i="20"/>
  <c r="Z136" i="20"/>
  <c r="M134" i="20"/>
  <c r="Z134" i="20"/>
  <c r="M132" i="20"/>
  <c r="Z132" i="20"/>
  <c r="Z131" i="20"/>
  <c r="M131" i="20"/>
  <c r="L20" i="22" s="1"/>
  <c r="M163" i="20"/>
  <c r="Z163" i="20"/>
  <c r="M161" i="20"/>
  <c r="Z161" i="20"/>
  <c r="M159" i="20"/>
  <c r="Z159" i="20"/>
  <c r="M157" i="20"/>
  <c r="Z157" i="20"/>
  <c r="Z155" i="20"/>
  <c r="M155" i="20"/>
  <c r="Z153" i="20"/>
  <c r="M153" i="20"/>
  <c r="Z151" i="20"/>
  <c r="M151" i="20"/>
  <c r="Z149" i="20"/>
  <c r="M149" i="20"/>
  <c r="Z147" i="20"/>
  <c r="M147" i="20"/>
  <c r="Z145" i="20"/>
  <c r="M145" i="20"/>
  <c r="Z143" i="20"/>
  <c r="M143" i="20"/>
  <c r="Z141" i="20"/>
  <c r="M141" i="20"/>
  <c r="AF28" i="22"/>
  <c r="Z139" i="20"/>
  <c r="M139" i="20"/>
  <c r="L28" i="22" s="1"/>
  <c r="Z137" i="20"/>
  <c r="M137" i="20"/>
  <c r="Z135" i="20"/>
  <c r="M135" i="20"/>
  <c r="Z133" i="20"/>
  <c r="M133" i="20"/>
  <c r="AF24" i="20"/>
  <c r="J27" i="20"/>
  <c r="J24" i="20"/>
  <c r="J23" i="20"/>
  <c r="AF17" i="20"/>
  <c r="J17" i="20"/>
  <c r="AF23" i="20"/>
  <c r="AF27" i="20"/>
  <c r="J22" i="20"/>
  <c r="J26" i="20"/>
  <c r="J25" i="20"/>
  <c r="G30" i="20"/>
  <c r="AC30" i="20" s="1"/>
  <c r="C29" i="20"/>
  <c r="Y29" i="20" s="1"/>
  <c r="C28" i="20"/>
  <c r="Y28" i="20" s="1"/>
  <c r="AF26" i="20"/>
  <c r="D12" i="22"/>
  <c r="E15" i="23"/>
  <c r="E5" i="23" s="1"/>
  <c r="E10" i="22"/>
  <c r="C10" i="22"/>
  <c r="C12" i="22"/>
  <c r="C13" i="22"/>
  <c r="E11" i="22"/>
  <c r="E12" i="22"/>
  <c r="D10" i="22"/>
  <c r="D14" i="22"/>
  <c r="D11" i="22"/>
  <c r="E14" i="22"/>
  <c r="O17" i="22"/>
  <c r="C23" i="27"/>
  <c r="C23" i="26" s="1"/>
  <c r="AR25" i="27"/>
  <c r="AR25" i="26" s="1"/>
  <c r="AI4" i="45" s="1"/>
  <c r="O26" i="27"/>
  <c r="O26" i="26" s="1"/>
  <c r="F5" i="45" s="1"/>
  <c r="AH28" i="27"/>
  <c r="AH28" i="26" s="1"/>
  <c r="Y7" i="45" s="1"/>
  <c r="E13" i="22"/>
  <c r="D13" i="22"/>
  <c r="X26" i="27"/>
  <c r="X26" i="26" s="1"/>
  <c r="O5" i="45" s="1"/>
  <c r="C14" i="22"/>
  <c r="AB24" i="7"/>
  <c r="AR26" i="7"/>
  <c r="E9" i="23"/>
  <c r="E4" i="23" s="1"/>
  <c r="AF27" i="7"/>
  <c r="AS11" i="23"/>
  <c r="AS13" i="23"/>
  <c r="AS12" i="23"/>
  <c r="AS14" i="23"/>
  <c r="AS10" i="23"/>
  <c r="AI10" i="23"/>
  <c r="AI11" i="23"/>
  <c r="AI13" i="23"/>
  <c r="AI12" i="23"/>
  <c r="AI14" i="23"/>
  <c r="AJ28" i="7"/>
  <c r="D28" i="7"/>
  <c r="AP25" i="7"/>
  <c r="L24" i="7"/>
  <c r="AB28" i="7"/>
  <c r="H27" i="7"/>
  <c r="T25" i="7"/>
  <c r="N23" i="7"/>
  <c r="AP28" i="7"/>
  <c r="AH28" i="7"/>
  <c r="Z28" i="7"/>
  <c r="J28" i="7"/>
  <c r="AT27" i="7"/>
  <c r="AL27" i="7"/>
  <c r="V27" i="7"/>
  <c r="N27" i="7"/>
  <c r="F27" i="7"/>
  <c r="AD26" i="7"/>
  <c r="H26" i="7"/>
  <c r="AL25" i="7"/>
  <c r="AR24" i="7"/>
  <c r="AT23" i="7"/>
  <c r="AH23" i="7"/>
  <c r="L23" i="7"/>
  <c r="C24" i="7"/>
  <c r="AN28" i="7"/>
  <c r="AF28" i="7"/>
  <c r="P28" i="7"/>
  <c r="H28" i="7"/>
  <c r="AR27" i="7"/>
  <c r="AB27" i="7"/>
  <c r="T27" i="7"/>
  <c r="L27" i="7"/>
  <c r="AN26" i="7"/>
  <c r="Z26" i="7"/>
  <c r="D26" i="7"/>
  <c r="AF25" i="7"/>
  <c r="AH24" i="7"/>
  <c r="V24" i="7"/>
  <c r="AR23" i="7"/>
  <c r="AD23" i="7"/>
  <c r="H23" i="7"/>
  <c r="AT28" i="7"/>
  <c r="AL28" i="7"/>
  <c r="V28" i="7"/>
  <c r="N28" i="7"/>
  <c r="F28" i="7"/>
  <c r="AH27" i="7"/>
  <c r="Z27" i="7"/>
  <c r="R27" i="7"/>
  <c r="AT26" i="7"/>
  <c r="AJ26" i="7"/>
  <c r="T26" i="7"/>
  <c r="V25" i="7"/>
  <c r="J25" i="7"/>
  <c r="AF24" i="7"/>
  <c r="R24" i="7"/>
  <c r="AN23" i="7"/>
  <c r="X23" i="7"/>
  <c r="D23" i="7"/>
  <c r="X26" i="7"/>
  <c r="N26" i="7"/>
  <c r="AJ25" i="7"/>
  <c r="Z25" i="7"/>
  <c r="D25" i="7"/>
  <c r="AL24" i="7"/>
  <c r="P24" i="7"/>
  <c r="F24" i="7"/>
  <c r="AB23" i="7"/>
  <c r="E23" i="7"/>
  <c r="J23" i="7"/>
  <c r="T23" i="7"/>
  <c r="Z23" i="7"/>
  <c r="AJ23" i="7"/>
  <c r="AP23" i="7"/>
  <c r="H24" i="7"/>
  <c r="N24" i="7"/>
  <c r="X24" i="7"/>
  <c r="AD24" i="7"/>
  <c r="AN24" i="7"/>
  <c r="AT24" i="7"/>
  <c r="L25" i="7"/>
  <c r="R25" i="7"/>
  <c r="AB25" i="7"/>
  <c r="AH25" i="7"/>
  <c r="AR25" i="7"/>
  <c r="F26" i="7"/>
  <c r="P26" i="7"/>
  <c r="V26" i="7"/>
  <c r="AF26" i="7"/>
  <c r="AL26" i="7"/>
  <c r="F23" i="7"/>
  <c r="P23" i="7"/>
  <c r="V23" i="7"/>
  <c r="AF23" i="7"/>
  <c r="AL23" i="7"/>
  <c r="D24" i="7"/>
  <c r="J24" i="7"/>
  <c r="T24" i="7"/>
  <c r="Z24" i="7"/>
  <c r="AJ24" i="7"/>
  <c r="AP24" i="7"/>
  <c r="H25" i="7"/>
  <c r="N25" i="7"/>
  <c r="X25" i="7"/>
  <c r="AD25" i="7"/>
  <c r="AN25" i="7"/>
  <c r="AT25" i="7"/>
  <c r="L26" i="7"/>
  <c r="R26" i="7"/>
  <c r="AB26" i="7"/>
  <c r="AH26" i="7"/>
  <c r="AQ26" i="7"/>
  <c r="AS26" i="7"/>
  <c r="AU26" i="7"/>
  <c r="E27" i="7"/>
  <c r="G27" i="7"/>
  <c r="I27" i="7"/>
  <c r="K27" i="7"/>
  <c r="M27" i="7"/>
  <c r="O27" i="7"/>
  <c r="Q27" i="7"/>
  <c r="S27" i="7"/>
  <c r="U27" i="7"/>
  <c r="W27" i="7"/>
  <c r="Y27" i="7"/>
  <c r="AA27" i="7"/>
  <c r="AC27" i="7"/>
  <c r="AE27" i="7"/>
  <c r="AG27" i="7"/>
  <c r="AI27" i="7"/>
  <c r="AK27" i="7"/>
  <c r="AM27" i="7"/>
  <c r="AO27" i="7"/>
  <c r="AQ27" i="7"/>
  <c r="AS27" i="7"/>
  <c r="AU27" i="7"/>
  <c r="E28" i="7"/>
  <c r="G28" i="7"/>
  <c r="I28" i="7"/>
  <c r="K28" i="7"/>
  <c r="M28" i="7"/>
  <c r="O28" i="7"/>
  <c r="Q28" i="7"/>
  <c r="S28" i="7"/>
  <c r="U28" i="7"/>
  <c r="W28" i="7"/>
  <c r="Y28" i="7"/>
  <c r="AA28" i="7"/>
  <c r="AC28" i="7"/>
  <c r="AE28" i="7"/>
  <c r="AG28" i="7"/>
  <c r="AI28" i="7"/>
  <c r="AK28" i="7"/>
  <c r="AM28" i="7"/>
  <c r="AO28" i="7"/>
  <c r="AQ28" i="7"/>
  <c r="AS28" i="7"/>
  <c r="AU28" i="7"/>
  <c r="C25" i="7"/>
  <c r="C27" i="7"/>
  <c r="C23" i="7"/>
  <c r="AO26" i="7"/>
  <c r="AM26" i="7"/>
  <c r="AK26" i="7"/>
  <c r="AI26" i="7"/>
  <c r="AG26" i="7"/>
  <c r="AE26" i="7"/>
  <c r="AC26" i="7"/>
  <c r="AA26" i="7"/>
  <c r="Y26" i="7"/>
  <c r="W26" i="7"/>
  <c r="U26" i="7"/>
  <c r="S26" i="7"/>
  <c r="Q26" i="7"/>
  <c r="O26" i="7"/>
  <c r="M26" i="7"/>
  <c r="K26" i="7"/>
  <c r="I26" i="7"/>
  <c r="G26" i="7"/>
  <c r="E26" i="7"/>
  <c r="AU25" i="7"/>
  <c r="AS25" i="7"/>
  <c r="AQ25" i="7"/>
  <c r="AO25" i="7"/>
  <c r="AM25" i="7"/>
  <c r="AK25" i="7"/>
  <c r="AI25" i="7"/>
  <c r="AG25" i="7"/>
  <c r="AE25" i="7"/>
  <c r="AC25" i="7"/>
  <c r="AA25" i="7"/>
  <c r="Y25" i="7"/>
  <c r="W25" i="7"/>
  <c r="U25" i="7"/>
  <c r="S25" i="7"/>
  <c r="Q25" i="7"/>
  <c r="O25" i="7"/>
  <c r="M25" i="7"/>
  <c r="K25" i="7"/>
  <c r="I25" i="7"/>
  <c r="G25" i="7"/>
  <c r="E25" i="7"/>
  <c r="AU24" i="7"/>
  <c r="AS24" i="7"/>
  <c r="AQ24" i="7"/>
  <c r="AO24" i="7"/>
  <c r="AM24" i="7"/>
  <c r="AK24" i="7"/>
  <c r="AI24" i="7"/>
  <c r="AG24" i="7"/>
  <c r="AE24" i="7"/>
  <c r="AC24" i="7"/>
  <c r="AA24" i="7"/>
  <c r="Y24" i="7"/>
  <c r="W24" i="7"/>
  <c r="U24" i="7"/>
  <c r="S24" i="7"/>
  <c r="Q24" i="7"/>
  <c r="O24" i="7"/>
  <c r="M24" i="7"/>
  <c r="K24" i="7"/>
  <c r="I24" i="7"/>
  <c r="G24" i="7"/>
  <c r="E24" i="7"/>
  <c r="AU23" i="7"/>
  <c r="AS23" i="7"/>
  <c r="AQ23" i="7"/>
  <c r="AO23" i="7"/>
  <c r="AM23" i="7"/>
  <c r="AK23" i="7"/>
  <c r="AI23" i="7"/>
  <c r="AG23" i="7"/>
  <c r="AE23" i="7"/>
  <c r="AC23" i="7"/>
  <c r="AA23" i="7"/>
  <c r="Y23" i="7"/>
  <c r="W23" i="7"/>
  <c r="U23" i="7"/>
  <c r="S23" i="7"/>
  <c r="Q23" i="7"/>
  <c r="O23" i="7"/>
  <c r="M23" i="7"/>
  <c r="K23" i="7"/>
  <c r="I23" i="7"/>
  <c r="G23" i="7"/>
  <c r="N12" i="12"/>
  <c r="N16" i="12" s="1"/>
  <c r="N15" i="12"/>
  <c r="J12" i="12"/>
  <c r="J16" i="12" s="1"/>
  <c r="J15" i="12"/>
  <c r="F12" i="12"/>
  <c r="F16" i="12" s="1"/>
  <c r="F15" i="12"/>
  <c r="O12" i="12"/>
  <c r="O16" i="12" s="1"/>
  <c r="O15" i="12"/>
  <c r="K12" i="12"/>
  <c r="K16" i="12" s="1"/>
  <c r="K15" i="12"/>
  <c r="G12" i="12"/>
  <c r="G16" i="12" s="1"/>
  <c r="G15" i="12"/>
  <c r="D12" i="12"/>
  <c r="D16" i="12" s="1"/>
  <c r="D15" i="12"/>
  <c r="C12" i="12"/>
  <c r="C16" i="12" s="1"/>
  <c r="C15" i="12"/>
  <c r="M12" i="12"/>
  <c r="M16" i="12" s="1"/>
  <c r="M15" i="12"/>
  <c r="I12" i="12"/>
  <c r="I16" i="12" s="1"/>
  <c r="I15" i="12"/>
  <c r="L12" i="12"/>
  <c r="L16" i="12" s="1"/>
  <c r="L15" i="12"/>
  <c r="H12" i="12"/>
  <c r="H16" i="12" s="1"/>
  <c r="H15" i="12"/>
  <c r="E12" i="12"/>
  <c r="E16" i="12" s="1"/>
  <c r="E15" i="12"/>
  <c r="O17" i="12"/>
  <c r="M17" i="12"/>
  <c r="K17" i="12"/>
  <c r="I17" i="12"/>
  <c r="G17" i="12"/>
  <c r="N17" i="12"/>
  <c r="L17" i="12"/>
  <c r="J17" i="12"/>
  <c r="H17" i="12"/>
  <c r="F17" i="12"/>
  <c r="D17" i="12"/>
  <c r="AB31" i="10" l="1"/>
  <c r="M33" i="22" s="1"/>
  <c r="O33" i="22" s="1"/>
  <c r="Z23" i="14"/>
  <c r="Y22" i="14"/>
  <c r="AL22" i="14" s="1"/>
  <c r="AG20" i="23"/>
  <c r="AI20" i="23" s="1"/>
  <c r="AB23" i="10"/>
  <c r="AG25" i="22" s="1"/>
  <c r="AI25" i="22" s="1"/>
  <c r="C41" i="22"/>
  <c r="E41" i="22" s="1"/>
  <c r="AB39" i="10"/>
  <c r="AB47" i="10"/>
  <c r="AG49" i="22" s="1"/>
  <c r="AI49" i="22" s="1"/>
  <c r="X23" i="27"/>
  <c r="X23" i="26" s="1"/>
  <c r="O2" i="45" s="1"/>
  <c r="AN21" i="14"/>
  <c r="C25" i="10"/>
  <c r="AG17" i="53"/>
  <c r="AI17" i="53" s="1"/>
  <c r="AQ17" i="53"/>
  <c r="AS17" i="53" s="1"/>
  <c r="M17" i="53"/>
  <c r="S20" i="10"/>
  <c r="T35" i="20"/>
  <c r="S34" i="20"/>
  <c r="AP20" i="23"/>
  <c r="B20" i="23"/>
  <c r="B26" i="23"/>
  <c r="B24" i="23"/>
  <c r="B25" i="23"/>
  <c r="B22" i="23"/>
  <c r="L21" i="23"/>
  <c r="B21" i="23"/>
  <c r="B23" i="23"/>
  <c r="AF96" i="20"/>
  <c r="J96" i="20"/>
  <c r="U97" i="20"/>
  <c r="C97" i="20"/>
  <c r="Y97" i="20" s="1"/>
  <c r="L34" i="53" s="1"/>
  <c r="B38" i="22"/>
  <c r="AQ41" i="22"/>
  <c r="AS41" i="22" s="1"/>
  <c r="L44" i="22"/>
  <c r="T19" i="10"/>
  <c r="R19" i="10" s="1"/>
  <c r="Q19" i="10" s="1"/>
  <c r="T18" i="10"/>
  <c r="R18" i="10" s="1"/>
  <c r="Q18" i="10" s="1"/>
  <c r="T20" i="10"/>
  <c r="R20" i="10" s="1"/>
  <c r="Q20" i="10" s="1"/>
  <c r="B39" i="22"/>
  <c r="D51" i="22"/>
  <c r="B34" i="22"/>
  <c r="AR20" i="22"/>
  <c r="AR51" i="22"/>
  <c r="N22" i="22"/>
  <c r="AP20" i="22"/>
  <c r="N46" i="22"/>
  <c r="D38" i="22"/>
  <c r="AF40" i="22"/>
  <c r="AR46" i="22"/>
  <c r="I18" i="10"/>
  <c r="AH46" i="22"/>
  <c r="AF20" i="22"/>
  <c r="N38" i="22"/>
  <c r="B51" i="22"/>
  <c r="B28" i="22"/>
  <c r="AR35" i="22"/>
  <c r="AH35" i="22"/>
  <c r="M49" i="22"/>
  <c r="O49" i="22" s="1"/>
  <c r="B33" i="22"/>
  <c r="N35" i="22"/>
  <c r="AR30" i="22"/>
  <c r="C33" i="22"/>
  <c r="E33" i="22" s="1"/>
  <c r="C49" i="22"/>
  <c r="E49" i="22" s="1"/>
  <c r="AH30" i="22"/>
  <c r="AQ33" i="22"/>
  <c r="AS33" i="22" s="1"/>
  <c r="AF50" i="22"/>
  <c r="AH20" i="22"/>
  <c r="AR22" i="22"/>
  <c r="AF44" i="22"/>
  <c r="AF21" i="22"/>
  <c r="AF49" i="22"/>
  <c r="B44" i="22"/>
  <c r="D30" i="22"/>
  <c r="AH51" i="22"/>
  <c r="AH22" i="22"/>
  <c r="AG33" i="22"/>
  <c r="AI33" i="22" s="1"/>
  <c r="B31" i="22"/>
  <c r="B37" i="22"/>
  <c r="AF47" i="22"/>
  <c r="AF53" i="22"/>
  <c r="N20" i="22"/>
  <c r="AF22" i="22"/>
  <c r="AG41" i="22"/>
  <c r="AI41" i="22" s="1"/>
  <c r="AQ25" i="22"/>
  <c r="AS25" i="22" s="1"/>
  <c r="M25" i="22"/>
  <c r="O25" i="22" s="1"/>
  <c r="M41" i="22"/>
  <c r="O41" i="22" s="1"/>
  <c r="AP28" i="22"/>
  <c r="AQ51" i="22"/>
  <c r="AS51" i="22" s="1"/>
  <c r="AG51" i="22"/>
  <c r="AI51" i="22" s="1"/>
  <c r="M51" i="22"/>
  <c r="O51" i="22" s="1"/>
  <c r="C51" i="22"/>
  <c r="E51" i="22" s="1"/>
  <c r="AQ43" i="22"/>
  <c r="AS43" i="22" s="1"/>
  <c r="AG43" i="22"/>
  <c r="AI43" i="22" s="1"/>
  <c r="M43" i="22"/>
  <c r="O43" i="22" s="1"/>
  <c r="C43" i="22"/>
  <c r="E43" i="22" s="1"/>
  <c r="AQ23" i="22"/>
  <c r="AS23" i="22" s="1"/>
  <c r="AG23" i="22"/>
  <c r="AI23" i="22" s="1"/>
  <c r="M23" i="22"/>
  <c r="O23" i="22" s="1"/>
  <c r="C23" i="22"/>
  <c r="E23" i="22" s="1"/>
  <c r="AQ39" i="22"/>
  <c r="AS39" i="22" s="1"/>
  <c r="AG39" i="22"/>
  <c r="AI39" i="22" s="1"/>
  <c r="M39" i="22"/>
  <c r="O39" i="22" s="1"/>
  <c r="C39" i="22"/>
  <c r="E39" i="22" s="1"/>
  <c r="AS21" i="23"/>
  <c r="K19" i="10"/>
  <c r="AG21" i="23" s="1"/>
  <c r="AI21" i="23" s="1"/>
  <c r="J20" i="10"/>
  <c r="AQ22" i="23" s="1"/>
  <c r="L48" i="22"/>
  <c r="AP48" i="22"/>
  <c r="AH21" i="22"/>
  <c r="AR21" i="22"/>
  <c r="N21" i="22"/>
  <c r="D21" i="22"/>
  <c r="L29" i="22"/>
  <c r="AP29" i="22"/>
  <c r="AH37" i="22"/>
  <c r="AR37" i="22"/>
  <c r="N37" i="22"/>
  <c r="D37" i="22"/>
  <c r="L45" i="22"/>
  <c r="AP45" i="22"/>
  <c r="AH53" i="22"/>
  <c r="AR53" i="22"/>
  <c r="N53" i="22"/>
  <c r="D53" i="22"/>
  <c r="AQ26" i="22"/>
  <c r="AS26" i="22" s="1"/>
  <c r="AG26" i="22"/>
  <c r="AI26" i="22" s="1"/>
  <c r="M26" i="22"/>
  <c r="O26" i="22" s="1"/>
  <c r="C26" i="22"/>
  <c r="E26" i="22" s="1"/>
  <c r="AQ42" i="22"/>
  <c r="AS42" i="22" s="1"/>
  <c r="AG42" i="22"/>
  <c r="AI42" i="22" s="1"/>
  <c r="M42" i="22"/>
  <c r="O42" i="22" s="1"/>
  <c r="C42" i="22"/>
  <c r="E42" i="22" s="1"/>
  <c r="AQ47" i="22"/>
  <c r="AS47" i="22" s="1"/>
  <c r="AG47" i="22"/>
  <c r="AI47" i="22" s="1"/>
  <c r="M47" i="22"/>
  <c r="O47" i="22" s="1"/>
  <c r="C47" i="22"/>
  <c r="E47" i="22" s="1"/>
  <c r="AH28" i="22"/>
  <c r="AR28" i="22"/>
  <c r="N28" i="22"/>
  <c r="D28" i="22"/>
  <c r="AH44" i="22"/>
  <c r="AR44" i="22"/>
  <c r="N44" i="22"/>
  <c r="D44" i="22"/>
  <c r="L27" i="22"/>
  <c r="AP27" i="22"/>
  <c r="L26" i="22"/>
  <c r="AP26" i="22"/>
  <c r="L42" i="22"/>
  <c r="AP42" i="22"/>
  <c r="AQ27" i="22"/>
  <c r="AS27" i="22" s="1"/>
  <c r="AG27" i="22"/>
  <c r="AI27" i="22" s="1"/>
  <c r="M27" i="22"/>
  <c r="O27" i="22" s="1"/>
  <c r="C27" i="22"/>
  <c r="E27" i="22" s="1"/>
  <c r="AH32" i="22"/>
  <c r="AR32" i="22"/>
  <c r="D32" i="22"/>
  <c r="N32" i="22"/>
  <c r="AH48" i="22"/>
  <c r="AR48" i="22"/>
  <c r="D48" i="22"/>
  <c r="N48" i="22"/>
  <c r="AQ21" i="22"/>
  <c r="AS21" i="22" s="1"/>
  <c r="AG21" i="22"/>
  <c r="AI21" i="22" s="1"/>
  <c r="M21" i="22"/>
  <c r="O21" i="22" s="1"/>
  <c r="C21" i="22"/>
  <c r="E21" i="22" s="1"/>
  <c r="AQ53" i="22"/>
  <c r="AS53" i="22" s="1"/>
  <c r="AG53" i="22"/>
  <c r="AI53" i="22" s="1"/>
  <c r="M53" i="22"/>
  <c r="O53" i="22" s="1"/>
  <c r="C53" i="22"/>
  <c r="E53" i="22" s="1"/>
  <c r="AF26" i="22"/>
  <c r="AF42" i="22"/>
  <c r="L24" i="22"/>
  <c r="AP24" i="22"/>
  <c r="L25" i="22"/>
  <c r="AP25" i="22"/>
  <c r="AH33" i="22"/>
  <c r="AR33" i="22"/>
  <c r="N33" i="22"/>
  <c r="D33" i="22"/>
  <c r="L41" i="22"/>
  <c r="AP41" i="22"/>
  <c r="AH49" i="22"/>
  <c r="AR49" i="22"/>
  <c r="N49" i="22"/>
  <c r="D49" i="22"/>
  <c r="AQ30" i="22"/>
  <c r="AS30" i="22" s="1"/>
  <c r="AG30" i="22"/>
  <c r="AI30" i="22" s="1"/>
  <c r="C30" i="22"/>
  <c r="E30" i="22" s="1"/>
  <c r="M30" i="22"/>
  <c r="O30" i="22" s="1"/>
  <c r="AQ46" i="22"/>
  <c r="AS46" i="22" s="1"/>
  <c r="AG46" i="22"/>
  <c r="AI46" i="22" s="1"/>
  <c r="C46" i="22"/>
  <c r="E46" i="22" s="1"/>
  <c r="M46" i="22"/>
  <c r="O46" i="22" s="1"/>
  <c r="L36" i="22"/>
  <c r="AP36" i="22"/>
  <c r="AF20" i="23"/>
  <c r="B24" i="22"/>
  <c r="B48" i="22"/>
  <c r="AQ36" i="22"/>
  <c r="AS36" i="22" s="1"/>
  <c r="AG36" i="22"/>
  <c r="AI36" i="22" s="1"/>
  <c r="M36" i="22"/>
  <c r="O36" i="22" s="1"/>
  <c r="C36" i="22"/>
  <c r="E36" i="22" s="1"/>
  <c r="AQ52" i="22"/>
  <c r="AS52" i="22" s="1"/>
  <c r="AG52" i="22"/>
  <c r="AI52" i="22" s="1"/>
  <c r="M52" i="22"/>
  <c r="O52" i="22" s="1"/>
  <c r="C52" i="22"/>
  <c r="E52" i="22" s="1"/>
  <c r="L35" i="22"/>
  <c r="AP35" i="22"/>
  <c r="L30" i="22"/>
  <c r="AP30" i="22"/>
  <c r="L46" i="22"/>
  <c r="AP46" i="22"/>
  <c r="AQ35" i="22"/>
  <c r="AS35" i="22" s="1"/>
  <c r="AG35" i="22"/>
  <c r="AI35" i="22" s="1"/>
  <c r="M35" i="22"/>
  <c r="O35" i="22" s="1"/>
  <c r="C35" i="22"/>
  <c r="E35" i="22" s="1"/>
  <c r="AG24" i="22"/>
  <c r="AI24" i="22" s="1"/>
  <c r="AQ24" i="22"/>
  <c r="AS24" i="22" s="1"/>
  <c r="M24" i="22"/>
  <c r="O24" i="22" s="1"/>
  <c r="C24" i="22"/>
  <c r="E24" i="22" s="1"/>
  <c r="AG40" i="22"/>
  <c r="AI40" i="22" s="1"/>
  <c r="AQ40" i="22"/>
  <c r="AS40" i="22" s="1"/>
  <c r="M40" i="22"/>
  <c r="O40" i="22" s="1"/>
  <c r="C40" i="22"/>
  <c r="E40" i="22" s="1"/>
  <c r="AQ29" i="22"/>
  <c r="AS29" i="22" s="1"/>
  <c r="AG29" i="22"/>
  <c r="AI29" i="22" s="1"/>
  <c r="M29" i="22"/>
  <c r="O29" i="22" s="1"/>
  <c r="C29" i="22"/>
  <c r="E29" i="22" s="1"/>
  <c r="AF24" i="22"/>
  <c r="AF48" i="22"/>
  <c r="AF29" i="22"/>
  <c r="AF45" i="22"/>
  <c r="B25" i="22"/>
  <c r="B41" i="22"/>
  <c r="L32" i="22"/>
  <c r="AP32" i="22"/>
  <c r="L21" i="22"/>
  <c r="AP21" i="22"/>
  <c r="AH29" i="22"/>
  <c r="AR29" i="22"/>
  <c r="N29" i="22"/>
  <c r="D29" i="22"/>
  <c r="L37" i="22"/>
  <c r="AP37" i="22"/>
  <c r="AH45" i="22"/>
  <c r="AR45" i="22"/>
  <c r="N45" i="22"/>
  <c r="D45" i="22"/>
  <c r="L53" i="22"/>
  <c r="AP53" i="22"/>
  <c r="AQ34" i="22"/>
  <c r="AS34" i="22" s="1"/>
  <c r="AG34" i="22"/>
  <c r="AI34" i="22" s="1"/>
  <c r="M34" i="22"/>
  <c r="O34" i="22" s="1"/>
  <c r="C34" i="22"/>
  <c r="E34" i="22" s="1"/>
  <c r="AQ50" i="22"/>
  <c r="AS50" i="22" s="1"/>
  <c r="AG50" i="22"/>
  <c r="AI50" i="22" s="1"/>
  <c r="M50" i="22"/>
  <c r="O50" i="22" s="1"/>
  <c r="C50" i="22"/>
  <c r="E50" i="22" s="1"/>
  <c r="L52" i="22"/>
  <c r="AP52" i="22"/>
  <c r="AQ31" i="22"/>
  <c r="AS31" i="22" s="1"/>
  <c r="AG31" i="22"/>
  <c r="AI31" i="22" s="1"/>
  <c r="M31" i="22"/>
  <c r="O31" i="22" s="1"/>
  <c r="C31" i="22"/>
  <c r="E31" i="22" s="1"/>
  <c r="B32" i="22"/>
  <c r="L31" i="22"/>
  <c r="AP31" i="22"/>
  <c r="AH36" i="22"/>
  <c r="AR36" i="22"/>
  <c r="N36" i="22"/>
  <c r="D36" i="22"/>
  <c r="AH52" i="22"/>
  <c r="AR52" i="22"/>
  <c r="N52" i="22"/>
  <c r="D52" i="22"/>
  <c r="L43" i="22"/>
  <c r="AP43" i="22"/>
  <c r="L34" i="22"/>
  <c r="AP34" i="22"/>
  <c r="L50" i="22"/>
  <c r="AP50" i="22"/>
  <c r="L23" i="22"/>
  <c r="AP23" i="22"/>
  <c r="AH24" i="22"/>
  <c r="AR24" i="22"/>
  <c r="D24" i="22"/>
  <c r="N24" i="22"/>
  <c r="AH40" i="22"/>
  <c r="AR40" i="22"/>
  <c r="D40" i="22"/>
  <c r="N40" i="22"/>
  <c r="AQ37" i="22"/>
  <c r="AS37" i="22" s="1"/>
  <c r="AG37" i="22"/>
  <c r="AI37" i="22" s="1"/>
  <c r="M37" i="22"/>
  <c r="O37" i="22" s="1"/>
  <c r="C37" i="22"/>
  <c r="E37" i="22" s="1"/>
  <c r="AF30" i="22"/>
  <c r="AF46" i="22"/>
  <c r="AF27" i="22"/>
  <c r="AF35" i="22"/>
  <c r="AF43" i="22"/>
  <c r="B26" i="22"/>
  <c r="B42" i="22"/>
  <c r="B27" i="22"/>
  <c r="B43" i="22"/>
  <c r="B29" i="22"/>
  <c r="B45" i="22"/>
  <c r="L40" i="22"/>
  <c r="AP40" i="22"/>
  <c r="AH25" i="22"/>
  <c r="AR25" i="22"/>
  <c r="N25" i="22"/>
  <c r="D25" i="22"/>
  <c r="L33" i="22"/>
  <c r="AP33" i="22"/>
  <c r="AH41" i="22"/>
  <c r="AR41" i="22"/>
  <c r="N41" i="22"/>
  <c r="D41" i="22"/>
  <c r="L49" i="22"/>
  <c r="AP49" i="22"/>
  <c r="AQ22" i="22"/>
  <c r="AS22" i="22" s="1"/>
  <c r="AG22" i="22"/>
  <c r="AI22" i="22" s="1"/>
  <c r="C22" i="22"/>
  <c r="E22" i="22" s="1"/>
  <c r="M22" i="22"/>
  <c r="O22" i="22" s="1"/>
  <c r="AQ38" i="22"/>
  <c r="AS38" i="22" s="1"/>
  <c r="AG38" i="22"/>
  <c r="AI38" i="22" s="1"/>
  <c r="C38" i="22"/>
  <c r="E38" i="22" s="1"/>
  <c r="M38" i="22"/>
  <c r="O38" i="22" s="1"/>
  <c r="AQ20" i="22"/>
  <c r="AS20" i="22" s="1"/>
  <c r="AG20" i="22"/>
  <c r="AI20" i="22" s="1"/>
  <c r="M20" i="22"/>
  <c r="O20" i="22" s="1"/>
  <c r="C20" i="22"/>
  <c r="E20" i="22" s="1"/>
  <c r="B36" i="22"/>
  <c r="L47" i="22"/>
  <c r="AP47" i="22"/>
  <c r="AG28" i="22"/>
  <c r="AI28" i="22" s="1"/>
  <c r="AQ28" i="22"/>
  <c r="AS28" i="22" s="1"/>
  <c r="M28" i="22"/>
  <c r="O28" i="22" s="1"/>
  <c r="C28" i="22"/>
  <c r="E28" i="22" s="1"/>
  <c r="AG44" i="22"/>
  <c r="AI44" i="22" s="1"/>
  <c r="AQ44" i="22"/>
  <c r="AS44" i="22" s="1"/>
  <c r="M44" i="22"/>
  <c r="O44" i="22" s="1"/>
  <c r="C44" i="22"/>
  <c r="E44" i="22" s="1"/>
  <c r="L51" i="22"/>
  <c r="AP51" i="22"/>
  <c r="L22" i="22"/>
  <c r="AP22" i="22"/>
  <c r="L38" i="22"/>
  <c r="AP38" i="22"/>
  <c r="B52" i="22"/>
  <c r="L39" i="22"/>
  <c r="AP39" i="22"/>
  <c r="AQ32" i="22"/>
  <c r="AS32" i="22" s="1"/>
  <c r="AG32" i="22"/>
  <c r="AI32" i="22" s="1"/>
  <c r="M32" i="22"/>
  <c r="O32" i="22" s="1"/>
  <c r="C32" i="22"/>
  <c r="E32" i="22" s="1"/>
  <c r="AQ48" i="22"/>
  <c r="AS48" i="22" s="1"/>
  <c r="AG48" i="22"/>
  <c r="AI48" i="22" s="1"/>
  <c r="M48" i="22"/>
  <c r="O48" i="22" s="1"/>
  <c r="C48" i="22"/>
  <c r="E48" i="22" s="1"/>
  <c r="AQ45" i="22"/>
  <c r="AS45" i="22" s="1"/>
  <c r="AG45" i="22"/>
  <c r="AI45" i="22" s="1"/>
  <c r="M45" i="22"/>
  <c r="O45" i="22" s="1"/>
  <c r="C45" i="22"/>
  <c r="E45" i="22" s="1"/>
  <c r="C28" i="7"/>
  <c r="L28" i="7"/>
  <c r="T28" i="7"/>
  <c r="T28" i="25" s="1"/>
  <c r="S7" i="35" s="1"/>
  <c r="AO23" i="25"/>
  <c r="AF2" i="35" s="1"/>
  <c r="I25" i="25"/>
  <c r="AG25" i="25"/>
  <c r="X4" i="35" s="1"/>
  <c r="AC26" i="25"/>
  <c r="T5" i="35" s="1"/>
  <c r="K28" i="25"/>
  <c r="B7" i="35" s="1"/>
  <c r="O27" i="25"/>
  <c r="F6" i="35" s="1"/>
  <c r="X25" i="25"/>
  <c r="W4" i="35" s="1"/>
  <c r="AT24" i="25"/>
  <c r="AB23" i="25"/>
  <c r="AA2" i="35" s="1"/>
  <c r="R24" i="25"/>
  <c r="Q3" i="35" s="1"/>
  <c r="T26" i="25"/>
  <c r="S5" i="35" s="1"/>
  <c r="R27" i="25"/>
  <c r="Q6" i="35" s="1"/>
  <c r="AR27" i="25"/>
  <c r="AL27" i="25"/>
  <c r="AK6" i="35" s="1"/>
  <c r="Z28" i="25"/>
  <c r="Y7" i="35" s="1"/>
  <c r="N23" i="25"/>
  <c r="M2" i="35" s="1"/>
  <c r="AB28" i="25"/>
  <c r="AA7" i="35" s="1"/>
  <c r="D28" i="25"/>
  <c r="C7" i="35" s="1"/>
  <c r="AA25" i="25"/>
  <c r="R4" i="35" s="1"/>
  <c r="T23" i="25"/>
  <c r="S2" i="35" s="1"/>
  <c r="U23" i="25"/>
  <c r="L2" i="35" s="1"/>
  <c r="AC23" i="25"/>
  <c r="T2" i="35" s="1"/>
  <c r="AK23" i="25"/>
  <c r="AB2" i="35" s="1"/>
  <c r="I24" i="25"/>
  <c r="Q24" i="25"/>
  <c r="H3" i="35" s="1"/>
  <c r="Y24" i="25"/>
  <c r="P3" i="35" s="1"/>
  <c r="AO24" i="25"/>
  <c r="AF3" i="35" s="1"/>
  <c r="E25" i="25"/>
  <c r="M25" i="25"/>
  <c r="D4" i="35" s="1"/>
  <c r="U25" i="25"/>
  <c r="L4" i="35" s="1"/>
  <c r="AK25" i="25"/>
  <c r="AB4" i="35" s="1"/>
  <c r="AS25" i="25"/>
  <c r="AJ4" i="35" s="1"/>
  <c r="Q26" i="25"/>
  <c r="H5" i="35" s="1"/>
  <c r="AG26" i="25"/>
  <c r="X5" i="35" s="1"/>
  <c r="AU28" i="25"/>
  <c r="AL7" i="35" s="1"/>
  <c r="AE28" i="25"/>
  <c r="V7" i="35" s="1"/>
  <c r="O28" i="25"/>
  <c r="F7" i="35" s="1"/>
  <c r="AQ27" i="25"/>
  <c r="AH6" i="35" s="1"/>
  <c r="AI27" i="25"/>
  <c r="Z6" i="35" s="1"/>
  <c r="S27" i="25"/>
  <c r="J6" i="35" s="1"/>
  <c r="K27" i="25"/>
  <c r="B6" i="35" s="1"/>
  <c r="AB26" i="25"/>
  <c r="AA5" i="35" s="1"/>
  <c r="H25" i="25"/>
  <c r="G4" i="35" s="1"/>
  <c r="AF23" i="25"/>
  <c r="AE2" i="35" s="1"/>
  <c r="AL26" i="25"/>
  <c r="AK5" i="35" s="1"/>
  <c r="R25" i="25"/>
  <c r="Q4" i="35" s="1"/>
  <c r="AD24" i="25"/>
  <c r="AC3" i="35" s="1"/>
  <c r="AP23" i="25"/>
  <c r="J23" i="25"/>
  <c r="I2" i="35" s="1"/>
  <c r="AJ25" i="25"/>
  <c r="AI4" i="35" s="1"/>
  <c r="J25" i="25"/>
  <c r="I4" i="35" s="1"/>
  <c r="AT26" i="25"/>
  <c r="V28" i="25"/>
  <c r="U7" i="35" s="1"/>
  <c r="AN26" i="25"/>
  <c r="AR24" i="25"/>
  <c r="G23" i="25"/>
  <c r="O23" i="25"/>
  <c r="F2" i="35" s="1"/>
  <c r="W23" i="25"/>
  <c r="N2" i="35" s="1"/>
  <c r="AE23" i="25"/>
  <c r="V2" i="35" s="1"/>
  <c r="AM23" i="25"/>
  <c r="AD2" i="35" s="1"/>
  <c r="AU23" i="25"/>
  <c r="AL2" i="35" s="1"/>
  <c r="K24" i="25"/>
  <c r="B3" i="35" s="1"/>
  <c r="S24" i="25"/>
  <c r="J3" i="35" s="1"/>
  <c r="AA24" i="25"/>
  <c r="R3" i="35" s="1"/>
  <c r="AI24" i="25"/>
  <c r="Z3" i="35" s="1"/>
  <c r="AQ24" i="25"/>
  <c r="AH3" i="35" s="1"/>
  <c r="G25" i="25"/>
  <c r="O25" i="25"/>
  <c r="F4" i="35" s="1"/>
  <c r="W25" i="25"/>
  <c r="N4" i="35" s="1"/>
  <c r="AE25" i="25"/>
  <c r="V4" i="35" s="1"/>
  <c r="AM25" i="25"/>
  <c r="AD4" i="35" s="1"/>
  <c r="AU25" i="25"/>
  <c r="AL4" i="35" s="1"/>
  <c r="K26" i="25"/>
  <c r="B5" i="35" s="1"/>
  <c r="S26" i="25"/>
  <c r="J5" i="35" s="1"/>
  <c r="AA26" i="25"/>
  <c r="R5" i="35" s="1"/>
  <c r="AI26" i="25"/>
  <c r="Z5" i="35" s="1"/>
  <c r="C23" i="25"/>
  <c r="AS28" i="25"/>
  <c r="AJ7" i="35" s="1"/>
  <c r="AK28" i="25"/>
  <c r="AB7" i="35" s="1"/>
  <c r="AC28" i="25"/>
  <c r="T7" i="35" s="1"/>
  <c r="U28" i="25"/>
  <c r="L7" i="35" s="1"/>
  <c r="M28" i="25"/>
  <c r="D7" i="35" s="1"/>
  <c r="E28" i="25"/>
  <c r="AO27" i="25"/>
  <c r="AF6" i="35" s="1"/>
  <c r="AG27" i="25"/>
  <c r="X6" i="35" s="1"/>
  <c r="Y27" i="25"/>
  <c r="P6" i="35" s="1"/>
  <c r="Q27" i="25"/>
  <c r="H6" i="35" s="1"/>
  <c r="I27" i="25"/>
  <c r="AS26" i="25"/>
  <c r="AJ5" i="35" s="1"/>
  <c r="R26" i="25"/>
  <c r="Q5" i="35" s="1"/>
  <c r="AD25" i="25"/>
  <c r="AC4" i="35" s="1"/>
  <c r="AP24" i="25"/>
  <c r="J24" i="25"/>
  <c r="I3" i="35" s="1"/>
  <c r="V23" i="25"/>
  <c r="U2" i="35" s="1"/>
  <c r="AF26" i="25"/>
  <c r="AE5" i="35" s="1"/>
  <c r="AR25" i="25"/>
  <c r="L25" i="25"/>
  <c r="K4" i="35" s="1"/>
  <c r="X24" i="25"/>
  <c r="W3" i="35" s="1"/>
  <c r="AJ23" i="25"/>
  <c r="AI2" i="35" s="1"/>
  <c r="E23" i="25"/>
  <c r="AL24" i="25"/>
  <c r="AK3" i="35" s="1"/>
  <c r="N26" i="25"/>
  <c r="M5" i="35" s="1"/>
  <c r="AN23" i="25"/>
  <c r="V25" i="25"/>
  <c r="U4" i="35" s="1"/>
  <c r="J27" i="7"/>
  <c r="AP27" i="7"/>
  <c r="AD28" i="7"/>
  <c r="AD23" i="25"/>
  <c r="AC2" i="35" s="1"/>
  <c r="AF25" i="25"/>
  <c r="AE4" i="35" s="1"/>
  <c r="D27" i="7"/>
  <c r="AJ27" i="7"/>
  <c r="X28" i="7"/>
  <c r="L23" i="25"/>
  <c r="K2" i="35" s="1"/>
  <c r="P25" i="7"/>
  <c r="AP26" i="7"/>
  <c r="AD27" i="7"/>
  <c r="R28" i="7"/>
  <c r="C26" i="7"/>
  <c r="AN27" i="7"/>
  <c r="P27" i="7"/>
  <c r="F25" i="7"/>
  <c r="J26" i="7"/>
  <c r="X27" i="7"/>
  <c r="I23" i="25"/>
  <c r="Y23" i="25"/>
  <c r="P2" i="35" s="1"/>
  <c r="AG23" i="25"/>
  <c r="X2" i="35" s="1"/>
  <c r="E24" i="25"/>
  <c r="U24" i="25"/>
  <c r="L3" i="35" s="1"/>
  <c r="AC24" i="25"/>
  <c r="T3" i="35" s="1"/>
  <c r="AK24" i="25"/>
  <c r="AB3" i="35" s="1"/>
  <c r="AS24" i="25"/>
  <c r="AJ3" i="35" s="1"/>
  <c r="Q25" i="25"/>
  <c r="H4" i="35" s="1"/>
  <c r="AO25" i="25"/>
  <c r="AF4" i="35" s="1"/>
  <c r="E26" i="25"/>
  <c r="M26" i="25"/>
  <c r="D5" i="35" s="1"/>
  <c r="U26" i="25"/>
  <c r="L5" i="35" s="1"/>
  <c r="C27" i="25"/>
  <c r="AI28" i="25"/>
  <c r="Z7" i="35" s="1"/>
  <c r="S28" i="25"/>
  <c r="J7" i="35" s="1"/>
  <c r="AE27" i="25"/>
  <c r="V6" i="35" s="1"/>
  <c r="G27" i="25"/>
  <c r="L26" i="25"/>
  <c r="K5" i="35" s="1"/>
  <c r="AJ24" i="25"/>
  <c r="AI3" i="35" s="1"/>
  <c r="P23" i="25"/>
  <c r="O2" i="35" s="1"/>
  <c r="V26" i="25"/>
  <c r="U5" i="35" s="1"/>
  <c r="N24" i="25"/>
  <c r="M3" i="35" s="1"/>
  <c r="D25" i="25"/>
  <c r="C4" i="35" s="1"/>
  <c r="F28" i="25"/>
  <c r="E7" i="35" s="1"/>
  <c r="AR23" i="25"/>
  <c r="D26" i="25"/>
  <c r="C5" i="35" s="1"/>
  <c r="L27" i="25"/>
  <c r="K6" i="35" s="1"/>
  <c r="AF28" i="25"/>
  <c r="AE7" i="35" s="1"/>
  <c r="AH23" i="25"/>
  <c r="AG2" i="35" s="1"/>
  <c r="AL25" i="25"/>
  <c r="AK4" i="35" s="1"/>
  <c r="S23" i="25"/>
  <c r="J2" i="35" s="1"/>
  <c r="AI23" i="25"/>
  <c r="Z2" i="35" s="1"/>
  <c r="O24" i="25"/>
  <c r="F3" i="35" s="1"/>
  <c r="AM24" i="25"/>
  <c r="AD3" i="35" s="1"/>
  <c r="K25" i="25"/>
  <c r="B4" i="35" s="1"/>
  <c r="AI25" i="25"/>
  <c r="Z4" i="35" s="1"/>
  <c r="O26" i="25"/>
  <c r="F5" i="35" s="1"/>
  <c r="C25" i="25"/>
  <c r="AG28" i="25"/>
  <c r="X7" i="35" s="1"/>
  <c r="Y28" i="25"/>
  <c r="P7" i="35" s="1"/>
  <c r="AS27" i="25"/>
  <c r="AJ6" i="35" s="1"/>
  <c r="AC27" i="25"/>
  <c r="T6" i="35" s="1"/>
  <c r="M27" i="25"/>
  <c r="D6" i="35" s="1"/>
  <c r="AH26" i="25"/>
  <c r="AG5" i="35" s="1"/>
  <c r="N25" i="25"/>
  <c r="M4" i="35" s="1"/>
  <c r="P26" i="25"/>
  <c r="O5" i="35" s="1"/>
  <c r="AN24" i="25"/>
  <c r="F24" i="25"/>
  <c r="E3" i="35" s="1"/>
  <c r="D23" i="25"/>
  <c r="C2" i="35" s="1"/>
  <c r="AJ26" i="25"/>
  <c r="AI5" i="35" s="1"/>
  <c r="Z27" i="25"/>
  <c r="Y6" i="35" s="1"/>
  <c r="N28" i="25"/>
  <c r="M7" i="35" s="1"/>
  <c r="AT28" i="25"/>
  <c r="Z26" i="25"/>
  <c r="Y5" i="35" s="1"/>
  <c r="T27" i="25"/>
  <c r="S6" i="35" s="1"/>
  <c r="H28" i="25"/>
  <c r="G7" i="35" s="1"/>
  <c r="AN28" i="25"/>
  <c r="AT23" i="25"/>
  <c r="H26" i="25"/>
  <c r="G5" i="35" s="1"/>
  <c r="N27" i="25"/>
  <c r="M6" i="35" s="1"/>
  <c r="AT27" i="25"/>
  <c r="AH28" i="25"/>
  <c r="AG7" i="35" s="1"/>
  <c r="T25" i="25"/>
  <c r="S4" i="35" s="1"/>
  <c r="L24" i="25"/>
  <c r="K3" i="35" s="1"/>
  <c r="AJ28" i="25"/>
  <c r="AI7" i="35" s="1"/>
  <c r="C28" i="25"/>
  <c r="AR26" i="25"/>
  <c r="AB24" i="25"/>
  <c r="AA3" i="35" s="1"/>
  <c r="R23" i="25"/>
  <c r="Q2" i="35" s="1"/>
  <c r="Q23" i="25"/>
  <c r="H2" i="35" s="1"/>
  <c r="M24" i="25"/>
  <c r="D3" i="35" s="1"/>
  <c r="Y25" i="25"/>
  <c r="P4" i="35" s="1"/>
  <c r="AK26" i="25"/>
  <c r="AB5" i="35" s="1"/>
  <c r="AQ28" i="25"/>
  <c r="AH7" i="35" s="1"/>
  <c r="AA28" i="25"/>
  <c r="R7" i="35" s="1"/>
  <c r="AU27" i="25"/>
  <c r="AL6" i="35" s="1"/>
  <c r="AM27" i="25"/>
  <c r="AD6" i="35" s="1"/>
  <c r="W27" i="25"/>
  <c r="N6" i="35" s="1"/>
  <c r="AQ26" i="25"/>
  <c r="AH5" i="35" s="1"/>
  <c r="D24" i="25"/>
  <c r="C3" i="35" s="1"/>
  <c r="AH25" i="25"/>
  <c r="AG4" i="35" s="1"/>
  <c r="Z23" i="25"/>
  <c r="Y2" i="35" s="1"/>
  <c r="X26" i="25"/>
  <c r="W5" i="35" s="1"/>
  <c r="AL28" i="25"/>
  <c r="AK7" i="35" s="1"/>
  <c r="F27" i="25"/>
  <c r="E6" i="35" s="1"/>
  <c r="AF27" i="25"/>
  <c r="AE6" i="35" s="1"/>
  <c r="L28" i="25"/>
  <c r="K7" i="35" s="1"/>
  <c r="K23" i="25"/>
  <c r="B2" i="35" s="1"/>
  <c r="AA23" i="25"/>
  <c r="R2" i="35" s="1"/>
  <c r="AQ23" i="25"/>
  <c r="AH2" i="35" s="1"/>
  <c r="G24" i="25"/>
  <c r="W24" i="25"/>
  <c r="N3" i="35" s="1"/>
  <c r="AE24" i="25"/>
  <c r="V3" i="35" s="1"/>
  <c r="AU24" i="25"/>
  <c r="AL3" i="35" s="1"/>
  <c r="S25" i="25"/>
  <c r="J4" i="35" s="1"/>
  <c r="AQ25" i="25"/>
  <c r="AH4" i="35" s="1"/>
  <c r="G26" i="25"/>
  <c r="W26" i="25"/>
  <c r="N5" i="35" s="1"/>
  <c r="AE26" i="25"/>
  <c r="V5" i="35" s="1"/>
  <c r="AM26" i="25"/>
  <c r="AD5" i="35" s="1"/>
  <c r="AO28" i="25"/>
  <c r="AF7" i="35" s="1"/>
  <c r="Q28" i="25"/>
  <c r="H7" i="35" s="1"/>
  <c r="I28" i="25"/>
  <c r="AK27" i="25"/>
  <c r="AB6" i="35" s="1"/>
  <c r="U27" i="25"/>
  <c r="L6" i="35" s="1"/>
  <c r="E27" i="25"/>
  <c r="AT25" i="25"/>
  <c r="Z24" i="25"/>
  <c r="Y3" i="35" s="1"/>
  <c r="AL23" i="25"/>
  <c r="AK2" i="35" s="1"/>
  <c r="F23" i="25"/>
  <c r="E2" i="35" s="1"/>
  <c r="AB25" i="25"/>
  <c r="AA4" i="35" s="1"/>
  <c r="H24" i="25"/>
  <c r="G3" i="35" s="1"/>
  <c r="Z25" i="25"/>
  <c r="Y4" i="35" s="1"/>
  <c r="AF24" i="25"/>
  <c r="AE3" i="35" s="1"/>
  <c r="V24" i="25"/>
  <c r="U3" i="35" s="1"/>
  <c r="M23" i="25"/>
  <c r="D2" i="35" s="1"/>
  <c r="AS23" i="25"/>
  <c r="AJ2" i="35" s="1"/>
  <c r="AG24" i="25"/>
  <c r="X3" i="35" s="1"/>
  <c r="AC25" i="25"/>
  <c r="T4" i="35" s="1"/>
  <c r="I26" i="25"/>
  <c r="Y26" i="25"/>
  <c r="P5" i="35" s="1"/>
  <c r="AO26" i="25"/>
  <c r="AF5" i="35" s="1"/>
  <c r="AM28" i="25"/>
  <c r="AD7" i="35" s="1"/>
  <c r="W28" i="25"/>
  <c r="N7" i="35" s="1"/>
  <c r="G28" i="25"/>
  <c r="AA27" i="25"/>
  <c r="R6" i="35" s="1"/>
  <c r="AU26" i="25"/>
  <c r="AL5" i="35" s="1"/>
  <c r="AN25" i="25"/>
  <c r="T24" i="25"/>
  <c r="S3" i="35" s="1"/>
  <c r="F26" i="25"/>
  <c r="E5" i="35" s="1"/>
  <c r="P24" i="25"/>
  <c r="O3" i="35" s="1"/>
  <c r="X23" i="25"/>
  <c r="W2" i="35" s="1"/>
  <c r="AH27" i="25"/>
  <c r="AG6" i="35" s="1"/>
  <c r="H23" i="25"/>
  <c r="G2" i="35" s="1"/>
  <c r="AH24" i="25"/>
  <c r="AG3" i="35" s="1"/>
  <c r="AB27" i="25"/>
  <c r="AA6" i="35" s="1"/>
  <c r="P28" i="25"/>
  <c r="O7" i="35" s="1"/>
  <c r="C24" i="25"/>
  <c r="AD26" i="25"/>
  <c r="AC5" i="35" s="1"/>
  <c r="V27" i="25"/>
  <c r="U6" i="35" s="1"/>
  <c r="J28" i="25"/>
  <c r="I7" i="35" s="1"/>
  <c r="AP28" i="25"/>
  <c r="H27" i="25"/>
  <c r="G6" i="35" s="1"/>
  <c r="AP25" i="25"/>
  <c r="E13" i="23"/>
  <c r="E12" i="23"/>
  <c r="E10" i="23"/>
  <c r="E14" i="23"/>
  <c r="E11" i="23"/>
  <c r="AR28" i="7"/>
  <c r="U23" i="27"/>
  <c r="U23" i="26" s="1"/>
  <c r="L2" i="45" s="1"/>
  <c r="AU26" i="27"/>
  <c r="AU26" i="26" s="1"/>
  <c r="AL5" i="45" s="1"/>
  <c r="AB24" i="27"/>
  <c r="AB24" i="26" s="1"/>
  <c r="S3" i="45" s="1"/>
  <c r="AE27" i="27"/>
  <c r="AE27" i="26" s="1"/>
  <c r="V6" i="45" s="1"/>
  <c r="K25" i="27"/>
  <c r="K25" i="26" s="1"/>
  <c r="B4" i="45" s="1"/>
  <c r="G26" i="27"/>
  <c r="G26" i="26" s="1"/>
  <c r="AP27" i="27"/>
  <c r="AP27" i="26" s="1"/>
  <c r="AG6" i="45" s="1"/>
  <c r="R28" i="27"/>
  <c r="R28" i="26" s="1"/>
  <c r="I7" i="45" s="1"/>
  <c r="AR24" i="27"/>
  <c r="AR24" i="26" s="1"/>
  <c r="AI3" i="45" s="1"/>
  <c r="AU27" i="27"/>
  <c r="AU27" i="26" s="1"/>
  <c r="AL6" i="45" s="1"/>
  <c r="AB25" i="27"/>
  <c r="AB25" i="26" s="1"/>
  <c r="S4" i="45" s="1"/>
  <c r="Y24" i="27"/>
  <c r="Y24" i="26" s="1"/>
  <c r="P3" i="45" s="1"/>
  <c r="AE24" i="27"/>
  <c r="AE24" i="26" s="1"/>
  <c r="V3" i="45" s="1"/>
  <c r="AQ24" i="27"/>
  <c r="AQ24" i="26" s="1"/>
  <c r="AH3" i="45" s="1"/>
  <c r="AE26" i="27"/>
  <c r="AE26" i="26" s="1"/>
  <c r="V5" i="45" s="1"/>
  <c r="K24" i="27"/>
  <c r="K24" i="26" s="1"/>
  <c r="B3" i="45" s="1"/>
  <c r="O27" i="27"/>
  <c r="O27" i="26" s="1"/>
  <c r="F6" i="45" s="1"/>
  <c r="AI23" i="27"/>
  <c r="AI23" i="26" s="1"/>
  <c r="Z2" i="45" s="1"/>
  <c r="F23" i="27"/>
  <c r="F23" i="26" s="1"/>
  <c r="AO28" i="27"/>
  <c r="AO28" i="26" s="1"/>
  <c r="AF7" i="45" s="1"/>
  <c r="I28" i="27"/>
  <c r="I28" i="26" s="1"/>
  <c r="T27" i="27"/>
  <c r="T27" i="26" s="1"/>
  <c r="K6" i="45" s="1"/>
  <c r="AH26" i="27"/>
  <c r="AH26" i="26" s="1"/>
  <c r="Y5" i="45" s="1"/>
  <c r="C26" i="27"/>
  <c r="C26" i="26" s="1"/>
  <c r="U25" i="27"/>
  <c r="U25" i="26" s="1"/>
  <c r="L4" i="45" s="1"/>
  <c r="AK24" i="27"/>
  <c r="AK24" i="26" s="1"/>
  <c r="AB3" i="45" s="1"/>
  <c r="E24" i="27"/>
  <c r="E24" i="26" s="1"/>
  <c r="R23" i="27"/>
  <c r="R23" i="26" s="1"/>
  <c r="I2" i="45" s="1"/>
  <c r="AI28" i="27"/>
  <c r="AI28" i="26" s="1"/>
  <c r="Z7" i="45" s="1"/>
  <c r="AT27" i="27"/>
  <c r="AT27" i="26" s="1"/>
  <c r="AK6" i="45" s="1"/>
  <c r="N27" i="27"/>
  <c r="N27" i="26" s="1"/>
  <c r="E6" i="45" s="1"/>
  <c r="AB26" i="27"/>
  <c r="AB26" i="26" s="1"/>
  <c r="S5" i="45" s="1"/>
  <c r="AM25" i="27"/>
  <c r="AM25" i="26" s="1"/>
  <c r="AD4" i="45" s="1"/>
  <c r="J25" i="27"/>
  <c r="J25" i="26" s="1"/>
  <c r="W24" i="27"/>
  <c r="W24" i="26" s="1"/>
  <c r="N3" i="45" s="1"/>
  <c r="AO23" i="27"/>
  <c r="AO23" i="26" s="1"/>
  <c r="AF2" i="45" s="1"/>
  <c r="I23" i="27"/>
  <c r="I23" i="26" s="1"/>
  <c r="AK28" i="27"/>
  <c r="AK28" i="26" s="1"/>
  <c r="AB7" i="45" s="1"/>
  <c r="E28" i="27"/>
  <c r="E28" i="26" s="1"/>
  <c r="P27" i="27"/>
  <c r="P27" i="26" s="1"/>
  <c r="G6" i="45" s="1"/>
  <c r="AD26" i="27"/>
  <c r="AD26" i="26" s="1"/>
  <c r="U5" i="45" s="1"/>
  <c r="AO25" i="27"/>
  <c r="AO25" i="26" s="1"/>
  <c r="AF4" i="45" s="1"/>
  <c r="I25" i="27"/>
  <c r="I25" i="26" s="1"/>
  <c r="Q24" i="27"/>
  <c r="Q24" i="26" s="1"/>
  <c r="H3" i="45" s="1"/>
  <c r="AD23" i="27"/>
  <c r="AD23" i="26" s="1"/>
  <c r="U2" i="45" s="1"/>
  <c r="G23" i="27"/>
  <c r="G23" i="26" s="1"/>
  <c r="W23" i="27"/>
  <c r="W23" i="26" s="1"/>
  <c r="N2" i="45" s="1"/>
  <c r="AM23" i="27"/>
  <c r="AM23" i="26" s="1"/>
  <c r="AD2" i="45" s="1"/>
  <c r="J24" i="27"/>
  <c r="J24" i="26" s="1"/>
  <c r="N25" i="27"/>
  <c r="N25" i="26" s="1"/>
  <c r="E4" i="45" s="1"/>
  <c r="V25" i="27"/>
  <c r="V25" i="26" s="1"/>
  <c r="M4" i="45" s="1"/>
  <c r="AD25" i="27"/>
  <c r="AD25" i="26" s="1"/>
  <c r="U4" i="45" s="1"/>
  <c r="AL25" i="27"/>
  <c r="AL25" i="26" s="1"/>
  <c r="AC4" i="45" s="1"/>
  <c r="AT25" i="27"/>
  <c r="AT25" i="26" s="1"/>
  <c r="AK4" i="45" s="1"/>
  <c r="E27" i="27"/>
  <c r="E27" i="26" s="1"/>
  <c r="Q27" i="27"/>
  <c r="Q27" i="26" s="1"/>
  <c r="H6" i="45" s="1"/>
  <c r="Y27" i="27"/>
  <c r="Y27" i="26" s="1"/>
  <c r="P6" i="45" s="1"/>
  <c r="AG27" i="27"/>
  <c r="AG27" i="26" s="1"/>
  <c r="X6" i="45" s="1"/>
  <c r="AO27" i="27"/>
  <c r="AO27" i="26" s="1"/>
  <c r="AF6" i="45" s="1"/>
  <c r="F28" i="27"/>
  <c r="F28" i="26" s="1"/>
  <c r="L23" i="27"/>
  <c r="L23" i="26" s="1"/>
  <c r="C2" i="45" s="1"/>
  <c r="AB23" i="27"/>
  <c r="AB23" i="26" s="1"/>
  <c r="S2" i="45" s="1"/>
  <c r="AR23" i="27"/>
  <c r="AR23" i="26" s="1"/>
  <c r="AI2" i="45" s="1"/>
  <c r="N24" i="27"/>
  <c r="N24" i="26" s="1"/>
  <c r="E3" i="45" s="1"/>
  <c r="V24" i="27"/>
  <c r="V24" i="26" s="1"/>
  <c r="M3" i="45" s="1"/>
  <c r="AD24" i="27"/>
  <c r="AD24" i="26" s="1"/>
  <c r="U3" i="45" s="1"/>
  <c r="AL24" i="27"/>
  <c r="AL24" i="26" s="1"/>
  <c r="AC3" i="45" s="1"/>
  <c r="AT24" i="27"/>
  <c r="AT24" i="26" s="1"/>
  <c r="AK3" i="45" s="1"/>
  <c r="E26" i="27"/>
  <c r="E26" i="26" s="1"/>
  <c r="Q26" i="27"/>
  <c r="Q26" i="26" s="1"/>
  <c r="H5" i="45" s="1"/>
  <c r="Y26" i="27"/>
  <c r="Y26" i="26" s="1"/>
  <c r="P5" i="45" s="1"/>
  <c r="AG26" i="27"/>
  <c r="AG26" i="26" s="1"/>
  <c r="X5" i="45" s="1"/>
  <c r="AO26" i="27"/>
  <c r="AO26" i="26" s="1"/>
  <c r="AF5" i="45" s="1"/>
  <c r="F27" i="27"/>
  <c r="F27" i="26" s="1"/>
  <c r="K28" i="27"/>
  <c r="K28" i="26" s="1"/>
  <c r="B7" i="45" s="1"/>
  <c r="T28" i="27"/>
  <c r="T28" i="26" s="1"/>
  <c r="K7" i="45" s="1"/>
  <c r="AB28" i="27"/>
  <c r="AB28" i="26" s="1"/>
  <c r="S7" i="45" s="1"/>
  <c r="AJ28" i="27"/>
  <c r="AJ28" i="26" s="1"/>
  <c r="AA7" i="45" s="1"/>
  <c r="AR28" i="27"/>
  <c r="AR28" i="26" s="1"/>
  <c r="AI7" i="45" s="1"/>
  <c r="AU28" i="27"/>
  <c r="AU28" i="26" s="1"/>
  <c r="AL7" i="45" s="1"/>
  <c r="O28" i="27"/>
  <c r="O28" i="26" s="1"/>
  <c r="F7" i="45" s="1"/>
  <c r="AH27" i="27"/>
  <c r="AH27" i="26" s="1"/>
  <c r="Y6" i="45" s="1"/>
  <c r="D27" i="27"/>
  <c r="D27" i="26" s="1"/>
  <c r="P26" i="27"/>
  <c r="P26" i="26" s="1"/>
  <c r="G5" i="45" s="1"/>
  <c r="AA25" i="27"/>
  <c r="AA25" i="26" s="1"/>
  <c r="R4" i="45" s="1"/>
  <c r="AI24" i="27"/>
  <c r="AI24" i="26" s="1"/>
  <c r="Z3" i="45" s="1"/>
  <c r="AS23" i="27"/>
  <c r="AS23" i="26" s="1"/>
  <c r="AJ2" i="45" s="1"/>
  <c r="M23" i="27"/>
  <c r="M23" i="26" s="1"/>
  <c r="D2" i="45" s="1"/>
  <c r="AG28" i="27"/>
  <c r="AG28" i="26" s="1"/>
  <c r="X7" i="45" s="1"/>
  <c r="AR27" i="27"/>
  <c r="AR27" i="26" s="1"/>
  <c r="AI6" i="45" s="1"/>
  <c r="K27" i="27"/>
  <c r="K27" i="26" s="1"/>
  <c r="B6" i="45" s="1"/>
  <c r="Z26" i="27"/>
  <c r="Z26" i="26" s="1"/>
  <c r="Q5" i="45" s="1"/>
  <c r="AS25" i="27"/>
  <c r="AS25" i="26" s="1"/>
  <c r="AJ4" i="45" s="1"/>
  <c r="M25" i="27"/>
  <c r="M25" i="26" s="1"/>
  <c r="D4" i="45" s="1"/>
  <c r="AC24" i="27"/>
  <c r="AC24" i="26" s="1"/>
  <c r="T3" i="45" s="1"/>
  <c r="AP23" i="27"/>
  <c r="AP23" i="26" s="1"/>
  <c r="AG2" i="45" s="1"/>
  <c r="J23" i="27"/>
  <c r="J23" i="26" s="1"/>
  <c r="AA28" i="27"/>
  <c r="AA28" i="26" s="1"/>
  <c r="R7" i="45" s="1"/>
  <c r="AL27" i="27"/>
  <c r="AL27" i="26" s="1"/>
  <c r="AC6" i="45" s="1"/>
  <c r="H27" i="27"/>
  <c r="H27" i="26" s="1"/>
  <c r="T26" i="27"/>
  <c r="T26" i="26" s="1"/>
  <c r="K5" i="45" s="1"/>
  <c r="AE25" i="27"/>
  <c r="AE25" i="26" s="1"/>
  <c r="V4" i="45" s="1"/>
  <c r="AU24" i="27"/>
  <c r="AU24" i="26" s="1"/>
  <c r="AL3" i="45" s="1"/>
  <c r="O24" i="27"/>
  <c r="O24" i="26" s="1"/>
  <c r="F3" i="45" s="1"/>
  <c r="AG23" i="27"/>
  <c r="AG23" i="26" s="1"/>
  <c r="X2" i="45" s="1"/>
  <c r="AC28" i="27"/>
  <c r="AC28" i="26" s="1"/>
  <c r="T7" i="45" s="1"/>
  <c r="AN27" i="27"/>
  <c r="AN27" i="26" s="1"/>
  <c r="AE6" i="45" s="1"/>
  <c r="G27" i="27"/>
  <c r="G27" i="26" s="1"/>
  <c r="V26" i="27"/>
  <c r="V26" i="26" s="1"/>
  <c r="M5" i="45" s="1"/>
  <c r="AG25" i="27"/>
  <c r="AG25" i="26" s="1"/>
  <c r="X4" i="45" s="1"/>
  <c r="AO24" i="27"/>
  <c r="AO24" i="26" s="1"/>
  <c r="AF3" i="45" s="1"/>
  <c r="I24" i="27"/>
  <c r="I24" i="26" s="1"/>
  <c r="V23" i="27"/>
  <c r="V23" i="26" s="1"/>
  <c r="M2" i="45" s="1"/>
  <c r="K23" i="27"/>
  <c r="K23" i="26" s="1"/>
  <c r="B2" i="45" s="1"/>
  <c r="AA23" i="27"/>
  <c r="AA23" i="26" s="1"/>
  <c r="R2" i="45" s="1"/>
  <c r="AQ23" i="27"/>
  <c r="AQ23" i="26" s="1"/>
  <c r="AH2" i="45" s="1"/>
  <c r="C25" i="27"/>
  <c r="C25" i="26" s="1"/>
  <c r="P25" i="27"/>
  <c r="P25" i="26" s="1"/>
  <c r="G4" i="45" s="1"/>
  <c r="X25" i="27"/>
  <c r="X25" i="26" s="1"/>
  <c r="O4" i="45" s="1"/>
  <c r="AF25" i="27"/>
  <c r="AF25" i="26" s="1"/>
  <c r="W4" i="45" s="1"/>
  <c r="AN25" i="27"/>
  <c r="AN25" i="26" s="1"/>
  <c r="AE4" i="45" s="1"/>
  <c r="D26" i="27"/>
  <c r="D26" i="26" s="1"/>
  <c r="I27" i="27"/>
  <c r="I27" i="26" s="1"/>
  <c r="S27" i="27"/>
  <c r="S27" i="26" s="1"/>
  <c r="J6" i="45" s="1"/>
  <c r="AA27" i="27"/>
  <c r="AA27" i="26" s="1"/>
  <c r="R6" i="45" s="1"/>
  <c r="AI27" i="27"/>
  <c r="AI27" i="26" s="1"/>
  <c r="Z6" i="45" s="1"/>
  <c r="AQ27" i="27"/>
  <c r="AQ27" i="26" s="1"/>
  <c r="AH6" i="45" s="1"/>
  <c r="J28" i="27"/>
  <c r="J28" i="26" s="1"/>
  <c r="P23" i="27"/>
  <c r="P23" i="26" s="1"/>
  <c r="G2" i="45" s="1"/>
  <c r="AF23" i="27"/>
  <c r="AF23" i="26" s="1"/>
  <c r="W2" i="45" s="1"/>
  <c r="C24" i="27"/>
  <c r="C24" i="26" s="1"/>
  <c r="P24" i="27"/>
  <c r="P24" i="26" s="1"/>
  <c r="G3" i="45" s="1"/>
  <c r="X24" i="27"/>
  <c r="X24" i="26" s="1"/>
  <c r="O3" i="45" s="1"/>
  <c r="AF24" i="27"/>
  <c r="AF24" i="26" s="1"/>
  <c r="W3" i="45" s="1"/>
  <c r="AN24" i="27"/>
  <c r="AN24" i="26" s="1"/>
  <c r="AE3" i="45" s="1"/>
  <c r="D25" i="27"/>
  <c r="D25" i="26" s="1"/>
  <c r="I26" i="27"/>
  <c r="I26" i="26" s="1"/>
  <c r="S26" i="27"/>
  <c r="S26" i="26" s="1"/>
  <c r="J5" i="45" s="1"/>
  <c r="AA26" i="27"/>
  <c r="AA26" i="26" s="1"/>
  <c r="R5" i="45" s="1"/>
  <c r="AI26" i="27"/>
  <c r="AI26" i="26" s="1"/>
  <c r="Z5" i="45" s="1"/>
  <c r="AQ26" i="27"/>
  <c r="AQ26" i="26" s="1"/>
  <c r="AH5" i="45" s="1"/>
  <c r="J27" i="27"/>
  <c r="J27" i="26" s="1"/>
  <c r="N28" i="27"/>
  <c r="N28" i="26" s="1"/>
  <c r="E7" i="45" s="1"/>
  <c r="V28" i="27"/>
  <c r="V28" i="26" s="1"/>
  <c r="M7" i="45" s="1"/>
  <c r="AD28" i="27"/>
  <c r="AD28" i="26" s="1"/>
  <c r="U7" i="45" s="1"/>
  <c r="AL28" i="27"/>
  <c r="AL28" i="26" s="1"/>
  <c r="AC7" i="45" s="1"/>
  <c r="AT28" i="27"/>
  <c r="AT28" i="26" s="1"/>
  <c r="AK7" i="45" s="1"/>
  <c r="AM28" i="27"/>
  <c r="AM28" i="26" s="1"/>
  <c r="AD7" i="45" s="1"/>
  <c r="L28" i="27"/>
  <c r="L28" i="26" s="1"/>
  <c r="C7" i="45" s="1"/>
  <c r="Z27" i="27"/>
  <c r="Z27" i="26" s="1"/>
  <c r="Q6" i="45" s="1"/>
  <c r="AN26" i="27"/>
  <c r="AN26" i="26" s="1"/>
  <c r="AE5" i="45" s="1"/>
  <c r="F26" i="27"/>
  <c r="F26" i="26" s="1"/>
  <c r="S25" i="27"/>
  <c r="S25" i="26" s="1"/>
  <c r="J4" i="45" s="1"/>
  <c r="AA24" i="27"/>
  <c r="AA24" i="26" s="1"/>
  <c r="R3" i="45" s="1"/>
  <c r="AK23" i="27"/>
  <c r="AK23" i="26" s="1"/>
  <c r="AB2" i="45" s="1"/>
  <c r="E23" i="27"/>
  <c r="E23" i="26" s="1"/>
  <c r="Y28" i="27"/>
  <c r="Y28" i="26" s="1"/>
  <c r="P7" i="45" s="1"/>
  <c r="AJ27" i="27"/>
  <c r="AJ27" i="26" s="1"/>
  <c r="AA6" i="45" s="1"/>
  <c r="C27" i="27"/>
  <c r="C27" i="26" s="1"/>
  <c r="R26" i="27"/>
  <c r="R26" i="26" s="1"/>
  <c r="I5" i="45" s="1"/>
  <c r="AK25" i="27"/>
  <c r="AK25" i="26" s="1"/>
  <c r="AB4" i="45" s="1"/>
  <c r="E25" i="27"/>
  <c r="E25" i="26" s="1"/>
  <c r="U24" i="27"/>
  <c r="U24" i="26" s="1"/>
  <c r="L3" i="45" s="1"/>
  <c r="AH23" i="27"/>
  <c r="AH23" i="26" s="1"/>
  <c r="Y2" i="45" s="1"/>
  <c r="S28" i="27"/>
  <c r="S28" i="26" s="1"/>
  <c r="J7" i="45" s="1"/>
  <c r="AD27" i="27"/>
  <c r="AD27" i="26" s="1"/>
  <c r="U6" i="45" s="1"/>
  <c r="AR26" i="27"/>
  <c r="AR26" i="26" s="1"/>
  <c r="AI5" i="45" s="1"/>
  <c r="J26" i="27"/>
  <c r="J26" i="26" s="1"/>
  <c r="W25" i="27"/>
  <c r="W25" i="26" s="1"/>
  <c r="N4" i="45" s="1"/>
  <c r="AM24" i="27"/>
  <c r="AM24" i="26" s="1"/>
  <c r="AD3" i="45" s="1"/>
  <c r="L24" i="27"/>
  <c r="L24" i="26" s="1"/>
  <c r="C3" i="45" s="1"/>
  <c r="Y23" i="27"/>
  <c r="Y23" i="26" s="1"/>
  <c r="P2" i="45" s="1"/>
  <c r="AF27" i="27"/>
  <c r="AF27" i="26" s="1"/>
  <c r="W6" i="45" s="1"/>
  <c r="AC23" i="27"/>
  <c r="AC23" i="26" s="1"/>
  <c r="T2" i="45" s="1"/>
  <c r="F25" i="27"/>
  <c r="F25" i="26" s="1"/>
  <c r="AF26" i="27"/>
  <c r="AF26" i="26" s="1"/>
  <c r="W5" i="45" s="1"/>
  <c r="D28" i="27"/>
  <c r="D28" i="26" s="1"/>
  <c r="AF28" i="27"/>
  <c r="AF28" i="26" s="1"/>
  <c r="W7" i="45" s="1"/>
  <c r="P28" i="27"/>
  <c r="P28" i="26" s="1"/>
  <c r="G7" i="45" s="1"/>
  <c r="AS26" i="27"/>
  <c r="AS26" i="26" s="1"/>
  <c r="AJ5" i="45" s="1"/>
  <c r="AC26" i="27"/>
  <c r="AC26" i="26" s="1"/>
  <c r="T5" i="45" s="1"/>
  <c r="M26" i="27"/>
  <c r="M26" i="26" s="1"/>
  <c r="D5" i="45" s="1"/>
  <c r="AP24" i="27"/>
  <c r="AP24" i="26" s="1"/>
  <c r="AG3" i="45" s="1"/>
  <c r="Z24" i="27"/>
  <c r="Z24" i="26" s="1"/>
  <c r="Q3" i="45" s="1"/>
  <c r="G24" i="27"/>
  <c r="G24" i="26" s="1"/>
  <c r="T23" i="27"/>
  <c r="T23" i="26" s="1"/>
  <c r="K2" i="45" s="1"/>
  <c r="AS27" i="27"/>
  <c r="AS27" i="26" s="1"/>
  <c r="AJ6" i="45" s="1"/>
  <c r="AC27" i="27"/>
  <c r="AC27" i="26" s="1"/>
  <c r="T6" i="45" s="1"/>
  <c r="M27" i="27"/>
  <c r="M27" i="26" s="1"/>
  <c r="D6" i="45" s="1"/>
  <c r="AP25" i="27"/>
  <c r="AP25" i="26" s="1"/>
  <c r="AG4" i="45" s="1"/>
  <c r="Z25" i="27"/>
  <c r="Z25" i="26" s="1"/>
  <c r="Q4" i="45" s="1"/>
  <c r="G25" i="27"/>
  <c r="G25" i="26" s="1"/>
  <c r="AE23" i="27"/>
  <c r="AE23" i="26" s="1"/>
  <c r="V2" i="45" s="1"/>
  <c r="N23" i="27"/>
  <c r="N23" i="26" s="1"/>
  <c r="E2" i="45" s="1"/>
  <c r="AG24" i="27"/>
  <c r="AG24" i="26" s="1"/>
  <c r="X3" i="45" s="1"/>
  <c r="N26" i="27"/>
  <c r="N26" i="26" s="1"/>
  <c r="E5" i="45" s="1"/>
  <c r="M28" i="27"/>
  <c r="M28" i="26" s="1"/>
  <c r="D7" i="45" s="1"/>
  <c r="O25" i="27"/>
  <c r="O25" i="26" s="1"/>
  <c r="F4" i="45" s="1"/>
  <c r="H28" i="27"/>
  <c r="H28" i="26" s="1"/>
  <c r="M24" i="27"/>
  <c r="M24" i="26" s="1"/>
  <c r="D3" i="45" s="1"/>
  <c r="AP26" i="27"/>
  <c r="AP26" i="26" s="1"/>
  <c r="AG5" i="45" s="1"/>
  <c r="X27" i="27"/>
  <c r="X27" i="26" s="1"/>
  <c r="O6" i="45" s="1"/>
  <c r="V27" i="27"/>
  <c r="V27" i="26" s="1"/>
  <c r="M6" i="45" s="1"/>
  <c r="K26" i="27"/>
  <c r="K26" i="26" s="1"/>
  <c r="B5" i="45" s="1"/>
  <c r="H24" i="27"/>
  <c r="H24" i="26" s="1"/>
  <c r="AI25" i="27"/>
  <c r="AI25" i="26" s="1"/>
  <c r="Z4" i="45" s="1"/>
  <c r="L27" i="27"/>
  <c r="L27" i="26" s="1"/>
  <c r="C6" i="45" s="1"/>
  <c r="W28" i="27"/>
  <c r="W28" i="26" s="1"/>
  <c r="N7" i="45" s="1"/>
  <c r="AP28" i="27"/>
  <c r="AP28" i="26" s="1"/>
  <c r="AG7" i="45" s="1"/>
  <c r="Z28" i="27"/>
  <c r="Z28" i="26" s="1"/>
  <c r="Q7" i="45" s="1"/>
  <c r="G28" i="27"/>
  <c r="G28" i="26" s="1"/>
  <c r="AM26" i="27"/>
  <c r="AM26" i="26" s="1"/>
  <c r="AD5" i="45" s="1"/>
  <c r="W26" i="27"/>
  <c r="W26" i="26" s="1"/>
  <c r="N5" i="45" s="1"/>
  <c r="L25" i="27"/>
  <c r="L25" i="26" s="1"/>
  <c r="C4" i="45" s="1"/>
  <c r="AJ24" i="27"/>
  <c r="AJ24" i="26" s="1"/>
  <c r="AA3" i="45" s="1"/>
  <c r="T24" i="27"/>
  <c r="T24" i="26" s="1"/>
  <c r="K3" i="45" s="1"/>
  <c r="AN23" i="27"/>
  <c r="AN23" i="26" s="1"/>
  <c r="AE2" i="45" s="1"/>
  <c r="H23" i="27"/>
  <c r="H23" i="26" s="1"/>
  <c r="AM27" i="27"/>
  <c r="AM27" i="26" s="1"/>
  <c r="AD6" i="45" s="1"/>
  <c r="W27" i="27"/>
  <c r="W27" i="26" s="1"/>
  <c r="N6" i="45" s="1"/>
  <c r="L26" i="27"/>
  <c r="L26" i="26" s="1"/>
  <c r="C5" i="45" s="1"/>
  <c r="AJ25" i="27"/>
  <c r="AJ25" i="26" s="1"/>
  <c r="AA4" i="45" s="1"/>
  <c r="T25" i="27"/>
  <c r="T25" i="26" s="1"/>
  <c r="K4" i="45" s="1"/>
  <c r="F24" i="27"/>
  <c r="F24" i="26" s="1"/>
  <c r="S23" i="27"/>
  <c r="S23" i="26" s="1"/>
  <c r="J2" i="45" s="1"/>
  <c r="AL23" i="27"/>
  <c r="AL23" i="26" s="1"/>
  <c r="AC2" i="45" s="1"/>
  <c r="Q25" i="27"/>
  <c r="Q25" i="26" s="1"/>
  <c r="H4" i="45" s="1"/>
  <c r="AL26" i="27"/>
  <c r="AL26" i="26" s="1"/>
  <c r="AC5" i="45" s="1"/>
  <c r="U28" i="27"/>
  <c r="U28" i="26" s="1"/>
  <c r="L7" i="45" s="1"/>
  <c r="Q23" i="27"/>
  <c r="Q23" i="26" s="1"/>
  <c r="H2" i="45" s="1"/>
  <c r="AU25" i="27"/>
  <c r="AU25" i="26" s="1"/>
  <c r="AL4" i="45" s="1"/>
  <c r="AQ28" i="27"/>
  <c r="AQ28" i="26" s="1"/>
  <c r="AH7" i="45" s="1"/>
  <c r="AS24" i="27"/>
  <c r="AS24" i="26" s="1"/>
  <c r="AJ3" i="45" s="1"/>
  <c r="AB27" i="27"/>
  <c r="AB27" i="26" s="1"/>
  <c r="S6" i="45" s="1"/>
  <c r="S24" i="27"/>
  <c r="S24" i="26" s="1"/>
  <c r="J3" i="45" s="1"/>
  <c r="AQ25" i="27"/>
  <c r="AQ25" i="26" s="1"/>
  <c r="AH4" i="45" s="1"/>
  <c r="R27" i="27"/>
  <c r="R27" i="26" s="1"/>
  <c r="I6" i="45" s="1"/>
  <c r="AE28" i="27"/>
  <c r="AE28" i="26" s="1"/>
  <c r="V7" i="45" s="1"/>
  <c r="AN28" i="27"/>
  <c r="AN28" i="26" s="1"/>
  <c r="AE7" i="45" s="1"/>
  <c r="X28" i="27"/>
  <c r="X28" i="26" s="1"/>
  <c r="O7" i="45" s="1"/>
  <c r="C28" i="27"/>
  <c r="C28" i="26" s="1"/>
  <c r="AK26" i="27"/>
  <c r="AK26" i="26" s="1"/>
  <c r="AB5" i="45" s="1"/>
  <c r="U26" i="27"/>
  <c r="U26" i="26" s="1"/>
  <c r="L5" i="45" s="1"/>
  <c r="H25" i="27"/>
  <c r="H25" i="26" s="1"/>
  <c r="AH24" i="27"/>
  <c r="AH24" i="26" s="1"/>
  <c r="Y3" i="45" s="1"/>
  <c r="R24" i="27"/>
  <c r="R24" i="26" s="1"/>
  <c r="I3" i="45" s="1"/>
  <c r="AJ23" i="27"/>
  <c r="AJ23" i="26" s="1"/>
  <c r="AA2" i="45" s="1"/>
  <c r="D23" i="27"/>
  <c r="D23" i="26" s="1"/>
  <c r="AK27" i="27"/>
  <c r="AK27" i="26" s="1"/>
  <c r="AB6" i="45" s="1"/>
  <c r="U27" i="27"/>
  <c r="U27" i="26" s="1"/>
  <c r="L6" i="45" s="1"/>
  <c r="H26" i="27"/>
  <c r="H26" i="26" s="1"/>
  <c r="AH25" i="27"/>
  <c r="AH25" i="26" s="1"/>
  <c r="Y4" i="45" s="1"/>
  <c r="R25" i="27"/>
  <c r="R25" i="26" s="1"/>
  <c r="I4" i="45" s="1"/>
  <c r="AU23" i="27"/>
  <c r="AU23" i="26" s="1"/>
  <c r="AL2" i="45" s="1"/>
  <c r="O23" i="27"/>
  <c r="O23" i="26" s="1"/>
  <c r="F2" i="45" s="1"/>
  <c r="AT23" i="27"/>
  <c r="AT23" i="26" s="1"/>
  <c r="AK2" i="45" s="1"/>
  <c r="Y25" i="27"/>
  <c r="Y25" i="26" s="1"/>
  <c r="P4" i="45" s="1"/>
  <c r="AT26" i="27"/>
  <c r="AT26" i="26" s="1"/>
  <c r="AK5" i="45" s="1"/>
  <c r="AS28" i="27"/>
  <c r="AS28" i="26" s="1"/>
  <c r="AJ7" i="45" s="1"/>
  <c r="D24" i="27"/>
  <c r="D24" i="26" s="1"/>
  <c r="AJ26" i="27"/>
  <c r="AJ26" i="26" s="1"/>
  <c r="AA5" i="45" s="1"/>
  <c r="AC25" i="27"/>
  <c r="AC25" i="26" s="1"/>
  <c r="T4" i="45" s="1"/>
  <c r="Q28" i="27"/>
  <c r="Q28" i="26" s="1"/>
  <c r="H7" i="45" s="1"/>
  <c r="O10" i="22"/>
  <c r="O11" i="22"/>
  <c r="O14" i="22"/>
  <c r="O12" i="22"/>
  <c r="O13" i="22"/>
  <c r="M10" i="22"/>
  <c r="M12" i="22"/>
  <c r="M11" i="22"/>
  <c r="M14" i="22"/>
  <c r="M13" i="22"/>
  <c r="P23" i="22"/>
  <c r="Q22" i="22"/>
  <c r="C137" i="20"/>
  <c r="S137" i="20"/>
  <c r="C145" i="20"/>
  <c r="S145" i="20"/>
  <c r="C153" i="20"/>
  <c r="S153" i="20"/>
  <c r="C163" i="20"/>
  <c r="S163" i="20"/>
  <c r="C136" i="20"/>
  <c r="S136" i="20"/>
  <c r="C144" i="20"/>
  <c r="S144" i="20"/>
  <c r="C152" i="20"/>
  <c r="S152" i="20"/>
  <c r="C158" i="20"/>
  <c r="S158" i="20"/>
  <c r="C160" i="20"/>
  <c r="S160" i="20"/>
  <c r="C135" i="20"/>
  <c r="S135" i="20"/>
  <c r="C143" i="20"/>
  <c r="S143" i="20"/>
  <c r="C151" i="20"/>
  <c r="S151" i="20"/>
  <c r="C161" i="20"/>
  <c r="S161" i="20"/>
  <c r="C134" i="20"/>
  <c r="S134" i="20"/>
  <c r="C142" i="20"/>
  <c r="S142" i="20"/>
  <c r="C150" i="20"/>
  <c r="S150" i="20"/>
  <c r="C133" i="20"/>
  <c r="S133" i="20"/>
  <c r="C141" i="20"/>
  <c r="S141" i="20"/>
  <c r="C149" i="20"/>
  <c r="S149" i="20"/>
  <c r="C159" i="20"/>
  <c r="S159" i="20"/>
  <c r="C131" i="20"/>
  <c r="S131" i="20"/>
  <c r="C132" i="20"/>
  <c r="S132" i="20"/>
  <c r="C140" i="20"/>
  <c r="S140" i="20"/>
  <c r="C148" i="20"/>
  <c r="S148" i="20"/>
  <c r="C156" i="20"/>
  <c r="S156" i="20"/>
  <c r="C162" i="20"/>
  <c r="S162" i="20"/>
  <c r="C164" i="20"/>
  <c r="S164" i="20"/>
  <c r="C139" i="20"/>
  <c r="S139" i="20"/>
  <c r="C147" i="20"/>
  <c r="S147" i="20"/>
  <c r="C155" i="20"/>
  <c r="S155" i="20"/>
  <c r="C157" i="20"/>
  <c r="S157" i="20"/>
  <c r="C138" i="20"/>
  <c r="S138" i="20"/>
  <c r="C146" i="20"/>
  <c r="S146" i="20"/>
  <c r="C154" i="20"/>
  <c r="S154" i="20"/>
  <c r="G31" i="20"/>
  <c r="AC31" i="20" s="1"/>
  <c r="AF23" i="23" s="1"/>
  <c r="C30" i="20"/>
  <c r="Y30" i="20" s="1"/>
  <c r="L22" i="23" s="1"/>
  <c r="J28" i="20"/>
  <c r="J29" i="20"/>
  <c r="AF21" i="23"/>
  <c r="AF22" i="23"/>
  <c r="AP21" i="23"/>
  <c r="AI17" i="23"/>
  <c r="T36" i="20" l="1"/>
  <c r="S35" i="20"/>
  <c r="AE35" i="20"/>
  <c r="Z24" i="14"/>
  <c r="Y23" i="14"/>
  <c r="AL23" i="14" s="1"/>
  <c r="U34" i="20"/>
  <c r="AD34" i="20"/>
  <c r="AN22" i="14"/>
  <c r="C26" i="10"/>
  <c r="AQ49" i="22"/>
  <c r="AS49" i="22" s="1"/>
  <c r="AG18" i="53"/>
  <c r="AI18" i="53" s="1"/>
  <c r="AQ18" i="53"/>
  <c r="AS18" i="53" s="1"/>
  <c r="M18" i="53"/>
  <c r="S21" i="10"/>
  <c r="N25" i="10"/>
  <c r="L25" i="10"/>
  <c r="C25" i="22"/>
  <c r="E25" i="22" s="1"/>
  <c r="N17" i="53"/>
  <c r="D17" i="53"/>
  <c r="C17" i="53"/>
  <c r="E17" i="53" s="1"/>
  <c r="AR17" i="53"/>
  <c r="AH17" i="53"/>
  <c r="AR18" i="53"/>
  <c r="AH18" i="53"/>
  <c r="N18" i="53"/>
  <c r="C18" i="53"/>
  <c r="E18" i="53" s="1"/>
  <c r="D18" i="53"/>
  <c r="AH16" i="53"/>
  <c r="D16" i="53"/>
  <c r="N16" i="53"/>
  <c r="AR16" i="53"/>
  <c r="C16" i="53"/>
  <c r="H18" i="10"/>
  <c r="C20" i="23"/>
  <c r="E20" i="23" s="1"/>
  <c r="AH20" i="23"/>
  <c r="U98" i="20"/>
  <c r="AF97" i="20"/>
  <c r="J97" i="20"/>
  <c r="C98" i="20"/>
  <c r="Y98" i="20" s="1"/>
  <c r="L35" i="53" s="1"/>
  <c r="I19" i="10"/>
  <c r="C41" i="27" a="1"/>
  <c r="I46" i="27" s="1"/>
  <c r="I46" i="26" s="1"/>
  <c r="C5" i="27" a="1"/>
  <c r="AT6" i="27" s="1"/>
  <c r="AT6" i="26" s="1"/>
  <c r="AK3" i="47" s="1"/>
  <c r="C32" i="27" a="1"/>
  <c r="AL32" i="27" s="1"/>
  <c r="AL32" i="26" s="1"/>
  <c r="AC2" i="48" s="1"/>
  <c r="AS22" i="23"/>
  <c r="J21" i="10"/>
  <c r="AQ23" i="23" s="1"/>
  <c r="K20" i="10"/>
  <c r="AG22" i="23" s="1"/>
  <c r="AI22" i="23" s="1"/>
  <c r="J26" i="25"/>
  <c r="I5" i="35" s="1"/>
  <c r="C26" i="25"/>
  <c r="P25" i="25"/>
  <c r="O4" i="35" s="1"/>
  <c r="X28" i="25"/>
  <c r="W7" i="35" s="1"/>
  <c r="F25" i="25"/>
  <c r="E4" i="35" s="1"/>
  <c r="R28" i="25"/>
  <c r="Q7" i="35" s="1"/>
  <c r="AJ27" i="25"/>
  <c r="AI6" i="35" s="1"/>
  <c r="AD28" i="25"/>
  <c r="AC7" i="35" s="1"/>
  <c r="P27" i="25"/>
  <c r="O6" i="35" s="1"/>
  <c r="AD27" i="25"/>
  <c r="AC6" i="35" s="1"/>
  <c r="D27" i="25"/>
  <c r="C6" i="35" s="1"/>
  <c r="AP27" i="25"/>
  <c r="AR28" i="25"/>
  <c r="X27" i="25"/>
  <c r="W6" i="35" s="1"/>
  <c r="AN27" i="25"/>
  <c r="AP26" i="25"/>
  <c r="J27" i="25"/>
  <c r="I6" i="35" s="1"/>
  <c r="Q23" i="22"/>
  <c r="P24" i="22"/>
  <c r="H138" i="20"/>
  <c r="AD138" i="20" s="1"/>
  <c r="Y138" i="20"/>
  <c r="H155" i="20"/>
  <c r="AD155" i="20" s="1"/>
  <c r="Y155" i="20"/>
  <c r="H139" i="20"/>
  <c r="AD139" i="20" s="1"/>
  <c r="Y139" i="20"/>
  <c r="H162" i="20"/>
  <c r="AD162" i="20" s="1"/>
  <c r="Y162" i="20"/>
  <c r="Y148" i="20"/>
  <c r="H148" i="20"/>
  <c r="AD148" i="20" s="1"/>
  <c r="Y132" i="20"/>
  <c r="H132" i="20"/>
  <c r="AD132" i="20" s="1"/>
  <c r="I132" i="20"/>
  <c r="H149" i="20"/>
  <c r="AD149" i="20" s="1"/>
  <c r="Y149" i="20"/>
  <c r="H133" i="20"/>
  <c r="AD133" i="20" s="1"/>
  <c r="Y133" i="20"/>
  <c r="H142" i="20"/>
  <c r="AD142" i="20" s="1"/>
  <c r="Y142" i="20"/>
  <c r="H161" i="20"/>
  <c r="AD161" i="20" s="1"/>
  <c r="Y161" i="20"/>
  <c r="H143" i="20"/>
  <c r="AD143" i="20" s="1"/>
  <c r="Y143" i="20"/>
  <c r="H158" i="20"/>
  <c r="AD158" i="20" s="1"/>
  <c r="Y158" i="20"/>
  <c r="Y144" i="20"/>
  <c r="H144" i="20"/>
  <c r="AD144" i="20" s="1"/>
  <c r="Y163" i="20"/>
  <c r="H163" i="20"/>
  <c r="AD163" i="20" s="1"/>
  <c r="H145" i="20"/>
  <c r="AD145" i="20" s="1"/>
  <c r="Y145" i="20"/>
  <c r="H146" i="20"/>
  <c r="AD146" i="20" s="1"/>
  <c r="Y146" i="20"/>
  <c r="H157" i="20"/>
  <c r="AD157" i="20" s="1"/>
  <c r="Y157" i="20"/>
  <c r="H147" i="20"/>
  <c r="AD147" i="20" s="1"/>
  <c r="Y147" i="20"/>
  <c r="H164" i="20"/>
  <c r="AD164" i="20" s="1"/>
  <c r="Y164" i="20"/>
  <c r="Y156" i="20"/>
  <c r="H156" i="20"/>
  <c r="AD156" i="20" s="1"/>
  <c r="Y140" i="20"/>
  <c r="H140" i="20"/>
  <c r="AD140" i="20" s="1"/>
  <c r="H131" i="20"/>
  <c r="AD131" i="20" s="1"/>
  <c r="Y131" i="20"/>
  <c r="Y159" i="20"/>
  <c r="H159" i="20"/>
  <c r="AD159" i="20" s="1"/>
  <c r="H141" i="20"/>
  <c r="AD141" i="20" s="1"/>
  <c r="Y141" i="20"/>
  <c r="H150" i="20"/>
  <c r="AD150" i="20" s="1"/>
  <c r="Y150" i="20"/>
  <c r="H154" i="20"/>
  <c r="AD154" i="20" s="1"/>
  <c r="Y154" i="20"/>
  <c r="H134" i="20"/>
  <c r="AD134" i="20" s="1"/>
  <c r="Y134" i="20"/>
  <c r="H151" i="20"/>
  <c r="AD151" i="20" s="1"/>
  <c r="Y151" i="20"/>
  <c r="H135" i="20"/>
  <c r="AD135" i="20" s="1"/>
  <c r="Y135" i="20"/>
  <c r="Y160" i="20"/>
  <c r="H160" i="20"/>
  <c r="AD160" i="20" s="1"/>
  <c r="Y152" i="20"/>
  <c r="H152" i="20"/>
  <c r="AD152" i="20" s="1"/>
  <c r="I152" i="20"/>
  <c r="Y136" i="20"/>
  <c r="H136" i="20"/>
  <c r="AD136" i="20" s="1"/>
  <c r="H153" i="20"/>
  <c r="AD153" i="20" s="1"/>
  <c r="Y153" i="20"/>
  <c r="H137" i="20"/>
  <c r="AD137" i="20" s="1"/>
  <c r="Y137" i="20"/>
  <c r="AP22" i="23"/>
  <c r="AF29" i="20"/>
  <c r="J30" i="20"/>
  <c r="C31" i="20"/>
  <c r="Y31" i="20" s="1"/>
  <c r="L23" i="23" s="1"/>
  <c r="G32" i="20"/>
  <c r="AC32" i="20" s="1"/>
  <c r="AF24" i="23" s="1"/>
  <c r="L20" i="23"/>
  <c r="AF28" i="20"/>
  <c r="AF30" i="20"/>
  <c r="Z25" i="14" l="1"/>
  <c r="Y24" i="14"/>
  <c r="AL24" i="14" s="1"/>
  <c r="AG19" i="53"/>
  <c r="AI19" i="53" s="1"/>
  <c r="M19" i="53"/>
  <c r="AQ19" i="53"/>
  <c r="AS19" i="53" s="1"/>
  <c r="S22" i="10"/>
  <c r="T21" i="10"/>
  <c r="R21" i="10" s="1"/>
  <c r="Q21" i="10" s="1"/>
  <c r="U35" i="20"/>
  <c r="AD35" i="20"/>
  <c r="B27" i="23"/>
  <c r="N26" i="10"/>
  <c r="L26" i="10"/>
  <c r="C27" i="10"/>
  <c r="AN23" i="14"/>
  <c r="T37" i="20"/>
  <c r="S36" i="20"/>
  <c r="AE36" i="20"/>
  <c r="N20" i="23"/>
  <c r="AR20" i="23"/>
  <c r="E16" i="53"/>
  <c r="H19" i="10"/>
  <c r="C21" i="23"/>
  <c r="E21" i="23" s="1"/>
  <c r="AH21" i="23"/>
  <c r="D20" i="23"/>
  <c r="U99" i="20"/>
  <c r="J98" i="20"/>
  <c r="AF98" i="20"/>
  <c r="C99" i="20"/>
  <c r="Y99" i="20" s="1"/>
  <c r="L36" i="53" s="1"/>
  <c r="I161" i="20"/>
  <c r="I139" i="20"/>
  <c r="I164" i="20"/>
  <c r="I137" i="20"/>
  <c r="I154" i="20"/>
  <c r="I143" i="20"/>
  <c r="I136" i="20"/>
  <c r="I134" i="20"/>
  <c r="I147" i="20"/>
  <c r="AT42" i="27"/>
  <c r="AT42" i="26" s="1"/>
  <c r="AK3" i="49" s="1"/>
  <c r="AC42" i="27"/>
  <c r="I155" i="20"/>
  <c r="I131" i="20"/>
  <c r="I163" i="20"/>
  <c r="I159" i="20"/>
  <c r="I145" i="20"/>
  <c r="I149" i="20"/>
  <c r="AM42" i="27"/>
  <c r="AL42" i="27"/>
  <c r="AL42" i="26" s="1"/>
  <c r="AC3" i="49" s="1"/>
  <c r="AL43" i="27"/>
  <c r="V43" i="27"/>
  <c r="V43" i="26" s="1"/>
  <c r="M4" i="49" s="1"/>
  <c r="Q43" i="27"/>
  <c r="Q43" i="26" s="1"/>
  <c r="H4" i="49" s="1"/>
  <c r="T41" i="27"/>
  <c r="T41" i="26" s="1"/>
  <c r="K2" i="49" s="1"/>
  <c r="J41" i="27"/>
  <c r="J41" i="26" s="1"/>
  <c r="X43" i="27"/>
  <c r="AD43" i="27"/>
  <c r="AD43" i="26" s="1"/>
  <c r="U4" i="49" s="1"/>
  <c r="M44" i="27"/>
  <c r="M44" i="26" s="1"/>
  <c r="D5" i="49" s="1"/>
  <c r="AQ42" i="27"/>
  <c r="AQ42" i="26" s="1"/>
  <c r="AH3" i="49" s="1"/>
  <c r="Z43" i="27"/>
  <c r="Z43" i="26" s="1"/>
  <c r="Q4" i="49" s="1"/>
  <c r="AA46" i="27"/>
  <c r="AA46" i="26" s="1"/>
  <c r="R7" i="49" s="1"/>
  <c r="G46" i="27"/>
  <c r="G46" i="26" s="1"/>
  <c r="AR45" i="27"/>
  <c r="AR45" i="26" s="1"/>
  <c r="AI6" i="49" s="1"/>
  <c r="AG46" i="27"/>
  <c r="AG46" i="26" s="1"/>
  <c r="X7" i="49" s="1"/>
  <c r="K45" i="27"/>
  <c r="K45" i="26" s="1"/>
  <c r="B6" i="49" s="1"/>
  <c r="V45" i="27"/>
  <c r="V45" i="26" s="1"/>
  <c r="M6" i="49" s="1"/>
  <c r="W46" i="27"/>
  <c r="W46" i="26" s="1"/>
  <c r="N7" i="49" s="1"/>
  <c r="AJ45" i="27"/>
  <c r="AJ45" i="26" s="1"/>
  <c r="AA6" i="49" s="1"/>
  <c r="Z45" i="27"/>
  <c r="Z45" i="26" s="1"/>
  <c r="Q6" i="49" s="1"/>
  <c r="AQ41" i="27"/>
  <c r="AQ41" i="26" s="1"/>
  <c r="AH2" i="49" s="1"/>
  <c r="W43" i="27"/>
  <c r="W43" i="26" s="1"/>
  <c r="N4" i="49" s="1"/>
  <c r="AH44" i="27"/>
  <c r="AH44" i="26" s="1"/>
  <c r="Y5" i="49" s="1"/>
  <c r="E42" i="27"/>
  <c r="E42" i="26" s="1"/>
  <c r="AG44" i="27"/>
  <c r="AG44" i="26" s="1"/>
  <c r="X5" i="49" s="1"/>
  <c r="AE43" i="27"/>
  <c r="AE43" i="26" s="1"/>
  <c r="V4" i="49" s="1"/>
  <c r="D45" i="27"/>
  <c r="D45" i="26" s="1"/>
  <c r="AB43" i="27"/>
  <c r="AB43" i="26" s="1"/>
  <c r="S4" i="49" s="1"/>
  <c r="AB41" i="27"/>
  <c r="AB41" i="26" s="1"/>
  <c r="S2" i="49" s="1"/>
  <c r="AE46" i="27"/>
  <c r="AE46" i="26" s="1"/>
  <c r="V7" i="49" s="1"/>
  <c r="V46" i="27"/>
  <c r="V46" i="26" s="1"/>
  <c r="M7" i="49" s="1"/>
  <c r="Q46" i="27"/>
  <c r="Q46" i="26" s="1"/>
  <c r="H7" i="49" s="1"/>
  <c r="AR42" i="27"/>
  <c r="AR42" i="26" s="1"/>
  <c r="AI3" i="49" s="1"/>
  <c r="AI45" i="27"/>
  <c r="AI45" i="26" s="1"/>
  <c r="Z6" i="49" s="1"/>
  <c r="AM46" i="27"/>
  <c r="AM46" i="26" s="1"/>
  <c r="AD7" i="49" s="1"/>
  <c r="O45" i="27"/>
  <c r="O45" i="26" s="1"/>
  <c r="F6" i="49" s="1"/>
  <c r="L42" i="27"/>
  <c r="L42" i="26" s="1"/>
  <c r="C3" i="49" s="1"/>
  <c r="O42" i="27"/>
  <c r="O42" i="26" s="1"/>
  <c r="F3" i="49" s="1"/>
  <c r="S44" i="27"/>
  <c r="S44" i="26" s="1"/>
  <c r="J5" i="49" s="1"/>
  <c r="AT44" i="27"/>
  <c r="AT44" i="26" s="1"/>
  <c r="AK5" i="49" s="1"/>
  <c r="AQ45" i="27"/>
  <c r="AQ45" i="26" s="1"/>
  <c r="AH6" i="49" s="1"/>
  <c r="J45" i="27"/>
  <c r="J45" i="26" s="1"/>
  <c r="AC46" i="27"/>
  <c r="AC46" i="26" s="1"/>
  <c r="T7" i="49" s="1"/>
  <c r="AU41" i="27"/>
  <c r="AU41" i="26" s="1"/>
  <c r="AL2" i="49" s="1"/>
  <c r="E41" i="27"/>
  <c r="E41" i="26" s="1"/>
  <c r="P44" i="27"/>
  <c r="P44" i="26" s="1"/>
  <c r="G5" i="49" s="1"/>
  <c r="AR46" i="27"/>
  <c r="AR46" i="26" s="1"/>
  <c r="AI7" i="49" s="1"/>
  <c r="AP44" i="27"/>
  <c r="AP44" i="26" s="1"/>
  <c r="AG5" i="49" s="1"/>
  <c r="U41" i="27"/>
  <c r="U41" i="26" s="1"/>
  <c r="L2" i="49" s="1"/>
  <c r="AG45" i="27"/>
  <c r="AG45" i="26" s="1"/>
  <c r="X6" i="49" s="1"/>
  <c r="AK44" i="27"/>
  <c r="AK44" i="26" s="1"/>
  <c r="AB5" i="49" s="1"/>
  <c r="E45" i="27"/>
  <c r="E45" i="26" s="1"/>
  <c r="L41" i="27"/>
  <c r="L41" i="26" s="1"/>
  <c r="C2" i="49" s="1"/>
  <c r="AD46" i="27"/>
  <c r="AD46" i="26" s="1"/>
  <c r="U7" i="49" s="1"/>
  <c r="AT45" i="27"/>
  <c r="AT45" i="26" s="1"/>
  <c r="AK6" i="49" s="1"/>
  <c r="Z41" i="27"/>
  <c r="Z41" i="26" s="1"/>
  <c r="Q2" i="49" s="1"/>
  <c r="AK45" i="27"/>
  <c r="AK45" i="26" s="1"/>
  <c r="AB6" i="49" s="1"/>
  <c r="K41" i="27"/>
  <c r="K41" i="26" s="1"/>
  <c r="B2" i="49" s="1"/>
  <c r="O46" i="27"/>
  <c r="O46" i="26" s="1"/>
  <c r="F7" i="49" s="1"/>
  <c r="V44" i="27"/>
  <c r="V44" i="26" s="1"/>
  <c r="M5" i="49" s="1"/>
  <c r="AN45" i="27"/>
  <c r="AN45" i="26" s="1"/>
  <c r="AE6" i="49" s="1"/>
  <c r="J42" i="27"/>
  <c r="J42" i="26" s="1"/>
  <c r="J43" i="27"/>
  <c r="J43" i="26" s="1"/>
  <c r="AN42" i="27"/>
  <c r="AN42" i="26" s="1"/>
  <c r="AE3" i="49" s="1"/>
  <c r="N45" i="27"/>
  <c r="N45" i="26" s="1"/>
  <c r="E6" i="49" s="1"/>
  <c r="D46" i="27"/>
  <c r="D46" i="26" s="1"/>
  <c r="AF41" i="27"/>
  <c r="AF41" i="26" s="1"/>
  <c r="W2" i="49" s="1"/>
  <c r="Z44" i="27"/>
  <c r="Z44" i="26" s="1"/>
  <c r="Q5" i="49" s="1"/>
  <c r="U42" i="27"/>
  <c r="U42" i="26" s="1"/>
  <c r="L3" i="49" s="1"/>
  <c r="AQ43" i="27"/>
  <c r="AQ43" i="26" s="1"/>
  <c r="AH4" i="49" s="1"/>
  <c r="AS45" i="27"/>
  <c r="AS45" i="26" s="1"/>
  <c r="AJ6" i="49" s="1"/>
  <c r="AN46" i="27"/>
  <c r="AN46" i="26" s="1"/>
  <c r="AE7" i="49" s="1"/>
  <c r="AF45" i="27"/>
  <c r="AF45" i="26" s="1"/>
  <c r="W6" i="49" s="1"/>
  <c r="AA45" i="27"/>
  <c r="AA45" i="26" s="1"/>
  <c r="R6" i="49" s="1"/>
  <c r="AN41" i="27"/>
  <c r="AN41" i="26" s="1"/>
  <c r="AE2" i="49" s="1"/>
  <c r="C42" i="27"/>
  <c r="C42" i="26" s="1"/>
  <c r="AR41" i="27"/>
  <c r="AR41" i="26" s="1"/>
  <c r="AI2" i="49" s="1"/>
  <c r="L44" i="27"/>
  <c r="L44" i="26" s="1"/>
  <c r="C5" i="49" s="1"/>
  <c r="D42" i="27"/>
  <c r="D42" i="26" s="1"/>
  <c r="AG43" i="27"/>
  <c r="AG43" i="26" s="1"/>
  <c r="X4" i="49" s="1"/>
  <c r="R42" i="27"/>
  <c r="R42" i="26" s="1"/>
  <c r="I3" i="49" s="1"/>
  <c r="H44" i="27"/>
  <c r="H44" i="26" s="1"/>
  <c r="AA41" i="27"/>
  <c r="AA41" i="26" s="1"/>
  <c r="R2" i="49" s="1"/>
  <c r="P42" i="27"/>
  <c r="P42" i="26" s="1"/>
  <c r="G3" i="49" s="1"/>
  <c r="AE45" i="27"/>
  <c r="AE45" i="26" s="1"/>
  <c r="V6" i="49" s="1"/>
  <c r="H41" i="27"/>
  <c r="H41" i="26" s="1"/>
  <c r="Y9" i="27"/>
  <c r="Y9" i="26" s="1"/>
  <c r="P6" i="47" s="1"/>
  <c r="AE10" i="27"/>
  <c r="AE10" i="26" s="1"/>
  <c r="V7" i="47" s="1"/>
  <c r="AD6" i="27"/>
  <c r="AD6" i="26" s="1"/>
  <c r="U3" i="47" s="1"/>
  <c r="R7" i="27"/>
  <c r="R7" i="26" s="1"/>
  <c r="I4" i="47" s="1"/>
  <c r="F45" i="27"/>
  <c r="F45" i="26" s="1"/>
  <c r="C46" i="27"/>
  <c r="C46" i="26" s="1"/>
  <c r="AF46" i="27"/>
  <c r="AF46" i="26" s="1"/>
  <c r="W7" i="49" s="1"/>
  <c r="F42" i="27"/>
  <c r="F42" i="26" s="1"/>
  <c r="I45" i="27"/>
  <c r="I45" i="26" s="1"/>
  <c r="AO41" i="27"/>
  <c r="AO41" i="26" s="1"/>
  <c r="AF2" i="49" s="1"/>
  <c r="AA42" i="27"/>
  <c r="AA42" i="26" s="1"/>
  <c r="R3" i="49" s="1"/>
  <c r="AP46" i="27"/>
  <c r="AP46" i="26" s="1"/>
  <c r="AG7" i="49" s="1"/>
  <c r="U46" i="27"/>
  <c r="U46" i="26" s="1"/>
  <c r="L7" i="49" s="1"/>
  <c r="Z42" i="27"/>
  <c r="Z42" i="26" s="1"/>
  <c r="Q3" i="49" s="1"/>
  <c r="H43" i="27"/>
  <c r="H43" i="26" s="1"/>
  <c r="AE44" i="27"/>
  <c r="AE44" i="26" s="1"/>
  <c r="V5" i="49" s="1"/>
  <c r="AG42" i="27"/>
  <c r="AG42" i="26" s="1"/>
  <c r="X3" i="49" s="1"/>
  <c r="U43" i="27"/>
  <c r="U43" i="26" s="1"/>
  <c r="L4" i="49" s="1"/>
  <c r="AB42" i="27"/>
  <c r="AB42" i="26" s="1"/>
  <c r="S3" i="49" s="1"/>
  <c r="G43" i="27"/>
  <c r="G43" i="26" s="1"/>
  <c r="D41" i="27"/>
  <c r="D41" i="26" s="1"/>
  <c r="S45" i="27"/>
  <c r="S45" i="26" s="1"/>
  <c r="J6" i="49" s="1"/>
  <c r="D44" i="27"/>
  <c r="D44" i="26" s="1"/>
  <c r="AO46" i="27"/>
  <c r="AO46" i="26" s="1"/>
  <c r="AF7" i="49" s="1"/>
  <c r="X46" i="27"/>
  <c r="X46" i="26" s="1"/>
  <c r="O7" i="49" s="1"/>
  <c r="AG41" i="27"/>
  <c r="AG41" i="26" s="1"/>
  <c r="X2" i="49" s="1"/>
  <c r="AJ46" i="27"/>
  <c r="AJ46" i="26" s="1"/>
  <c r="AA7" i="49" s="1"/>
  <c r="H42" i="27"/>
  <c r="H42" i="26" s="1"/>
  <c r="AM41" i="27"/>
  <c r="AM41" i="26" s="1"/>
  <c r="AD2" i="49" s="1"/>
  <c r="R45" i="27"/>
  <c r="AK41" i="27"/>
  <c r="AK41" i="26" s="1"/>
  <c r="AB2" i="49" s="1"/>
  <c r="AO43" i="27"/>
  <c r="AO43" i="26" s="1"/>
  <c r="AF4" i="49" s="1"/>
  <c r="Y43" i="27"/>
  <c r="Y43" i="26" s="1"/>
  <c r="P4" i="49" s="1"/>
  <c r="X41" i="27"/>
  <c r="X41" i="26" s="1"/>
  <c r="O2" i="49" s="1"/>
  <c r="AT41" i="27"/>
  <c r="AT41" i="26" s="1"/>
  <c r="AK2" i="49" s="1"/>
  <c r="X42" i="27"/>
  <c r="X42" i="26" s="1"/>
  <c r="O3" i="49" s="1"/>
  <c r="N42" i="27"/>
  <c r="N42" i="26" s="1"/>
  <c r="E3" i="49" s="1"/>
  <c r="AP45" i="27"/>
  <c r="M42" i="27"/>
  <c r="M42" i="26" s="1"/>
  <c r="D3" i="49" s="1"/>
  <c r="P43" i="27"/>
  <c r="P43" i="26" s="1"/>
  <c r="G4" i="49" s="1"/>
  <c r="K42" i="27"/>
  <c r="K42" i="26" s="1"/>
  <c r="B3" i="49" s="1"/>
  <c r="AS42" i="27"/>
  <c r="AS42" i="26" s="1"/>
  <c r="AJ3" i="49" s="1"/>
  <c r="Y41" i="27"/>
  <c r="Y41" i="26" s="1"/>
  <c r="P2" i="49" s="1"/>
  <c r="AE42" i="27"/>
  <c r="AE42" i="26" s="1"/>
  <c r="V3" i="49" s="1"/>
  <c r="AU45" i="27"/>
  <c r="AU45" i="26" s="1"/>
  <c r="AL6" i="49" s="1"/>
  <c r="AC44" i="27"/>
  <c r="AC44" i="26" s="1"/>
  <c r="T5" i="49" s="1"/>
  <c r="P41" i="27"/>
  <c r="P41" i="26" s="1"/>
  <c r="G2" i="49" s="1"/>
  <c r="G41" i="27"/>
  <c r="G41" i="26" s="1"/>
  <c r="R44" i="27"/>
  <c r="R44" i="26" s="1"/>
  <c r="I5" i="49" s="1"/>
  <c r="J44" i="27"/>
  <c r="J44" i="26" s="1"/>
  <c r="F46" i="27"/>
  <c r="F46" i="26" s="1"/>
  <c r="AS44" i="27"/>
  <c r="AS44" i="26" s="1"/>
  <c r="AJ5" i="49" s="1"/>
  <c r="N41" i="27"/>
  <c r="N41" i="26" s="1"/>
  <c r="E2" i="49" s="1"/>
  <c r="AU46" i="27"/>
  <c r="AU46" i="26" s="1"/>
  <c r="AL7" i="49" s="1"/>
  <c r="AF42" i="27"/>
  <c r="AF42" i="26" s="1"/>
  <c r="W3" i="49" s="1"/>
  <c r="N43" i="27"/>
  <c r="N43" i="26" s="1"/>
  <c r="E4" i="49" s="1"/>
  <c r="W45" i="27"/>
  <c r="W45" i="26" s="1"/>
  <c r="N6" i="49" s="1"/>
  <c r="AH45" i="27"/>
  <c r="AH45" i="26" s="1"/>
  <c r="Y6" i="49" s="1"/>
  <c r="M43" i="27"/>
  <c r="M43" i="26" s="1"/>
  <c r="D4" i="49" s="1"/>
  <c r="L45" i="27"/>
  <c r="L45" i="26" s="1"/>
  <c r="C6" i="49" s="1"/>
  <c r="AU44" i="27"/>
  <c r="AU44" i="26" s="1"/>
  <c r="AL5" i="49" s="1"/>
  <c r="AR43" i="27"/>
  <c r="AR43" i="26" s="1"/>
  <c r="AI4" i="49" s="1"/>
  <c r="AQ46" i="27"/>
  <c r="AQ46" i="26" s="1"/>
  <c r="AH7" i="49" s="1"/>
  <c r="I44" i="27"/>
  <c r="I44" i="26" s="1"/>
  <c r="K44" i="27"/>
  <c r="K44" i="26" s="1"/>
  <c r="B5" i="49" s="1"/>
  <c r="AR44" i="27"/>
  <c r="AL46" i="27"/>
  <c r="AL46" i="26" s="1"/>
  <c r="AC7" i="49" s="1"/>
  <c r="AO44" i="27"/>
  <c r="AO44" i="26" s="1"/>
  <c r="AF5" i="49" s="1"/>
  <c r="C41" i="27"/>
  <c r="C41" i="26" s="1"/>
  <c r="Q44" i="27"/>
  <c r="Q44" i="26" s="1"/>
  <c r="H5" i="49" s="1"/>
  <c r="H45" i="27"/>
  <c r="H45" i="26" s="1"/>
  <c r="Y45" i="27"/>
  <c r="Y45" i="26" s="1"/>
  <c r="P6" i="49" s="1"/>
  <c r="C43" i="27"/>
  <c r="C43" i="26" s="1"/>
  <c r="Q42" i="27"/>
  <c r="Q42" i="26" s="1"/>
  <c r="H3" i="49" s="1"/>
  <c r="O41" i="27"/>
  <c r="O41" i="26" s="1"/>
  <c r="F2" i="49" s="1"/>
  <c r="AK42" i="27"/>
  <c r="AK42" i="26" s="1"/>
  <c r="AB3" i="49" s="1"/>
  <c r="AD45" i="27"/>
  <c r="AD45" i="26" s="1"/>
  <c r="U6" i="49" s="1"/>
  <c r="U45" i="27"/>
  <c r="U45" i="26" s="1"/>
  <c r="L6" i="49" s="1"/>
  <c r="M45" i="27"/>
  <c r="M45" i="26" s="1"/>
  <c r="D6" i="49" s="1"/>
  <c r="L46" i="27"/>
  <c r="L46" i="26" s="1"/>
  <c r="C7" i="49" s="1"/>
  <c r="AM43" i="27"/>
  <c r="AM43" i="26" s="1"/>
  <c r="AD4" i="49" s="1"/>
  <c r="AD41" i="27"/>
  <c r="AD41" i="26" s="1"/>
  <c r="U2" i="49" s="1"/>
  <c r="AC43" i="27"/>
  <c r="AC43" i="26" s="1"/>
  <c r="T4" i="49" s="1"/>
  <c r="T44" i="27"/>
  <c r="T44" i="26" s="1"/>
  <c r="K5" i="49" s="1"/>
  <c r="R41" i="27"/>
  <c r="R41" i="26" s="1"/>
  <c r="I2" i="49" s="1"/>
  <c r="AA43" i="27"/>
  <c r="I41" i="27"/>
  <c r="I41" i="26" s="1"/>
  <c r="Z46" i="27"/>
  <c r="Z46" i="26" s="1"/>
  <c r="Q7" i="49" s="1"/>
  <c r="T45" i="27"/>
  <c r="T45" i="26" s="1"/>
  <c r="K6" i="49" s="1"/>
  <c r="AD44" i="27"/>
  <c r="AD44" i="26" s="1"/>
  <c r="U5" i="49" s="1"/>
  <c r="V42" i="27"/>
  <c r="V42" i="26" s="1"/>
  <c r="M3" i="49" s="1"/>
  <c r="AI43" i="27"/>
  <c r="AI43" i="26" s="1"/>
  <c r="Z4" i="49" s="1"/>
  <c r="AI42" i="27"/>
  <c r="AI42" i="26" s="1"/>
  <c r="Z3" i="49" s="1"/>
  <c r="AE150" i="20"/>
  <c r="AE131" i="20"/>
  <c r="AE157" i="20"/>
  <c r="AE142" i="20"/>
  <c r="AE138" i="20"/>
  <c r="AD7" i="27"/>
  <c r="AD7" i="26" s="1"/>
  <c r="U4" i="47" s="1"/>
  <c r="AA9" i="27"/>
  <c r="AA9" i="26" s="1"/>
  <c r="R6" i="47" s="1"/>
  <c r="K9" i="27"/>
  <c r="K9" i="26" s="1"/>
  <c r="B6" i="47" s="1"/>
  <c r="AJ9" i="27"/>
  <c r="AJ9" i="26" s="1"/>
  <c r="AA6" i="47" s="1"/>
  <c r="K10" i="27"/>
  <c r="K10" i="26" s="1"/>
  <c r="B7" i="47" s="1"/>
  <c r="AP10" i="27"/>
  <c r="AP10" i="26" s="1"/>
  <c r="AG7" i="47" s="1"/>
  <c r="H5" i="27"/>
  <c r="H5" i="26" s="1"/>
  <c r="AD5" i="27"/>
  <c r="AD5" i="26" s="1"/>
  <c r="U2" i="47" s="1"/>
  <c r="AB7" i="27"/>
  <c r="AB7" i="26" s="1"/>
  <c r="S4" i="47" s="1"/>
  <c r="AQ5" i="27"/>
  <c r="AQ5" i="26" s="1"/>
  <c r="AH2" i="47" s="1"/>
  <c r="AR10" i="27"/>
  <c r="AR10" i="26" s="1"/>
  <c r="AI7" i="47" s="1"/>
  <c r="J6" i="27"/>
  <c r="J6" i="26" s="1"/>
  <c r="AO9" i="27"/>
  <c r="AO9" i="26" s="1"/>
  <c r="AF6" i="47" s="1"/>
  <c r="F5" i="27"/>
  <c r="F5" i="26" s="1"/>
  <c r="I20" i="10"/>
  <c r="AN34" i="27"/>
  <c r="AN34" i="26" s="1"/>
  <c r="AE4" i="48" s="1"/>
  <c r="AU8" i="27"/>
  <c r="AU8" i="26" s="1"/>
  <c r="AL5" i="47" s="1"/>
  <c r="F8" i="27"/>
  <c r="F8" i="26" s="1"/>
  <c r="AB10" i="27"/>
  <c r="AB10" i="26" s="1"/>
  <c r="S7" i="47" s="1"/>
  <c r="AM8" i="27"/>
  <c r="AM8" i="26" s="1"/>
  <c r="AD5" i="47" s="1"/>
  <c r="F6" i="27"/>
  <c r="F6" i="26" s="1"/>
  <c r="O8" i="27"/>
  <c r="O8" i="26" s="1"/>
  <c r="F5" i="47" s="1"/>
  <c r="Z5" i="27"/>
  <c r="Z5" i="26" s="1"/>
  <c r="Q2" i="47" s="1"/>
  <c r="X35" i="27"/>
  <c r="X35" i="26" s="1"/>
  <c r="O5" i="48" s="1"/>
  <c r="R33" i="27"/>
  <c r="R33" i="26" s="1"/>
  <c r="I3" i="48" s="1"/>
  <c r="AM33" i="27"/>
  <c r="AM33" i="26" s="1"/>
  <c r="AD3" i="48" s="1"/>
  <c r="L32" i="27"/>
  <c r="L32" i="26" s="1"/>
  <c r="C2" i="48" s="1"/>
  <c r="AU36" i="27"/>
  <c r="AU36" i="26" s="1"/>
  <c r="AL6" i="48" s="1"/>
  <c r="O33" i="27"/>
  <c r="O33" i="26" s="1"/>
  <c r="F3" i="48" s="1"/>
  <c r="J32" i="27"/>
  <c r="J32" i="26" s="1"/>
  <c r="E35" i="27"/>
  <c r="E35" i="26" s="1"/>
  <c r="AA10" i="27"/>
  <c r="AA10" i="26" s="1"/>
  <c r="R7" i="47" s="1"/>
  <c r="K6" i="27"/>
  <c r="K6" i="26" s="1"/>
  <c r="B3" i="47" s="1"/>
  <c r="AF43" i="27"/>
  <c r="AF43" i="26" s="1"/>
  <c r="W4" i="49" s="1"/>
  <c r="T42" i="27"/>
  <c r="T42" i="26" s="1"/>
  <c r="K3" i="49" s="1"/>
  <c r="O43" i="27"/>
  <c r="O43" i="26" s="1"/>
  <c r="F4" i="49" s="1"/>
  <c r="C44" i="27"/>
  <c r="C44" i="26" s="1"/>
  <c r="Y42" i="27"/>
  <c r="Y42" i="26" s="1"/>
  <c r="P3" i="49" s="1"/>
  <c r="AA44" i="27"/>
  <c r="AA44" i="26" s="1"/>
  <c r="R5" i="49" s="1"/>
  <c r="AP41" i="27"/>
  <c r="AP41" i="26" s="1"/>
  <c r="AG2" i="49" s="1"/>
  <c r="AI41" i="27"/>
  <c r="AI41" i="26" s="1"/>
  <c r="Z2" i="49" s="1"/>
  <c r="AK43" i="27"/>
  <c r="AK43" i="26" s="1"/>
  <c r="AB4" i="49" s="1"/>
  <c r="J46" i="27"/>
  <c r="J46" i="26" s="1"/>
  <c r="F44" i="27"/>
  <c r="F44" i="26" s="1"/>
  <c r="AE41" i="27"/>
  <c r="AE41" i="26" s="1"/>
  <c r="V2" i="49" s="1"/>
  <c r="V41" i="27"/>
  <c r="V41" i="26" s="1"/>
  <c r="M2" i="49" s="1"/>
  <c r="M41" i="27"/>
  <c r="M41" i="26" s="1"/>
  <c r="D2" i="49" s="1"/>
  <c r="O44" i="27"/>
  <c r="O44" i="26" s="1"/>
  <c r="F5" i="49" s="1"/>
  <c r="T46" i="27"/>
  <c r="T46" i="26" s="1"/>
  <c r="K7" i="49" s="1"/>
  <c r="I43" i="27"/>
  <c r="I43" i="26" s="1"/>
  <c r="X45" i="27"/>
  <c r="X45" i="26" s="1"/>
  <c r="O6" i="49" s="1"/>
  <c r="W42" i="27"/>
  <c r="W42" i="26" s="1"/>
  <c r="N3" i="49" s="1"/>
  <c r="AN44" i="27"/>
  <c r="AN44" i="26" s="1"/>
  <c r="AE5" i="49" s="1"/>
  <c r="AI46" i="27"/>
  <c r="AI46" i="26" s="1"/>
  <c r="Z7" i="49" s="1"/>
  <c r="AJ44" i="27"/>
  <c r="AJ44" i="26" s="1"/>
  <c r="AA5" i="49" s="1"/>
  <c r="X44" i="27"/>
  <c r="X44" i="26" s="1"/>
  <c r="O5" i="49" s="1"/>
  <c r="AH41" i="27"/>
  <c r="AH41" i="26" s="1"/>
  <c r="Y2" i="49" s="1"/>
  <c r="H46" i="27"/>
  <c r="H46" i="26" s="1"/>
  <c r="AL45" i="27"/>
  <c r="AL45" i="26" s="1"/>
  <c r="AC6" i="49" s="1"/>
  <c r="AT46" i="27"/>
  <c r="AT46" i="26" s="1"/>
  <c r="AK7" i="49" s="1"/>
  <c r="AN6" i="27"/>
  <c r="AN6" i="26" s="1"/>
  <c r="AE3" i="47" s="1"/>
  <c r="AC5" i="27"/>
  <c r="AC5" i="26" s="1"/>
  <c r="T2" i="47" s="1"/>
  <c r="R9" i="27"/>
  <c r="R9" i="26" s="1"/>
  <c r="I6" i="47" s="1"/>
  <c r="J7" i="27"/>
  <c r="J7" i="26" s="1"/>
  <c r="P8" i="27"/>
  <c r="P8" i="26" s="1"/>
  <c r="G5" i="47" s="1"/>
  <c r="T10" i="27"/>
  <c r="T10" i="26" s="1"/>
  <c r="K7" i="47" s="1"/>
  <c r="Q41" i="27"/>
  <c r="Q41" i="26" s="1"/>
  <c r="H2" i="49" s="1"/>
  <c r="U44" i="27"/>
  <c r="U44" i="26" s="1"/>
  <c r="L5" i="49" s="1"/>
  <c r="I42" i="27"/>
  <c r="I42" i="26" s="1"/>
  <c r="AB45" i="27"/>
  <c r="AB45" i="26" s="1"/>
  <c r="S6" i="49" s="1"/>
  <c r="S41" i="27"/>
  <c r="S41" i="26" s="1"/>
  <c r="J2" i="49" s="1"/>
  <c r="R43" i="27"/>
  <c r="R43" i="26" s="1"/>
  <c r="I4" i="49" s="1"/>
  <c r="N44" i="27"/>
  <c r="N44" i="26" s="1"/>
  <c r="E5" i="49" s="1"/>
  <c r="AP42" i="27"/>
  <c r="AP42" i="26" s="1"/>
  <c r="AG3" i="49" s="1"/>
  <c r="N46" i="27"/>
  <c r="N46" i="26" s="1"/>
  <c r="E7" i="49" s="1"/>
  <c r="C45" i="27"/>
  <c r="C45" i="26" s="1"/>
  <c r="W41" i="27"/>
  <c r="W41" i="26" s="1"/>
  <c r="N2" i="49" s="1"/>
  <c r="AF44" i="27"/>
  <c r="AF44" i="26" s="1"/>
  <c r="W5" i="49" s="1"/>
  <c r="K46" i="27"/>
  <c r="K46" i="26" s="1"/>
  <c r="B7" i="49" s="1"/>
  <c r="D43" i="27"/>
  <c r="D43" i="26" s="1"/>
  <c r="G44" i="27"/>
  <c r="G44" i="26" s="1"/>
  <c r="S42" i="27"/>
  <c r="S42" i="26" s="1"/>
  <c r="J3" i="49" s="1"/>
  <c r="AM45" i="27"/>
  <c r="AM45" i="26" s="1"/>
  <c r="AD6" i="49" s="1"/>
  <c r="E44" i="27"/>
  <c r="E44" i="26" s="1"/>
  <c r="T43" i="27"/>
  <c r="T43" i="26" s="1"/>
  <c r="K4" i="49" s="1"/>
  <c r="G42" i="27"/>
  <c r="G42" i="26" s="1"/>
  <c r="AO45" i="27"/>
  <c r="AO45" i="26" s="1"/>
  <c r="AF6" i="49" s="1"/>
  <c r="AJ41" i="27"/>
  <c r="AJ41" i="26" s="1"/>
  <c r="AA2" i="49" s="1"/>
  <c r="AL41" i="27"/>
  <c r="AL41" i="26" s="1"/>
  <c r="AC2" i="49" s="1"/>
  <c r="AS41" i="27"/>
  <c r="AS41" i="26" s="1"/>
  <c r="AJ2" i="49" s="1"/>
  <c r="AL44" i="27"/>
  <c r="AL44" i="26" s="1"/>
  <c r="AC5" i="49" s="1"/>
  <c r="AO42" i="27"/>
  <c r="AO42" i="26" s="1"/>
  <c r="AF3" i="49" s="1"/>
  <c r="F41" i="27"/>
  <c r="F41" i="26" s="1"/>
  <c r="E43" i="27"/>
  <c r="E43" i="26" s="1"/>
  <c r="L43" i="27"/>
  <c r="L43" i="26" s="1"/>
  <c r="C4" i="49" s="1"/>
  <c r="AH42" i="27"/>
  <c r="AH42" i="26" s="1"/>
  <c r="Y3" i="49" s="1"/>
  <c r="AU43" i="27"/>
  <c r="AU43" i="26" s="1"/>
  <c r="AL4" i="49" s="1"/>
  <c r="AD42" i="27"/>
  <c r="AD42" i="26" s="1"/>
  <c r="U3" i="49" s="1"/>
  <c r="AS36" i="27"/>
  <c r="AS36" i="26" s="1"/>
  <c r="AJ6" i="48" s="1"/>
  <c r="W36" i="27"/>
  <c r="W36" i="26" s="1"/>
  <c r="N6" i="48" s="1"/>
  <c r="D37" i="27"/>
  <c r="D37" i="26" s="1"/>
  <c r="AA35" i="27"/>
  <c r="AA35" i="26" s="1"/>
  <c r="R5" i="48" s="1"/>
  <c r="N35" i="27"/>
  <c r="N35" i="26" s="1"/>
  <c r="E5" i="48" s="1"/>
  <c r="AF34" i="27"/>
  <c r="AF34" i="26" s="1"/>
  <c r="W4" i="48" s="1"/>
  <c r="AB46" i="27"/>
  <c r="AB46" i="26" s="1"/>
  <c r="S7" i="49" s="1"/>
  <c r="AS46" i="27"/>
  <c r="AS46" i="26" s="1"/>
  <c r="AJ7" i="49" s="1"/>
  <c r="Q45" i="27"/>
  <c r="Q45" i="26" s="1"/>
  <c r="H6" i="49" s="1"/>
  <c r="P46" i="27"/>
  <c r="P46" i="26" s="1"/>
  <c r="G7" i="49" s="1"/>
  <c r="AI44" i="27"/>
  <c r="AI44" i="26" s="1"/>
  <c r="Z5" i="49" s="1"/>
  <c r="R46" i="27"/>
  <c r="R46" i="26" s="1"/>
  <c r="I7" i="49" s="1"/>
  <c r="M46" i="27"/>
  <c r="M46" i="26" s="1"/>
  <c r="D7" i="49" s="1"/>
  <c r="AB44" i="27"/>
  <c r="AB44" i="26" s="1"/>
  <c r="S5" i="49" s="1"/>
  <c r="S46" i="27"/>
  <c r="S46" i="26" s="1"/>
  <c r="J7" i="49" s="1"/>
  <c r="AC45" i="27"/>
  <c r="AC45" i="26" s="1"/>
  <c r="T6" i="49" s="1"/>
  <c r="Y46" i="27"/>
  <c r="Y46" i="26" s="1"/>
  <c r="P7" i="49" s="1"/>
  <c r="P45" i="27"/>
  <c r="P45" i="26" s="1"/>
  <c r="G6" i="49" s="1"/>
  <c r="AQ44" i="27"/>
  <c r="AQ44" i="26" s="1"/>
  <c r="AH5" i="49" s="1"/>
  <c r="AN43" i="27"/>
  <c r="AN43" i="26" s="1"/>
  <c r="AE4" i="49" s="1"/>
  <c r="AH46" i="27"/>
  <c r="AH46" i="26" s="1"/>
  <c r="Y7" i="49" s="1"/>
  <c r="AK46" i="27"/>
  <c r="AK46" i="26" s="1"/>
  <c r="AB7" i="49" s="1"/>
  <c r="S43" i="27"/>
  <c r="S43" i="26" s="1"/>
  <c r="J4" i="49" s="1"/>
  <c r="Y44" i="27"/>
  <c r="Y44" i="26" s="1"/>
  <c r="P5" i="49" s="1"/>
  <c r="AH43" i="27"/>
  <c r="AH43" i="26" s="1"/>
  <c r="Y4" i="49" s="1"/>
  <c r="K43" i="27"/>
  <c r="K43" i="26" s="1"/>
  <c r="B4" i="49" s="1"/>
  <c r="G45" i="27"/>
  <c r="G45" i="26" s="1"/>
  <c r="AJ42" i="27"/>
  <c r="AJ42" i="26" s="1"/>
  <c r="AA3" i="49" s="1"/>
  <c r="AU42" i="27"/>
  <c r="AU42" i="26" s="1"/>
  <c r="AL3" i="49" s="1"/>
  <c r="AM44" i="27"/>
  <c r="AM44" i="26" s="1"/>
  <c r="AD5" i="49" s="1"/>
  <c r="F43" i="27"/>
  <c r="F43" i="26" s="1"/>
  <c r="E46" i="27"/>
  <c r="E46" i="26" s="1"/>
  <c r="AT43" i="27"/>
  <c r="AT43" i="26" s="1"/>
  <c r="AK4" i="49" s="1"/>
  <c r="W44" i="27"/>
  <c r="W44" i="26" s="1"/>
  <c r="N5" i="49" s="1"/>
  <c r="AC41" i="27"/>
  <c r="AC41" i="26" s="1"/>
  <c r="T2" i="49" s="1"/>
  <c r="AP43" i="27"/>
  <c r="AP43" i="26" s="1"/>
  <c r="AG4" i="49" s="1"/>
  <c r="AJ43" i="27"/>
  <c r="AJ43" i="26" s="1"/>
  <c r="AA4" i="49" s="1"/>
  <c r="AS43" i="27"/>
  <c r="AS43" i="26" s="1"/>
  <c r="AJ4" i="49" s="1"/>
  <c r="AP36" i="27"/>
  <c r="AP36" i="26" s="1"/>
  <c r="AG6" i="48" s="1"/>
  <c r="AF36" i="27"/>
  <c r="AF36" i="26" s="1"/>
  <c r="W6" i="48" s="1"/>
  <c r="C35" i="27"/>
  <c r="C35" i="26" s="1"/>
  <c r="F35" i="27"/>
  <c r="F35" i="26" s="1"/>
  <c r="AK32" i="27"/>
  <c r="AK32" i="26" s="1"/>
  <c r="AB2" i="48" s="1"/>
  <c r="J37" i="27"/>
  <c r="J37" i="26" s="1"/>
  <c r="AQ37" i="27"/>
  <c r="AQ37" i="26" s="1"/>
  <c r="AH7" i="48" s="1"/>
  <c r="G33" i="27"/>
  <c r="G33" i="26" s="1"/>
  <c r="Y33" i="27"/>
  <c r="Y33" i="26" s="1"/>
  <c r="P3" i="48" s="1"/>
  <c r="O37" i="27"/>
  <c r="O37" i="26" s="1"/>
  <c r="F7" i="48" s="1"/>
  <c r="AQ36" i="27"/>
  <c r="AQ36" i="26" s="1"/>
  <c r="AH6" i="48" s="1"/>
  <c r="AC37" i="27"/>
  <c r="AC37" i="26" s="1"/>
  <c r="T7" i="48" s="1"/>
  <c r="AI37" i="27"/>
  <c r="AI37" i="26" s="1"/>
  <c r="Z7" i="48" s="1"/>
  <c r="N36" i="27"/>
  <c r="N36" i="26" s="1"/>
  <c r="E6" i="48" s="1"/>
  <c r="K35" i="27"/>
  <c r="K35" i="26" s="1"/>
  <c r="B5" i="48" s="1"/>
  <c r="AS34" i="27"/>
  <c r="AS34" i="26" s="1"/>
  <c r="AJ4" i="48" s="1"/>
  <c r="V34" i="27"/>
  <c r="V34" i="26" s="1"/>
  <c r="M4" i="48" s="1"/>
  <c r="AD32" i="27"/>
  <c r="AD32" i="26" s="1"/>
  <c r="U2" i="48" s="1"/>
  <c r="U33" i="27"/>
  <c r="U33" i="26" s="1"/>
  <c r="L3" i="48" s="1"/>
  <c r="AL37" i="27"/>
  <c r="AL37" i="26" s="1"/>
  <c r="AC7" i="48" s="1"/>
  <c r="Z35" i="27"/>
  <c r="Z35" i="26" s="1"/>
  <c r="Q5" i="48" s="1"/>
  <c r="Q37" i="27"/>
  <c r="Q37" i="26" s="1"/>
  <c r="H7" i="48" s="1"/>
  <c r="AI32" i="27"/>
  <c r="AI32" i="26" s="1"/>
  <c r="Z2" i="48" s="1"/>
  <c r="H33" i="27"/>
  <c r="H33" i="26" s="1"/>
  <c r="AP37" i="27"/>
  <c r="AP37" i="26" s="1"/>
  <c r="AG7" i="48" s="1"/>
  <c r="F34" i="27"/>
  <c r="F34" i="26" s="1"/>
  <c r="AH36" i="27"/>
  <c r="AH36" i="26" s="1"/>
  <c r="Y6" i="48" s="1"/>
  <c r="C33" i="27"/>
  <c r="C33" i="26" s="1"/>
  <c r="AG32" i="27"/>
  <c r="AG32" i="26" s="1"/>
  <c r="X2" i="48" s="1"/>
  <c r="AS33" i="27"/>
  <c r="AS33" i="26" s="1"/>
  <c r="AJ3" i="48" s="1"/>
  <c r="AC35" i="27"/>
  <c r="AC35" i="26" s="1"/>
  <c r="T5" i="48" s="1"/>
  <c r="AJ37" i="27"/>
  <c r="AJ37" i="26" s="1"/>
  <c r="AA7" i="48" s="1"/>
  <c r="K34" i="27"/>
  <c r="K34" i="26" s="1"/>
  <c r="B4" i="48" s="1"/>
  <c r="AD36" i="27"/>
  <c r="AD36" i="26" s="1"/>
  <c r="U6" i="48" s="1"/>
  <c r="AR33" i="27"/>
  <c r="AR33" i="26" s="1"/>
  <c r="AI3" i="48" s="1"/>
  <c r="T32" i="27"/>
  <c r="T32" i="26" s="1"/>
  <c r="K2" i="48" s="1"/>
  <c r="T37" i="27"/>
  <c r="T37" i="26" s="1"/>
  <c r="K7" i="48" s="1"/>
  <c r="I35" i="27"/>
  <c r="I35" i="26" s="1"/>
  <c r="H36" i="27"/>
  <c r="H36" i="26" s="1"/>
  <c r="AU34" i="27"/>
  <c r="AU34" i="26" s="1"/>
  <c r="AL4" i="48" s="1"/>
  <c r="J36" i="27"/>
  <c r="J36" i="26" s="1"/>
  <c r="AE32" i="27"/>
  <c r="AE32" i="26" s="1"/>
  <c r="V2" i="48" s="1"/>
  <c r="X33" i="27"/>
  <c r="X33" i="26" s="1"/>
  <c r="O3" i="48" s="1"/>
  <c r="P32" i="27"/>
  <c r="P32" i="26" s="1"/>
  <c r="G2" i="48" s="1"/>
  <c r="AO32" i="27"/>
  <c r="AO32" i="26" s="1"/>
  <c r="AF2" i="48" s="1"/>
  <c r="C34" i="27"/>
  <c r="C34" i="26" s="1"/>
  <c r="AJ34" i="27"/>
  <c r="AJ34" i="26" s="1"/>
  <c r="AA4" i="48" s="1"/>
  <c r="AN33" i="27"/>
  <c r="AN33" i="26" s="1"/>
  <c r="AE3" i="48" s="1"/>
  <c r="O35" i="27"/>
  <c r="O35" i="26" s="1"/>
  <c r="F5" i="48" s="1"/>
  <c r="AB34" i="27"/>
  <c r="AB34" i="26" s="1"/>
  <c r="S4" i="48" s="1"/>
  <c r="N32" i="27"/>
  <c r="N32" i="26" s="1"/>
  <c r="E2" i="48" s="1"/>
  <c r="AB36" i="27"/>
  <c r="AB36" i="26" s="1"/>
  <c r="S6" i="48" s="1"/>
  <c r="N33" i="27"/>
  <c r="N33" i="26" s="1"/>
  <c r="E3" i="48" s="1"/>
  <c r="M35" i="27"/>
  <c r="M35" i="26" s="1"/>
  <c r="D5" i="48" s="1"/>
  <c r="AK33" i="27"/>
  <c r="AK33" i="26" s="1"/>
  <c r="AB3" i="48" s="1"/>
  <c r="W32" i="27"/>
  <c r="W32" i="26" s="1"/>
  <c r="N2" i="48" s="1"/>
  <c r="AS32" i="27"/>
  <c r="AS32" i="26" s="1"/>
  <c r="AJ2" i="48" s="1"/>
  <c r="W33" i="27"/>
  <c r="W33" i="26" s="1"/>
  <c r="N3" i="48" s="1"/>
  <c r="W35" i="27"/>
  <c r="W35" i="26" s="1"/>
  <c r="N5" i="48" s="1"/>
  <c r="AK37" i="27"/>
  <c r="AK37" i="26" s="1"/>
  <c r="AB7" i="48" s="1"/>
  <c r="Z33" i="27"/>
  <c r="Z33" i="26" s="1"/>
  <c r="Q3" i="48" s="1"/>
  <c r="AO34" i="27"/>
  <c r="AO34" i="26" s="1"/>
  <c r="AF4" i="48" s="1"/>
  <c r="AG36" i="27"/>
  <c r="AG36" i="26" s="1"/>
  <c r="X6" i="48" s="1"/>
  <c r="M32" i="27"/>
  <c r="M32" i="26" s="1"/>
  <c r="D2" i="48" s="1"/>
  <c r="AR36" i="27"/>
  <c r="AR36" i="26" s="1"/>
  <c r="AI6" i="48" s="1"/>
  <c r="Z32" i="27"/>
  <c r="Z32" i="26" s="1"/>
  <c r="Q2" i="48" s="1"/>
  <c r="AO37" i="27"/>
  <c r="AO37" i="26" s="1"/>
  <c r="AF7" i="48" s="1"/>
  <c r="AS35" i="27"/>
  <c r="AS35" i="26" s="1"/>
  <c r="AJ5" i="48" s="1"/>
  <c r="AP33" i="27"/>
  <c r="AP33" i="26" s="1"/>
  <c r="AG3" i="48" s="1"/>
  <c r="S37" i="27"/>
  <c r="S37" i="26" s="1"/>
  <c r="J7" i="48" s="1"/>
  <c r="X36" i="27"/>
  <c r="X36" i="26" s="1"/>
  <c r="O6" i="48" s="1"/>
  <c r="AM32" i="27"/>
  <c r="AM32" i="26" s="1"/>
  <c r="AD2" i="48" s="1"/>
  <c r="G36" i="27"/>
  <c r="G36" i="26" s="1"/>
  <c r="E32" i="27"/>
  <c r="E32" i="26" s="1"/>
  <c r="Q35" i="27"/>
  <c r="Q35" i="26" s="1"/>
  <c r="H5" i="48" s="1"/>
  <c r="C36" i="27"/>
  <c r="C36" i="26" s="1"/>
  <c r="L33" i="27"/>
  <c r="L33" i="26" s="1"/>
  <c r="C3" i="48" s="1"/>
  <c r="Q34" i="27"/>
  <c r="Q34" i="26" s="1"/>
  <c r="H4" i="48" s="1"/>
  <c r="AH34" i="27"/>
  <c r="AH34" i="26" s="1"/>
  <c r="Y4" i="48" s="1"/>
  <c r="H35" i="27"/>
  <c r="H35" i="26" s="1"/>
  <c r="M37" i="27"/>
  <c r="M37" i="26" s="1"/>
  <c r="D7" i="48" s="1"/>
  <c r="M36" i="27"/>
  <c r="M36" i="26" s="1"/>
  <c r="D6" i="48" s="1"/>
  <c r="X37" i="27"/>
  <c r="X37" i="26" s="1"/>
  <c r="O7" i="48" s="1"/>
  <c r="J33" i="27"/>
  <c r="J33" i="26" s="1"/>
  <c r="AL33" i="27"/>
  <c r="AL33" i="26" s="1"/>
  <c r="AC3" i="48" s="1"/>
  <c r="T36" i="27"/>
  <c r="T36" i="26" s="1"/>
  <c r="K6" i="48" s="1"/>
  <c r="N37" i="27"/>
  <c r="N37" i="26" s="1"/>
  <c r="E7" i="48" s="1"/>
  <c r="AG33" i="27"/>
  <c r="AG33" i="26" s="1"/>
  <c r="X3" i="48" s="1"/>
  <c r="H34" i="27"/>
  <c r="H34" i="26" s="1"/>
  <c r="Z37" i="27"/>
  <c r="Z37" i="26" s="1"/>
  <c r="Q7" i="48" s="1"/>
  <c r="G32" i="27"/>
  <c r="G32" i="26" s="1"/>
  <c r="I32" i="27"/>
  <c r="I32" i="26" s="1"/>
  <c r="AG34" i="27"/>
  <c r="AG34" i="26" s="1"/>
  <c r="X4" i="48" s="1"/>
  <c r="AF37" i="27"/>
  <c r="AF37" i="26" s="1"/>
  <c r="W7" i="48" s="1"/>
  <c r="O36" i="27"/>
  <c r="O36" i="26" s="1"/>
  <c r="F6" i="48" s="1"/>
  <c r="P35" i="27"/>
  <c r="P35" i="26" s="1"/>
  <c r="G5" i="48" s="1"/>
  <c r="I33" i="27"/>
  <c r="I33" i="26" s="1"/>
  <c r="X34" i="27"/>
  <c r="X34" i="26" s="1"/>
  <c r="O4" i="48" s="1"/>
  <c r="AF35" i="27"/>
  <c r="AF35" i="26" s="1"/>
  <c r="W5" i="48" s="1"/>
  <c r="E33" i="27"/>
  <c r="E33" i="26" s="1"/>
  <c r="X32" i="27"/>
  <c r="X32" i="26" s="1"/>
  <c r="O2" i="48" s="1"/>
  <c r="G34" i="27"/>
  <c r="G34" i="26" s="1"/>
  <c r="AR32" i="27"/>
  <c r="AR32" i="26" s="1"/>
  <c r="AI2" i="48" s="1"/>
  <c r="E36" i="27"/>
  <c r="E36" i="26" s="1"/>
  <c r="AC34" i="27"/>
  <c r="AC34" i="26" s="1"/>
  <c r="T4" i="48" s="1"/>
  <c r="Q33" i="27"/>
  <c r="Q33" i="26" s="1"/>
  <c r="H3" i="48" s="1"/>
  <c r="AA37" i="27"/>
  <c r="AA37" i="26" s="1"/>
  <c r="R7" i="48" s="1"/>
  <c r="AQ33" i="27"/>
  <c r="AQ33" i="26" s="1"/>
  <c r="AH3" i="48" s="1"/>
  <c r="AK34" i="27"/>
  <c r="AK34" i="26" s="1"/>
  <c r="AB4" i="48" s="1"/>
  <c r="AD34" i="27"/>
  <c r="AD34" i="26" s="1"/>
  <c r="U4" i="48" s="1"/>
  <c r="C32" i="27"/>
  <c r="C32" i="26" s="1"/>
  <c r="R36" i="27"/>
  <c r="R36" i="26" s="1"/>
  <c r="I6" i="48" s="1"/>
  <c r="F37" i="27"/>
  <c r="F37" i="26" s="1"/>
  <c r="P33" i="27"/>
  <c r="P33" i="26" s="1"/>
  <c r="G3" i="48" s="1"/>
  <c r="Q32" i="27"/>
  <c r="Q32" i="26" s="1"/>
  <c r="H2" i="48" s="1"/>
  <c r="L36" i="27"/>
  <c r="L36" i="26" s="1"/>
  <c r="C6" i="48" s="1"/>
  <c r="AH35" i="27"/>
  <c r="AH35" i="26" s="1"/>
  <c r="Y5" i="48" s="1"/>
  <c r="AA36" i="27"/>
  <c r="AA36" i="26" s="1"/>
  <c r="R6" i="48" s="1"/>
  <c r="I37" i="27"/>
  <c r="I37" i="26" s="1"/>
  <c r="AE33" i="27"/>
  <c r="AE33" i="26" s="1"/>
  <c r="V3" i="48" s="1"/>
  <c r="V36" i="27"/>
  <c r="V36" i="26" s="1"/>
  <c r="M6" i="48" s="1"/>
  <c r="AT36" i="27"/>
  <c r="AT36" i="26" s="1"/>
  <c r="AK6" i="48" s="1"/>
  <c r="AL35" i="27"/>
  <c r="AL35" i="26" s="1"/>
  <c r="AC5" i="48" s="1"/>
  <c r="AA33" i="27"/>
  <c r="AA33" i="26" s="1"/>
  <c r="R3" i="48" s="1"/>
  <c r="Z34" i="27"/>
  <c r="Z34" i="26" s="1"/>
  <c r="Q4" i="48" s="1"/>
  <c r="AC32" i="27"/>
  <c r="AC32" i="26" s="1"/>
  <c r="T2" i="48" s="1"/>
  <c r="H37" i="27"/>
  <c r="H37" i="26" s="1"/>
  <c r="Z36" i="27"/>
  <c r="Z36" i="26" s="1"/>
  <c r="Q6" i="48" s="1"/>
  <c r="AT32" i="27"/>
  <c r="AT32" i="26" s="1"/>
  <c r="AK2" i="48" s="1"/>
  <c r="AN32" i="27"/>
  <c r="AN32" i="26" s="1"/>
  <c r="AE2" i="48" s="1"/>
  <c r="AN37" i="27"/>
  <c r="AN37" i="26" s="1"/>
  <c r="AE7" i="48" s="1"/>
  <c r="G37" i="27"/>
  <c r="G37" i="26" s="1"/>
  <c r="AP35" i="27"/>
  <c r="AP35" i="26" s="1"/>
  <c r="AG5" i="48" s="1"/>
  <c r="I34" i="27"/>
  <c r="I34" i="26" s="1"/>
  <c r="AH32" i="27"/>
  <c r="AH32" i="26" s="1"/>
  <c r="Y2" i="48" s="1"/>
  <c r="V35" i="27"/>
  <c r="V35" i="26" s="1"/>
  <c r="M5" i="48" s="1"/>
  <c r="AL36" i="27"/>
  <c r="AL36" i="26" s="1"/>
  <c r="AC6" i="48" s="1"/>
  <c r="S35" i="27"/>
  <c r="S35" i="26" s="1"/>
  <c r="J5" i="48" s="1"/>
  <c r="AJ32" i="27"/>
  <c r="AJ32" i="26" s="1"/>
  <c r="AA2" i="48" s="1"/>
  <c r="AR35" i="27"/>
  <c r="AR35" i="26" s="1"/>
  <c r="AI5" i="48" s="1"/>
  <c r="V32" i="27"/>
  <c r="V32" i="26" s="1"/>
  <c r="M2" i="48" s="1"/>
  <c r="AI33" i="27"/>
  <c r="AI33" i="26" s="1"/>
  <c r="Z3" i="48" s="1"/>
  <c r="AM34" i="27"/>
  <c r="AM34" i="26" s="1"/>
  <c r="AD4" i="48" s="1"/>
  <c r="AO33" i="27"/>
  <c r="AO33" i="26" s="1"/>
  <c r="AF3" i="48" s="1"/>
  <c r="AG35" i="27"/>
  <c r="AG35" i="26" s="1"/>
  <c r="X5" i="48" s="1"/>
  <c r="F33" i="27"/>
  <c r="F33" i="26" s="1"/>
  <c r="J35" i="27"/>
  <c r="J35" i="26" s="1"/>
  <c r="K33" i="27"/>
  <c r="K33" i="26" s="1"/>
  <c r="B3" i="48" s="1"/>
  <c r="U37" i="27"/>
  <c r="U37" i="26" s="1"/>
  <c r="L7" i="48" s="1"/>
  <c r="AA32" i="27"/>
  <c r="AA32" i="26" s="1"/>
  <c r="R2" i="48" s="1"/>
  <c r="AR37" i="27"/>
  <c r="AR37" i="26" s="1"/>
  <c r="AI7" i="48" s="1"/>
  <c r="AI36" i="27"/>
  <c r="AI36" i="26" s="1"/>
  <c r="Z6" i="48" s="1"/>
  <c r="K36" i="27"/>
  <c r="K36" i="26" s="1"/>
  <c r="B6" i="48" s="1"/>
  <c r="AT37" i="27"/>
  <c r="AT37" i="26" s="1"/>
  <c r="AK7" i="48" s="1"/>
  <c r="AL34" i="27"/>
  <c r="AL34" i="26" s="1"/>
  <c r="AC4" i="48" s="1"/>
  <c r="AC33" i="27"/>
  <c r="AC33" i="26" s="1"/>
  <c r="T3" i="48" s="1"/>
  <c r="T35" i="27"/>
  <c r="T35" i="26" s="1"/>
  <c r="K5" i="48" s="1"/>
  <c r="S33" i="27"/>
  <c r="S33" i="26" s="1"/>
  <c r="J3" i="48" s="1"/>
  <c r="AP32" i="27"/>
  <c r="AP32" i="26" s="1"/>
  <c r="AG2" i="48" s="1"/>
  <c r="AO36" i="27"/>
  <c r="AO36" i="26" s="1"/>
  <c r="AF6" i="48" s="1"/>
  <c r="AK36" i="27"/>
  <c r="AK36" i="26" s="1"/>
  <c r="AB6" i="48" s="1"/>
  <c r="N34" i="27"/>
  <c r="N34" i="26" s="1"/>
  <c r="E4" i="48" s="1"/>
  <c r="AM36" i="27"/>
  <c r="AM36" i="26" s="1"/>
  <c r="AD6" i="48" s="1"/>
  <c r="AB32" i="27"/>
  <c r="AB32" i="26" s="1"/>
  <c r="S2" i="48" s="1"/>
  <c r="W37" i="27"/>
  <c r="W37" i="26" s="1"/>
  <c r="N7" i="48" s="1"/>
  <c r="D35" i="27"/>
  <c r="D35" i="26" s="1"/>
  <c r="AF33" i="27"/>
  <c r="AF33" i="26" s="1"/>
  <c r="W3" i="48" s="1"/>
  <c r="S34" i="27"/>
  <c r="S34" i="26" s="1"/>
  <c r="J4" i="48" s="1"/>
  <c r="AD37" i="27"/>
  <c r="AD37" i="26" s="1"/>
  <c r="U7" i="48" s="1"/>
  <c r="AE34" i="27"/>
  <c r="AE34" i="26" s="1"/>
  <c r="V4" i="48" s="1"/>
  <c r="R37" i="27"/>
  <c r="R37" i="26" s="1"/>
  <c r="I7" i="48" s="1"/>
  <c r="L34" i="27"/>
  <c r="L34" i="26" s="1"/>
  <c r="C4" i="48" s="1"/>
  <c r="AU35" i="27"/>
  <c r="AU35" i="26" s="1"/>
  <c r="AL5" i="48" s="1"/>
  <c r="AB37" i="27"/>
  <c r="AB37" i="26" s="1"/>
  <c r="S7" i="48" s="1"/>
  <c r="AB35" i="27"/>
  <c r="AB35" i="26" s="1"/>
  <c r="S5" i="48" s="1"/>
  <c r="Y35" i="27"/>
  <c r="Y35" i="26" s="1"/>
  <c r="P5" i="48" s="1"/>
  <c r="AF32" i="27"/>
  <c r="AF32" i="26" s="1"/>
  <c r="W2" i="48" s="1"/>
  <c r="AB33" i="27"/>
  <c r="AB33" i="26" s="1"/>
  <c r="S3" i="48" s="1"/>
  <c r="AC36" i="27"/>
  <c r="AC36" i="26" s="1"/>
  <c r="T6" i="48" s="1"/>
  <c r="AT33" i="27"/>
  <c r="AT33" i="26" s="1"/>
  <c r="AK3" i="48" s="1"/>
  <c r="E37" i="27"/>
  <c r="E37" i="26" s="1"/>
  <c r="Q36" i="27"/>
  <c r="Q36" i="26" s="1"/>
  <c r="H6" i="48" s="1"/>
  <c r="P37" i="27"/>
  <c r="P37" i="26" s="1"/>
  <c r="G7" i="48" s="1"/>
  <c r="P34" i="27"/>
  <c r="P34" i="26" s="1"/>
  <c r="G4" i="48" s="1"/>
  <c r="AE37" i="27"/>
  <c r="AE37" i="26" s="1"/>
  <c r="V7" i="48" s="1"/>
  <c r="AN36" i="27"/>
  <c r="AN36" i="26" s="1"/>
  <c r="AE6" i="48" s="1"/>
  <c r="L35" i="27"/>
  <c r="L35" i="26" s="1"/>
  <c r="C5" i="48" s="1"/>
  <c r="U36" i="27"/>
  <c r="U36" i="26" s="1"/>
  <c r="L6" i="48" s="1"/>
  <c r="AO35" i="27"/>
  <c r="AO35" i="26" s="1"/>
  <c r="AF5" i="48" s="1"/>
  <c r="S32" i="27"/>
  <c r="S32" i="26" s="1"/>
  <c r="J2" i="48" s="1"/>
  <c r="F36" i="27"/>
  <c r="F36" i="26" s="1"/>
  <c r="C37" i="27"/>
  <c r="C37" i="26" s="1"/>
  <c r="U32" i="27"/>
  <c r="U32" i="26" s="1"/>
  <c r="L2" i="48" s="1"/>
  <c r="K32" i="27"/>
  <c r="K32" i="26" s="1"/>
  <c r="B2" i="48" s="1"/>
  <c r="G35" i="27"/>
  <c r="G35" i="26" s="1"/>
  <c r="V33" i="27"/>
  <c r="V33" i="26" s="1"/>
  <c r="M3" i="48" s="1"/>
  <c r="AS37" i="27"/>
  <c r="AS37" i="26" s="1"/>
  <c r="AJ7" i="48" s="1"/>
  <c r="AP34" i="27"/>
  <c r="AP34" i="26" s="1"/>
  <c r="AG4" i="48" s="1"/>
  <c r="S36" i="27"/>
  <c r="S36" i="26" s="1"/>
  <c r="J6" i="48" s="1"/>
  <c r="AT34" i="27"/>
  <c r="AT34" i="26" s="1"/>
  <c r="AK4" i="48" s="1"/>
  <c r="AM37" i="27"/>
  <c r="AM37" i="26" s="1"/>
  <c r="AD7" i="48" s="1"/>
  <c r="K37" i="27"/>
  <c r="K37" i="26" s="1"/>
  <c r="B7" i="48" s="1"/>
  <c r="U35" i="27"/>
  <c r="U35" i="26" s="1"/>
  <c r="L5" i="48" s="1"/>
  <c r="I36" i="27"/>
  <c r="I36" i="26" s="1"/>
  <c r="P36" i="27"/>
  <c r="P36" i="26" s="1"/>
  <c r="G6" i="48" s="1"/>
  <c r="AJ36" i="27"/>
  <c r="AJ36" i="26" s="1"/>
  <c r="AA6" i="48" s="1"/>
  <c r="AI35" i="27"/>
  <c r="AI35" i="26" s="1"/>
  <c r="Z5" i="48" s="1"/>
  <c r="J34" i="27"/>
  <c r="J34" i="26" s="1"/>
  <c r="M34" i="27"/>
  <c r="M34" i="26" s="1"/>
  <c r="D4" i="48" s="1"/>
  <c r="AD35" i="27"/>
  <c r="AD35" i="26" s="1"/>
  <c r="U5" i="48" s="1"/>
  <c r="M33" i="27"/>
  <c r="M33" i="26" s="1"/>
  <c r="D3" i="48" s="1"/>
  <c r="AJ33" i="27"/>
  <c r="AJ33" i="26" s="1"/>
  <c r="AA3" i="48" s="1"/>
  <c r="AG37" i="27"/>
  <c r="AG37" i="26" s="1"/>
  <c r="X7" i="48" s="1"/>
  <c r="T33" i="27"/>
  <c r="T33" i="26" s="1"/>
  <c r="K3" i="48" s="1"/>
  <c r="D33" i="27"/>
  <c r="D33" i="26" s="1"/>
  <c r="Y32" i="27"/>
  <c r="Y32" i="26" s="1"/>
  <c r="P2" i="48" s="1"/>
  <c r="H32" i="27"/>
  <c r="H32" i="26" s="1"/>
  <c r="O32" i="27"/>
  <c r="O32" i="26" s="1"/>
  <c r="F2" i="48" s="1"/>
  <c r="AU32" i="27"/>
  <c r="AU32" i="26" s="1"/>
  <c r="AL2" i="48" s="1"/>
  <c r="AH33" i="27"/>
  <c r="AH33" i="26" s="1"/>
  <c r="Y3" i="48" s="1"/>
  <c r="D34" i="27"/>
  <c r="D34" i="26" s="1"/>
  <c r="F32" i="27"/>
  <c r="F32" i="26" s="1"/>
  <c r="AN35" i="27"/>
  <c r="AN35" i="26" s="1"/>
  <c r="AE5" i="48" s="1"/>
  <c r="AA34" i="27"/>
  <c r="AA34" i="26" s="1"/>
  <c r="R4" i="48" s="1"/>
  <c r="AQ35" i="27"/>
  <c r="AQ35" i="26" s="1"/>
  <c r="AH5" i="48" s="1"/>
  <c r="AH37" i="27"/>
  <c r="AH37" i="26" s="1"/>
  <c r="Y7" i="48" s="1"/>
  <c r="AI34" i="27"/>
  <c r="AI34" i="26" s="1"/>
  <c r="Z4" i="48" s="1"/>
  <c r="AK35" i="27"/>
  <c r="AK35" i="26" s="1"/>
  <c r="AB5" i="48" s="1"/>
  <c r="AT35" i="27"/>
  <c r="AT35" i="26" s="1"/>
  <c r="AK5" i="48" s="1"/>
  <c r="T34" i="27"/>
  <c r="T34" i="26" s="1"/>
  <c r="K4" i="48" s="1"/>
  <c r="AJ35" i="27"/>
  <c r="AJ35" i="26" s="1"/>
  <c r="AA5" i="48" s="1"/>
  <c r="AM35" i="27"/>
  <c r="AM35" i="26" s="1"/>
  <c r="AD5" i="48" s="1"/>
  <c r="Y37" i="27"/>
  <c r="Y37" i="26" s="1"/>
  <c r="P7" i="48" s="1"/>
  <c r="U34" i="27"/>
  <c r="U34" i="26" s="1"/>
  <c r="L4" i="48" s="1"/>
  <c r="Y34" i="27"/>
  <c r="Y34" i="26" s="1"/>
  <c r="P4" i="48" s="1"/>
  <c r="R34" i="27"/>
  <c r="R34" i="26" s="1"/>
  <c r="I4" i="48" s="1"/>
  <c r="L37" i="27"/>
  <c r="L37" i="26" s="1"/>
  <c r="C7" i="48" s="1"/>
  <c r="AQ10" i="27"/>
  <c r="AQ10" i="26" s="1"/>
  <c r="AH7" i="47" s="1"/>
  <c r="AQ6" i="27"/>
  <c r="AQ6" i="26" s="1"/>
  <c r="AH3" i="47" s="1"/>
  <c r="AJ7" i="27"/>
  <c r="AJ7" i="26" s="1"/>
  <c r="AA4" i="47" s="1"/>
  <c r="AC10" i="27"/>
  <c r="AC10" i="26" s="1"/>
  <c r="T7" i="47" s="1"/>
  <c r="AC6" i="27"/>
  <c r="AC6" i="26" s="1"/>
  <c r="T3" i="47" s="1"/>
  <c r="AA8" i="27"/>
  <c r="AA8" i="26" s="1"/>
  <c r="R5" i="47" s="1"/>
  <c r="AG5" i="27"/>
  <c r="AG5" i="26" s="1"/>
  <c r="X2" i="47" s="1"/>
  <c r="AB9" i="27"/>
  <c r="AB9" i="26" s="1"/>
  <c r="S6" i="47" s="1"/>
  <c r="C6" i="27"/>
  <c r="C6" i="26" s="1"/>
  <c r="AS6" i="27"/>
  <c r="AS6" i="26" s="1"/>
  <c r="AJ3" i="47" s="1"/>
  <c r="AU9" i="27"/>
  <c r="AU9" i="26" s="1"/>
  <c r="AL6" i="47" s="1"/>
  <c r="AF9" i="27"/>
  <c r="AF9" i="26" s="1"/>
  <c r="W6" i="47" s="1"/>
  <c r="AH7" i="27"/>
  <c r="AH7" i="26" s="1"/>
  <c r="Y4" i="47" s="1"/>
  <c r="W9" i="27"/>
  <c r="W9" i="26" s="1"/>
  <c r="N6" i="47" s="1"/>
  <c r="X5" i="27"/>
  <c r="X5" i="26" s="1"/>
  <c r="O2" i="47" s="1"/>
  <c r="X10" i="27"/>
  <c r="X10" i="26" s="1"/>
  <c r="O7" i="47" s="1"/>
  <c r="AB8" i="27"/>
  <c r="AB8" i="26" s="1"/>
  <c r="S5" i="47" s="1"/>
  <c r="Q10" i="27"/>
  <c r="Q10" i="26" s="1"/>
  <c r="H7" i="47" s="1"/>
  <c r="I5" i="27"/>
  <c r="I5" i="26" s="1"/>
  <c r="Y5" i="27"/>
  <c r="Y5" i="26" s="1"/>
  <c r="P2" i="47" s="1"/>
  <c r="AL5" i="27"/>
  <c r="AL5" i="26" s="1"/>
  <c r="AC2" i="47" s="1"/>
  <c r="Y10" i="27"/>
  <c r="Y10" i="26" s="1"/>
  <c r="P7" i="47" s="1"/>
  <c r="AC8" i="27"/>
  <c r="AC8" i="26" s="1"/>
  <c r="T5" i="47" s="1"/>
  <c r="Q7" i="27"/>
  <c r="Q7" i="26" s="1"/>
  <c r="H4" i="47" s="1"/>
  <c r="W7" i="27"/>
  <c r="W7" i="26" s="1"/>
  <c r="N4" i="47" s="1"/>
  <c r="AT5" i="27"/>
  <c r="AT5" i="26" s="1"/>
  <c r="AK2" i="47" s="1"/>
  <c r="S5" i="27"/>
  <c r="S5" i="26" s="1"/>
  <c r="J2" i="47" s="1"/>
  <c r="AU10" i="27"/>
  <c r="AU10" i="26" s="1"/>
  <c r="AL7" i="47" s="1"/>
  <c r="AJ6" i="27"/>
  <c r="AJ6" i="26" s="1"/>
  <c r="AA3" i="47" s="1"/>
  <c r="AT8" i="27"/>
  <c r="AT8" i="26" s="1"/>
  <c r="AK5" i="47" s="1"/>
  <c r="L7" i="27"/>
  <c r="L7" i="26" s="1"/>
  <c r="C4" i="47" s="1"/>
  <c r="L6" i="27"/>
  <c r="L6" i="26" s="1"/>
  <c r="C3" i="47" s="1"/>
  <c r="AG8" i="27"/>
  <c r="AG8" i="26" s="1"/>
  <c r="X5" i="47" s="1"/>
  <c r="H8" i="27"/>
  <c r="H8" i="26" s="1"/>
  <c r="M8" i="27"/>
  <c r="M8" i="26" s="1"/>
  <c r="D5" i="47" s="1"/>
  <c r="W5" i="27"/>
  <c r="W5" i="26" s="1"/>
  <c r="N2" i="47" s="1"/>
  <c r="S10" i="27"/>
  <c r="S10" i="26" s="1"/>
  <c r="J7" i="47" s="1"/>
  <c r="H6" i="27"/>
  <c r="H6" i="26" s="1"/>
  <c r="AG9" i="27"/>
  <c r="AG9" i="26" s="1"/>
  <c r="X6" i="47" s="1"/>
  <c r="AL7" i="27"/>
  <c r="AL7" i="26" s="1"/>
  <c r="AC4" i="47" s="1"/>
  <c r="E10" i="27"/>
  <c r="E10" i="26" s="1"/>
  <c r="G7" i="27"/>
  <c r="G7" i="26" s="1"/>
  <c r="AI10" i="27"/>
  <c r="AI10" i="26" s="1"/>
  <c r="Z7" i="47" s="1"/>
  <c r="W6" i="27"/>
  <c r="W6" i="26" s="1"/>
  <c r="N3" i="47" s="1"/>
  <c r="G9" i="27"/>
  <c r="G9" i="26" s="1"/>
  <c r="AG7" i="27"/>
  <c r="AG7" i="26" s="1"/>
  <c r="X4" i="47" s="1"/>
  <c r="AJ8" i="27"/>
  <c r="AJ8" i="26" s="1"/>
  <c r="AA5" i="47" s="1"/>
  <c r="AH10" i="27"/>
  <c r="AH10" i="26" s="1"/>
  <c r="Y7" i="47" s="1"/>
  <c r="M5" i="27"/>
  <c r="M5" i="26" s="1"/>
  <c r="D2" i="47" s="1"/>
  <c r="AH6" i="27"/>
  <c r="AH6" i="26" s="1"/>
  <c r="Y3" i="47" s="1"/>
  <c r="AA7" i="27"/>
  <c r="AA7" i="26" s="1"/>
  <c r="R4" i="47" s="1"/>
  <c r="AK6" i="27"/>
  <c r="AK6" i="26" s="1"/>
  <c r="AB3" i="47" s="1"/>
  <c r="Q5" i="27"/>
  <c r="Q5" i="26" s="1"/>
  <c r="H2" i="47" s="1"/>
  <c r="Y8" i="27"/>
  <c r="Y8" i="26" s="1"/>
  <c r="P5" i="47" s="1"/>
  <c r="Z10" i="27"/>
  <c r="Z10" i="26" s="1"/>
  <c r="Q7" i="47" s="1"/>
  <c r="N7" i="27"/>
  <c r="N7" i="26" s="1"/>
  <c r="E4" i="47" s="1"/>
  <c r="Y6" i="27"/>
  <c r="Y6" i="26" s="1"/>
  <c r="P3" i="47" s="1"/>
  <c r="P5" i="27"/>
  <c r="P5" i="26" s="1"/>
  <c r="G2" i="47" s="1"/>
  <c r="L8" i="27"/>
  <c r="L8" i="26" s="1"/>
  <c r="C5" i="47" s="1"/>
  <c r="AP6" i="27"/>
  <c r="AP6" i="26" s="1"/>
  <c r="AG3" i="47" s="1"/>
  <c r="D7" i="27"/>
  <c r="D7" i="26" s="1"/>
  <c r="AD10" i="27"/>
  <c r="AD10" i="26" s="1"/>
  <c r="U7" i="47" s="1"/>
  <c r="E7" i="27"/>
  <c r="E7" i="26" s="1"/>
  <c r="D9" i="27"/>
  <c r="D9" i="26" s="1"/>
  <c r="AG6" i="27"/>
  <c r="AG6" i="26" s="1"/>
  <c r="X3" i="47" s="1"/>
  <c r="C7" i="27"/>
  <c r="C7" i="26" s="1"/>
  <c r="O9" i="27"/>
  <c r="O9" i="26" s="1"/>
  <c r="F6" i="47" s="1"/>
  <c r="AO10" i="27"/>
  <c r="AO10" i="26" s="1"/>
  <c r="AF7" i="47" s="1"/>
  <c r="AO8" i="27"/>
  <c r="AO8" i="26" s="1"/>
  <c r="AF5" i="47" s="1"/>
  <c r="AF7" i="27"/>
  <c r="AF7" i="26" s="1"/>
  <c r="W4" i="47" s="1"/>
  <c r="Z6" i="27"/>
  <c r="Z6" i="26" s="1"/>
  <c r="Q3" i="47" s="1"/>
  <c r="AP9" i="27"/>
  <c r="AP9" i="26" s="1"/>
  <c r="AG6" i="47" s="1"/>
  <c r="O10" i="27"/>
  <c r="O10" i="26" s="1"/>
  <c r="F7" i="47" s="1"/>
  <c r="S7" i="27"/>
  <c r="S7" i="26" s="1"/>
  <c r="J4" i="47" s="1"/>
  <c r="C9" i="27"/>
  <c r="C9" i="26" s="1"/>
  <c r="AL10" i="27"/>
  <c r="AL10" i="26" s="1"/>
  <c r="AC7" i="47" s="1"/>
  <c r="AL8" i="27"/>
  <c r="AL8" i="26" s="1"/>
  <c r="AC5" i="47" s="1"/>
  <c r="AU6" i="27"/>
  <c r="AU6" i="26" s="1"/>
  <c r="AL3" i="47" s="1"/>
  <c r="X6" i="27"/>
  <c r="X6" i="26" s="1"/>
  <c r="O3" i="47" s="1"/>
  <c r="AL9" i="27"/>
  <c r="AL9" i="26" s="1"/>
  <c r="AC6" i="47" s="1"/>
  <c r="G8" i="27"/>
  <c r="G8" i="26" s="1"/>
  <c r="AK9" i="27"/>
  <c r="AK9" i="26" s="1"/>
  <c r="AB6" i="47" s="1"/>
  <c r="J10" i="27"/>
  <c r="J10" i="26" s="1"/>
  <c r="AI5" i="27"/>
  <c r="AI5" i="26" s="1"/>
  <c r="Z2" i="47" s="1"/>
  <c r="M6" i="27"/>
  <c r="M6" i="26" s="1"/>
  <c r="D3" i="47" s="1"/>
  <c r="D10" i="27"/>
  <c r="D10" i="26" s="1"/>
  <c r="U9" i="27"/>
  <c r="U9" i="26" s="1"/>
  <c r="L6" i="47" s="1"/>
  <c r="AN5" i="27"/>
  <c r="AN5" i="26" s="1"/>
  <c r="AE2" i="47" s="1"/>
  <c r="E9" i="27"/>
  <c r="E9" i="26" s="1"/>
  <c r="AN7" i="27"/>
  <c r="AN7" i="26" s="1"/>
  <c r="AE4" i="47" s="1"/>
  <c r="AH8" i="27"/>
  <c r="AH8" i="26" s="1"/>
  <c r="Y5" i="47" s="1"/>
  <c r="AM9" i="27"/>
  <c r="AM9" i="26" s="1"/>
  <c r="AD6" i="47" s="1"/>
  <c r="AA5" i="27"/>
  <c r="AA5" i="26" s="1"/>
  <c r="R2" i="47" s="1"/>
  <c r="V7" i="27"/>
  <c r="V7" i="26" s="1"/>
  <c r="M4" i="47" s="1"/>
  <c r="G6" i="27"/>
  <c r="G6" i="26" s="1"/>
  <c r="Q9" i="27"/>
  <c r="Q9" i="26" s="1"/>
  <c r="H6" i="47" s="1"/>
  <c r="AO5" i="27"/>
  <c r="AO5" i="26" s="1"/>
  <c r="AF2" i="47" s="1"/>
  <c r="AI9" i="27"/>
  <c r="AI9" i="26" s="1"/>
  <c r="Z6" i="47" s="1"/>
  <c r="AJ5" i="27"/>
  <c r="AJ5" i="26" s="1"/>
  <c r="AA2" i="47" s="1"/>
  <c r="AR6" i="27"/>
  <c r="AR6" i="26" s="1"/>
  <c r="AI3" i="47" s="1"/>
  <c r="AM10" i="27"/>
  <c r="AM10" i="26" s="1"/>
  <c r="AD7" i="47" s="1"/>
  <c r="J8" i="27"/>
  <c r="J8" i="26" s="1"/>
  <c r="AF8" i="27"/>
  <c r="AF8" i="26" s="1"/>
  <c r="W5" i="47" s="1"/>
  <c r="L9" i="27"/>
  <c r="L9" i="26" s="1"/>
  <c r="C6" i="47" s="1"/>
  <c r="AT10" i="27"/>
  <c r="AT10" i="26" s="1"/>
  <c r="AK7" i="47" s="1"/>
  <c r="P7" i="27"/>
  <c r="P7" i="26" s="1"/>
  <c r="G4" i="47" s="1"/>
  <c r="W10" i="27"/>
  <c r="W10" i="26" s="1"/>
  <c r="N7" i="47" s="1"/>
  <c r="V9" i="27"/>
  <c r="V9" i="26" s="1"/>
  <c r="M6" i="47" s="1"/>
  <c r="AP8" i="27"/>
  <c r="AP8" i="26" s="1"/>
  <c r="AG5" i="47" s="1"/>
  <c r="Y7" i="27"/>
  <c r="Y7" i="26" s="1"/>
  <c r="P4" i="47" s="1"/>
  <c r="AD9" i="27"/>
  <c r="AD9" i="26" s="1"/>
  <c r="U6" i="47" s="1"/>
  <c r="D5" i="27"/>
  <c r="D5" i="26" s="1"/>
  <c r="D6" i="27"/>
  <c r="D6" i="26" s="1"/>
  <c r="V8" i="27"/>
  <c r="V8" i="26" s="1"/>
  <c r="M5" i="47" s="1"/>
  <c r="AI8" i="27"/>
  <c r="AI8" i="26" s="1"/>
  <c r="Z5" i="47" s="1"/>
  <c r="V10" i="27"/>
  <c r="V10" i="26" s="1"/>
  <c r="M7" i="47" s="1"/>
  <c r="U8" i="27"/>
  <c r="U8" i="26" s="1"/>
  <c r="L5" i="47" s="1"/>
  <c r="U7" i="27"/>
  <c r="U7" i="26" s="1"/>
  <c r="L4" i="47" s="1"/>
  <c r="AS7" i="27"/>
  <c r="AS7" i="26" s="1"/>
  <c r="AJ4" i="47" s="1"/>
  <c r="AR9" i="27"/>
  <c r="AR9" i="26" s="1"/>
  <c r="AI6" i="47" s="1"/>
  <c r="S8" i="27"/>
  <c r="S8" i="26" s="1"/>
  <c r="J5" i="47" s="1"/>
  <c r="M10" i="27"/>
  <c r="M10" i="26" s="1"/>
  <c r="D7" i="47" s="1"/>
  <c r="AF5" i="27"/>
  <c r="AF5" i="26" s="1"/>
  <c r="W2" i="47" s="1"/>
  <c r="AS5" i="27"/>
  <c r="AS5" i="26" s="1"/>
  <c r="AJ2" i="47" s="1"/>
  <c r="AA6" i="27"/>
  <c r="AA6" i="26" s="1"/>
  <c r="R3" i="47" s="1"/>
  <c r="V5" i="27"/>
  <c r="V5" i="26" s="1"/>
  <c r="M2" i="47" s="1"/>
  <c r="N9" i="27"/>
  <c r="N9" i="26" s="1"/>
  <c r="E6" i="47" s="1"/>
  <c r="Q8" i="27"/>
  <c r="Q8" i="26" s="1"/>
  <c r="H5" i="47" s="1"/>
  <c r="F10" i="27"/>
  <c r="F10" i="26" s="1"/>
  <c r="G5" i="27"/>
  <c r="G5" i="26" s="1"/>
  <c r="AK5" i="27"/>
  <c r="AK5" i="26" s="1"/>
  <c r="AB2" i="47" s="1"/>
  <c r="U6" i="27"/>
  <c r="U6" i="26" s="1"/>
  <c r="L3" i="47" s="1"/>
  <c r="N10" i="27"/>
  <c r="N10" i="26" s="1"/>
  <c r="E7" i="47" s="1"/>
  <c r="AE5" i="27"/>
  <c r="AE5" i="26" s="1"/>
  <c r="V2" i="47" s="1"/>
  <c r="G10" i="27"/>
  <c r="G10" i="26" s="1"/>
  <c r="AC7" i="27"/>
  <c r="AC7" i="26" s="1"/>
  <c r="T4" i="47" s="1"/>
  <c r="AL6" i="27"/>
  <c r="AL6" i="26" s="1"/>
  <c r="AC3" i="47" s="1"/>
  <c r="AK10" i="27"/>
  <c r="AK10" i="26" s="1"/>
  <c r="AB7" i="47" s="1"/>
  <c r="AF6" i="27"/>
  <c r="AF6" i="26" s="1"/>
  <c r="W3" i="47" s="1"/>
  <c r="AM6" i="27"/>
  <c r="AM6" i="26" s="1"/>
  <c r="AD3" i="47" s="1"/>
  <c r="R8" i="27"/>
  <c r="R8" i="26" s="1"/>
  <c r="I5" i="47" s="1"/>
  <c r="H9" i="27"/>
  <c r="H9" i="26" s="1"/>
  <c r="I8" i="27"/>
  <c r="I8" i="26" s="1"/>
  <c r="C5" i="27"/>
  <c r="C5" i="26" s="1"/>
  <c r="AQ7" i="27"/>
  <c r="AQ7" i="26" s="1"/>
  <c r="AH4" i="47" s="1"/>
  <c r="AE6" i="27"/>
  <c r="AE6" i="26" s="1"/>
  <c r="V3" i="47" s="1"/>
  <c r="R10" i="27"/>
  <c r="R10" i="26" s="1"/>
  <c r="I7" i="47" s="1"/>
  <c r="AP7" i="27"/>
  <c r="AP7" i="26" s="1"/>
  <c r="AG4" i="47" s="1"/>
  <c r="C8" i="27"/>
  <c r="C8" i="26" s="1"/>
  <c r="N6" i="27"/>
  <c r="N6" i="26" s="1"/>
  <c r="E3" i="47" s="1"/>
  <c r="AQ9" i="27"/>
  <c r="AQ9" i="26" s="1"/>
  <c r="AH6" i="47" s="1"/>
  <c r="M7" i="27"/>
  <c r="M7" i="26" s="1"/>
  <c r="D4" i="47" s="1"/>
  <c r="T8" i="27"/>
  <c r="T8" i="26" s="1"/>
  <c r="K5" i="47" s="1"/>
  <c r="AR8" i="27"/>
  <c r="AR8" i="26" s="1"/>
  <c r="AI5" i="47" s="1"/>
  <c r="H10" i="27"/>
  <c r="H10" i="26" s="1"/>
  <c r="AQ8" i="27"/>
  <c r="AQ8" i="26" s="1"/>
  <c r="AH5" i="47" s="1"/>
  <c r="R6" i="27"/>
  <c r="R6" i="26" s="1"/>
  <c r="I3" i="47" s="1"/>
  <c r="AH9" i="27"/>
  <c r="AH9" i="26" s="1"/>
  <c r="Y6" i="47" s="1"/>
  <c r="O5" i="27"/>
  <c r="O5" i="26" s="1"/>
  <c r="F2" i="47" s="1"/>
  <c r="K7" i="27"/>
  <c r="K7" i="26" s="1"/>
  <c r="B4" i="47" s="1"/>
  <c r="L10" i="27"/>
  <c r="L10" i="26" s="1"/>
  <c r="C7" i="47" s="1"/>
  <c r="AP5" i="27"/>
  <c r="AP5" i="26" s="1"/>
  <c r="AG2" i="47" s="1"/>
  <c r="D8" i="27"/>
  <c r="D8" i="26" s="1"/>
  <c r="S6" i="27"/>
  <c r="S6" i="26" s="1"/>
  <c r="J3" i="47" s="1"/>
  <c r="O7" i="27"/>
  <c r="O7" i="26" s="1"/>
  <c r="F4" i="47" s="1"/>
  <c r="AR5" i="27"/>
  <c r="AR5" i="26" s="1"/>
  <c r="AI2" i="47" s="1"/>
  <c r="F7" i="27"/>
  <c r="F7" i="26" s="1"/>
  <c r="AB6" i="27"/>
  <c r="AB6" i="26" s="1"/>
  <c r="S3" i="47" s="1"/>
  <c r="J9" i="27"/>
  <c r="J9" i="26" s="1"/>
  <c r="AU37" i="27"/>
  <c r="AU37" i="26" s="1"/>
  <c r="AL7" i="48" s="1"/>
  <c r="AE36" i="27"/>
  <c r="AE36" i="26" s="1"/>
  <c r="V6" i="48" s="1"/>
  <c r="AU33" i="27"/>
  <c r="AU33" i="26" s="1"/>
  <c r="AL3" i="48" s="1"/>
  <c r="Y36" i="27"/>
  <c r="Y36" i="26" s="1"/>
  <c r="P6" i="48" s="1"/>
  <c r="AD33" i="27"/>
  <c r="AD33" i="26" s="1"/>
  <c r="U3" i="48" s="1"/>
  <c r="O34" i="27"/>
  <c r="O34" i="26" s="1"/>
  <c r="F4" i="48" s="1"/>
  <c r="AE35" i="27"/>
  <c r="AE35" i="26" s="1"/>
  <c r="V5" i="48" s="1"/>
  <c r="AR34" i="27"/>
  <c r="AR34" i="26" s="1"/>
  <c r="AI4" i="48" s="1"/>
  <c r="R35" i="27"/>
  <c r="R35" i="26" s="1"/>
  <c r="I5" i="48" s="1"/>
  <c r="V37" i="27"/>
  <c r="V37" i="26" s="1"/>
  <c r="M7" i="48" s="1"/>
  <c r="AQ34" i="27"/>
  <c r="AQ34" i="26" s="1"/>
  <c r="AH4" i="48" s="1"/>
  <c r="R32" i="27"/>
  <c r="R32" i="26" s="1"/>
  <c r="I2" i="48" s="1"/>
  <c r="D32" i="27"/>
  <c r="D32" i="26" s="1"/>
  <c r="E34" i="27"/>
  <c r="E34" i="26" s="1"/>
  <c r="D36" i="27"/>
  <c r="D36" i="26" s="1"/>
  <c r="W34" i="27"/>
  <c r="W34" i="26" s="1"/>
  <c r="N4" i="48" s="1"/>
  <c r="AQ32" i="27"/>
  <c r="AQ32" i="26" s="1"/>
  <c r="AH2" i="48" s="1"/>
  <c r="P9" i="27"/>
  <c r="P9" i="26" s="1"/>
  <c r="G6" i="47" s="1"/>
  <c r="Z8" i="27"/>
  <c r="Z8" i="26" s="1"/>
  <c r="Q5" i="47" s="1"/>
  <c r="I7" i="27"/>
  <c r="I7" i="26" s="1"/>
  <c r="H7" i="27"/>
  <c r="H7" i="26" s="1"/>
  <c r="K5" i="27"/>
  <c r="K5" i="26" s="1"/>
  <c r="B2" i="47" s="1"/>
  <c r="AE7" i="27"/>
  <c r="AE7" i="26" s="1"/>
  <c r="V4" i="47" s="1"/>
  <c r="I9" i="27"/>
  <c r="I9" i="26" s="1"/>
  <c r="AH5" i="27"/>
  <c r="AH5" i="26" s="1"/>
  <c r="Y2" i="47" s="1"/>
  <c r="AS10" i="27"/>
  <c r="AS10" i="26" s="1"/>
  <c r="AJ7" i="47" s="1"/>
  <c r="AE9" i="27"/>
  <c r="AE9" i="26" s="1"/>
  <c r="V6" i="47" s="1"/>
  <c r="AE8" i="27"/>
  <c r="AE8" i="26" s="1"/>
  <c r="V5" i="47" s="1"/>
  <c r="X7" i="27"/>
  <c r="X7" i="26" s="1"/>
  <c r="O4" i="47" s="1"/>
  <c r="K8" i="27"/>
  <c r="K8" i="26" s="1"/>
  <c r="B5" i="47" s="1"/>
  <c r="AB5" i="27"/>
  <c r="AB5" i="26" s="1"/>
  <c r="S2" i="47" s="1"/>
  <c r="E8" i="27"/>
  <c r="E8" i="26" s="1"/>
  <c r="AS9" i="27"/>
  <c r="AS9" i="26" s="1"/>
  <c r="AJ6" i="47" s="1"/>
  <c r="I6" i="27"/>
  <c r="I6" i="26" s="1"/>
  <c r="R5" i="27"/>
  <c r="R5" i="26" s="1"/>
  <c r="I2" i="47" s="1"/>
  <c r="AN9" i="27"/>
  <c r="AN9" i="26" s="1"/>
  <c r="AE6" i="47" s="1"/>
  <c r="J5" i="27"/>
  <c r="J5" i="26" s="1"/>
  <c r="S9" i="27"/>
  <c r="S9" i="26" s="1"/>
  <c r="J6" i="47" s="1"/>
  <c r="AI6" i="27"/>
  <c r="AI6" i="26" s="1"/>
  <c r="Z3" i="47" s="1"/>
  <c r="AG10" i="27"/>
  <c r="AG10" i="26" s="1"/>
  <c r="X7" i="47" s="1"/>
  <c r="AU7" i="27"/>
  <c r="AU7" i="26" s="1"/>
  <c r="AL4" i="47" s="1"/>
  <c r="E5" i="27"/>
  <c r="E5" i="26" s="1"/>
  <c r="T6" i="27"/>
  <c r="T6" i="26" s="1"/>
  <c r="K3" i="47" s="1"/>
  <c r="AT9" i="27"/>
  <c r="AT9" i="26" s="1"/>
  <c r="AK6" i="47" s="1"/>
  <c r="T7" i="27"/>
  <c r="T7" i="26" s="1"/>
  <c r="K4" i="47" s="1"/>
  <c r="W8" i="27"/>
  <c r="W8" i="26" s="1"/>
  <c r="N5" i="47" s="1"/>
  <c r="AS8" i="27"/>
  <c r="AS8" i="26" s="1"/>
  <c r="AJ5" i="47" s="1"/>
  <c r="P10" i="27"/>
  <c r="P10" i="26" s="1"/>
  <c r="G7" i="47" s="1"/>
  <c r="L5" i="27"/>
  <c r="L5" i="26" s="1"/>
  <c r="C2" i="47" s="1"/>
  <c r="N5" i="27"/>
  <c r="N5" i="26" s="1"/>
  <c r="E2" i="47" s="1"/>
  <c r="U10" i="27"/>
  <c r="U10" i="26" s="1"/>
  <c r="L7" i="47" s="1"/>
  <c r="O6" i="27"/>
  <c r="O6" i="26" s="1"/>
  <c r="F3" i="47" s="1"/>
  <c r="AK7" i="27"/>
  <c r="AK7" i="26" s="1"/>
  <c r="AB4" i="47" s="1"/>
  <c r="AJ10" i="27"/>
  <c r="AJ10" i="26" s="1"/>
  <c r="AA7" i="47" s="1"/>
  <c r="Z7" i="27"/>
  <c r="Z7" i="26" s="1"/>
  <c r="Q4" i="47" s="1"/>
  <c r="I10" i="27"/>
  <c r="I10" i="26" s="1"/>
  <c r="T5" i="27"/>
  <c r="T5" i="26" s="1"/>
  <c r="K2" i="47" s="1"/>
  <c r="V6" i="27"/>
  <c r="V6" i="26" s="1"/>
  <c r="M3" i="47" s="1"/>
  <c r="M9" i="27"/>
  <c r="M9" i="26" s="1"/>
  <c r="D6" i="47" s="1"/>
  <c r="AO6" i="27"/>
  <c r="AO6" i="26" s="1"/>
  <c r="AF3" i="47" s="1"/>
  <c r="AR7" i="27"/>
  <c r="AR7" i="26" s="1"/>
  <c r="AI4" i="47" s="1"/>
  <c r="X8" i="27"/>
  <c r="X8" i="26" s="1"/>
  <c r="O5" i="47" s="1"/>
  <c r="AN8" i="27"/>
  <c r="AN8" i="26" s="1"/>
  <c r="AE5" i="47" s="1"/>
  <c r="T9" i="27"/>
  <c r="T9" i="26" s="1"/>
  <c r="K6" i="47" s="1"/>
  <c r="AN10" i="27"/>
  <c r="AN10" i="26" s="1"/>
  <c r="AE7" i="47" s="1"/>
  <c r="AD8" i="27"/>
  <c r="AD8" i="26" s="1"/>
  <c r="U5" i="47" s="1"/>
  <c r="AO7" i="27"/>
  <c r="AO7" i="26" s="1"/>
  <c r="AF4" i="47" s="1"/>
  <c r="AM7" i="27"/>
  <c r="AM7" i="26" s="1"/>
  <c r="AD4" i="47" s="1"/>
  <c r="E6" i="27"/>
  <c r="E6" i="26" s="1"/>
  <c r="AF10" i="27"/>
  <c r="AF10" i="26" s="1"/>
  <c r="W7" i="47" s="1"/>
  <c r="N8" i="27"/>
  <c r="N8" i="26" s="1"/>
  <c r="E5" i="47" s="1"/>
  <c r="P6" i="27"/>
  <c r="P6" i="26" s="1"/>
  <c r="G3" i="47" s="1"/>
  <c r="U5" i="27"/>
  <c r="U5" i="26" s="1"/>
  <c r="L2" i="47" s="1"/>
  <c r="AT7" i="27"/>
  <c r="AT7" i="26" s="1"/>
  <c r="AK4" i="47" s="1"/>
  <c r="AK8" i="27"/>
  <c r="AK8" i="26" s="1"/>
  <c r="AB5" i="47" s="1"/>
  <c r="X9" i="27"/>
  <c r="X9" i="26" s="1"/>
  <c r="O6" i="47" s="1"/>
  <c r="Z9" i="27"/>
  <c r="Z9" i="26" s="1"/>
  <c r="Q6" i="47" s="1"/>
  <c r="AI7" i="27"/>
  <c r="AI7" i="26" s="1"/>
  <c r="Z4" i="47" s="1"/>
  <c r="AC9" i="27"/>
  <c r="AC9" i="26" s="1"/>
  <c r="T6" i="47" s="1"/>
  <c r="Q6" i="27"/>
  <c r="Q6" i="26" s="1"/>
  <c r="H3" i="47" s="1"/>
  <c r="F9" i="27"/>
  <c r="F9" i="26" s="1"/>
  <c r="C10" i="27"/>
  <c r="C10" i="26" s="1"/>
  <c r="AM5" i="27"/>
  <c r="AM5" i="26" s="1"/>
  <c r="AD2" i="47" s="1"/>
  <c r="AU5" i="27"/>
  <c r="AU5" i="26" s="1"/>
  <c r="AL2" i="47" s="1"/>
  <c r="AE145" i="20"/>
  <c r="AE149" i="20"/>
  <c r="AE136" i="20"/>
  <c r="AS23" i="23"/>
  <c r="J22" i="10"/>
  <c r="AQ24" i="23" s="1"/>
  <c r="K21" i="10"/>
  <c r="AG23" i="23" s="1"/>
  <c r="AI23" i="23" s="1"/>
  <c r="AE137" i="20"/>
  <c r="AE135" i="20"/>
  <c r="AE154" i="20"/>
  <c r="AE155" i="20"/>
  <c r="AE156" i="20"/>
  <c r="AE164" i="20"/>
  <c r="AE147" i="20"/>
  <c r="AE161" i="20"/>
  <c r="AE134" i="20"/>
  <c r="AE143" i="20"/>
  <c r="AE139" i="20"/>
  <c r="AL43" i="26"/>
  <c r="AC4" i="49" s="1"/>
  <c r="AR44" i="26"/>
  <c r="AI5" i="49" s="1"/>
  <c r="AM42" i="26"/>
  <c r="AD3" i="49" s="1"/>
  <c r="X43" i="26"/>
  <c r="O4" i="49" s="1"/>
  <c r="AA43" i="26"/>
  <c r="R4" i="49" s="1"/>
  <c r="R45" i="26"/>
  <c r="I6" i="49" s="1"/>
  <c r="AP45" i="26"/>
  <c r="AG6" i="49" s="1"/>
  <c r="AC42" i="26"/>
  <c r="T3" i="49" s="1"/>
  <c r="P25" i="22"/>
  <c r="Q24" i="22"/>
  <c r="AE160" i="20"/>
  <c r="I151" i="20"/>
  <c r="I141" i="20"/>
  <c r="I156" i="20"/>
  <c r="I146" i="20"/>
  <c r="AE163" i="20"/>
  <c r="I158" i="20"/>
  <c r="AE133" i="20"/>
  <c r="AE132" i="20"/>
  <c r="I162" i="20"/>
  <c r="I153" i="20"/>
  <c r="AE152" i="20"/>
  <c r="I135" i="20"/>
  <c r="AE151" i="20"/>
  <c r="I150" i="20"/>
  <c r="AE141" i="20"/>
  <c r="AE159" i="20"/>
  <c r="I140" i="20"/>
  <c r="I157" i="20"/>
  <c r="AE146" i="20"/>
  <c r="I144" i="20"/>
  <c r="AE158" i="20"/>
  <c r="I142" i="20"/>
  <c r="I133" i="20"/>
  <c r="I148" i="20"/>
  <c r="AE162" i="20"/>
  <c r="I138" i="20"/>
  <c r="AE153" i="20"/>
  <c r="I160" i="20"/>
  <c r="AE140" i="20"/>
  <c r="AE144" i="20"/>
  <c r="AE148" i="20"/>
  <c r="C32" i="20"/>
  <c r="Y32" i="20" s="1"/>
  <c r="L24" i="23" s="1"/>
  <c r="G33" i="20"/>
  <c r="AC33" i="20" s="1"/>
  <c r="AF25" i="23" s="1"/>
  <c r="AP23" i="23"/>
  <c r="J31" i="20"/>
  <c r="T38" i="20" l="1"/>
  <c r="S37" i="20"/>
  <c r="AE37" i="20"/>
  <c r="N19" i="53"/>
  <c r="AH19" i="53"/>
  <c r="C19" i="53"/>
  <c r="E19" i="53" s="1"/>
  <c r="D19" i="53"/>
  <c r="AR19" i="53"/>
  <c r="N27" i="10"/>
  <c r="L27" i="10"/>
  <c r="AQ20" i="53"/>
  <c r="AS20" i="53" s="1"/>
  <c r="M20" i="53"/>
  <c r="AG20" i="53"/>
  <c r="AI20" i="53" s="1"/>
  <c r="S23" i="10"/>
  <c r="T22" i="10"/>
  <c r="R22" i="10" s="1"/>
  <c r="Q22" i="10" s="1"/>
  <c r="AN24" i="14"/>
  <c r="C28" i="10"/>
  <c r="U36" i="20"/>
  <c r="AD36" i="20"/>
  <c r="B28" i="23"/>
  <c r="Z26" i="14"/>
  <c r="Y25" i="14"/>
  <c r="AL25" i="14" s="1"/>
  <c r="D21" i="23"/>
  <c r="N21" i="23"/>
  <c r="AR21" i="23"/>
  <c r="H20" i="10"/>
  <c r="AH22" i="23"/>
  <c r="C22" i="23"/>
  <c r="E22" i="23" s="1"/>
  <c r="AF99" i="20"/>
  <c r="J99" i="20"/>
  <c r="U100" i="20"/>
  <c r="C100" i="20"/>
  <c r="Y100" i="20" s="1"/>
  <c r="L37" i="53" s="1"/>
  <c r="I21" i="10"/>
  <c r="AS24" i="23"/>
  <c r="K22" i="10"/>
  <c r="AG24" i="23" s="1"/>
  <c r="J23" i="10"/>
  <c r="AQ25" i="23" s="1"/>
  <c r="Q25" i="22"/>
  <c r="P26" i="22"/>
  <c r="G34" i="20"/>
  <c r="AC34" i="20" s="1"/>
  <c r="AF26" i="23" s="1"/>
  <c r="C33" i="20"/>
  <c r="Y33" i="20" s="1"/>
  <c r="L25" i="23" s="1"/>
  <c r="AP24" i="23"/>
  <c r="J32" i="20"/>
  <c r="AF31" i="20"/>
  <c r="L5" i="22"/>
  <c r="L11" i="22" s="1"/>
  <c r="AN25" i="14" l="1"/>
  <c r="C29" i="10"/>
  <c r="AH20" i="53"/>
  <c r="N20" i="53"/>
  <c r="C20" i="53"/>
  <c r="E20" i="53" s="1"/>
  <c r="AR20" i="53"/>
  <c r="D20" i="53"/>
  <c r="Z27" i="14"/>
  <c r="Y26" i="14"/>
  <c r="AL26" i="14" s="1"/>
  <c r="AG21" i="53"/>
  <c r="AI21" i="53" s="1"/>
  <c r="AQ21" i="53"/>
  <c r="AS21" i="53" s="1"/>
  <c r="M21" i="53"/>
  <c r="S24" i="10"/>
  <c r="T23" i="10"/>
  <c r="R23" i="10" s="1"/>
  <c r="Q23" i="10" s="1"/>
  <c r="B29" i="23"/>
  <c r="U37" i="20"/>
  <c r="AD37" i="20"/>
  <c r="N28" i="10"/>
  <c r="L28" i="10"/>
  <c r="T39" i="20"/>
  <c r="S38" i="20"/>
  <c r="AE38" i="20"/>
  <c r="N22" i="23"/>
  <c r="AR22" i="23"/>
  <c r="D22" i="23"/>
  <c r="H21" i="10"/>
  <c r="C23" i="23"/>
  <c r="E23" i="23" s="1"/>
  <c r="AH23" i="23"/>
  <c r="U101" i="20"/>
  <c r="AF100" i="20"/>
  <c r="J100" i="20"/>
  <c r="C101" i="20"/>
  <c r="Y101" i="20" s="1"/>
  <c r="L38" i="53" s="1"/>
  <c r="I22" i="10"/>
  <c r="AI24" i="23"/>
  <c r="AS25" i="23"/>
  <c r="K23" i="10"/>
  <c r="AG25" i="23" s="1"/>
  <c r="AI25" i="23" s="1"/>
  <c r="J24" i="10"/>
  <c r="AQ26" i="23" s="1"/>
  <c r="P27" i="22"/>
  <c r="Q26" i="22"/>
  <c r="G35" i="20"/>
  <c r="AC35" i="20" s="1"/>
  <c r="AF27" i="23" s="1"/>
  <c r="C34" i="20"/>
  <c r="Y34" i="20" s="1"/>
  <c r="L26" i="23" s="1"/>
  <c r="AP25" i="23"/>
  <c r="J33" i="20"/>
  <c r="AF32" i="20"/>
  <c r="L14" i="22"/>
  <c r="L10" i="22"/>
  <c r="L12" i="22"/>
  <c r="L13" i="22"/>
  <c r="B30" i="23" l="1"/>
  <c r="Z28" i="14"/>
  <c r="Y27" i="14"/>
  <c r="AL27" i="14" s="1"/>
  <c r="U38" i="20"/>
  <c r="AD38" i="20"/>
  <c r="AH21" i="53"/>
  <c r="AR21" i="53"/>
  <c r="C21" i="53"/>
  <c r="E21" i="53" s="1"/>
  <c r="N21" i="53"/>
  <c r="D21" i="53"/>
  <c r="N29" i="10"/>
  <c r="L29" i="10"/>
  <c r="T40" i="20"/>
  <c r="S39" i="20"/>
  <c r="AE39" i="20"/>
  <c r="AG22" i="53"/>
  <c r="AI22" i="53" s="1"/>
  <c r="AQ22" i="53"/>
  <c r="AS22" i="53" s="1"/>
  <c r="M22" i="53"/>
  <c r="S25" i="10"/>
  <c r="T24" i="10"/>
  <c r="R24" i="10" s="1"/>
  <c r="Q24" i="10" s="1"/>
  <c r="AN26" i="14"/>
  <c r="C30" i="10"/>
  <c r="D23" i="23"/>
  <c r="N23" i="23"/>
  <c r="AR23" i="23"/>
  <c r="H22" i="10"/>
  <c r="C24" i="23"/>
  <c r="E24" i="23" s="1"/>
  <c r="AH24" i="23"/>
  <c r="J101" i="20"/>
  <c r="AF101" i="20"/>
  <c r="C102" i="20"/>
  <c r="Y102" i="20" s="1"/>
  <c r="L39" i="53" s="1"/>
  <c r="U102" i="20"/>
  <c r="I23" i="10"/>
  <c r="AS26" i="23"/>
  <c r="J25" i="10"/>
  <c r="AQ27" i="23" s="1"/>
  <c r="K24" i="10"/>
  <c r="AG26" i="23" s="1"/>
  <c r="AI26" i="23" s="1"/>
  <c r="Q27" i="22"/>
  <c r="P28" i="22"/>
  <c r="AP26" i="23"/>
  <c r="J34" i="20"/>
  <c r="C35" i="20"/>
  <c r="Y35" i="20" s="1"/>
  <c r="L27" i="23" s="1"/>
  <c r="G36" i="20"/>
  <c r="AC36" i="20" s="1"/>
  <c r="AF28" i="23" s="1"/>
  <c r="AF33" i="20"/>
  <c r="AN27" i="14" l="1"/>
  <c r="C31" i="10"/>
  <c r="N30" i="10"/>
  <c r="L30" i="10"/>
  <c r="U39" i="20"/>
  <c r="AD39" i="20"/>
  <c r="Z29" i="14"/>
  <c r="Y28" i="14"/>
  <c r="AL28" i="14" s="1"/>
  <c r="AG23" i="53"/>
  <c r="AI23" i="53" s="1"/>
  <c r="M23" i="53"/>
  <c r="AQ23" i="53"/>
  <c r="AS23" i="53" s="1"/>
  <c r="S26" i="10"/>
  <c r="T25" i="10"/>
  <c r="R25" i="10" s="1"/>
  <c r="Q25" i="10" s="1"/>
  <c r="T41" i="20"/>
  <c r="S40" i="20"/>
  <c r="AE40" i="20"/>
  <c r="C22" i="53"/>
  <c r="E22" i="53" s="1"/>
  <c r="AH22" i="53"/>
  <c r="N22" i="53"/>
  <c r="AR22" i="53"/>
  <c r="D22" i="53"/>
  <c r="B31" i="23"/>
  <c r="N24" i="23"/>
  <c r="AR24" i="23"/>
  <c r="H23" i="10"/>
  <c r="AH25" i="23"/>
  <c r="C25" i="23"/>
  <c r="E25" i="23" s="1"/>
  <c r="D24" i="23"/>
  <c r="J102" i="20"/>
  <c r="AF102" i="20"/>
  <c r="U103" i="20"/>
  <c r="C103" i="20"/>
  <c r="Y103" i="20" s="1"/>
  <c r="L40" i="53" s="1"/>
  <c r="I24" i="10"/>
  <c r="AS27" i="23"/>
  <c r="J26" i="10"/>
  <c r="AQ28" i="23" s="1"/>
  <c r="K25" i="10"/>
  <c r="AG27" i="23" s="1"/>
  <c r="P29" i="22"/>
  <c r="Q28" i="22"/>
  <c r="AF34" i="20"/>
  <c r="J35" i="20"/>
  <c r="AP27" i="23"/>
  <c r="C36" i="20"/>
  <c r="Y36" i="20" s="1"/>
  <c r="L28" i="23" s="1"/>
  <c r="G37" i="20"/>
  <c r="AC37" i="20" s="1"/>
  <c r="AF29" i="23" s="1"/>
  <c r="AQ24" i="53" l="1"/>
  <c r="AS24" i="53" s="1"/>
  <c r="AG24" i="53"/>
  <c r="AI24" i="53" s="1"/>
  <c r="M24" i="53"/>
  <c r="S27" i="10"/>
  <c r="T26" i="10"/>
  <c r="R26" i="10" s="1"/>
  <c r="Q26" i="10" s="1"/>
  <c r="B32" i="23"/>
  <c r="U40" i="20"/>
  <c r="AD40" i="20"/>
  <c r="Z30" i="14"/>
  <c r="Y29" i="14"/>
  <c r="AL29" i="14" s="1"/>
  <c r="C32" i="10"/>
  <c r="AN28" i="14"/>
  <c r="T42" i="20"/>
  <c r="S41" i="20"/>
  <c r="AE41" i="20"/>
  <c r="N31" i="10"/>
  <c r="L31" i="10"/>
  <c r="D23" i="53"/>
  <c r="N23" i="53"/>
  <c r="AR23" i="53"/>
  <c r="AH23" i="53"/>
  <c r="C23" i="53"/>
  <c r="E23" i="53" s="1"/>
  <c r="N25" i="23"/>
  <c r="AR25" i="23"/>
  <c r="D25" i="23"/>
  <c r="H24" i="10"/>
  <c r="AH26" i="23"/>
  <c r="C26" i="23"/>
  <c r="E26" i="23" s="1"/>
  <c r="AF103" i="20"/>
  <c r="J103" i="20"/>
  <c r="U104" i="20"/>
  <c r="C104" i="20"/>
  <c r="Y104" i="20" s="1"/>
  <c r="L41" i="53" s="1"/>
  <c r="I25" i="10"/>
  <c r="AS28" i="23"/>
  <c r="K26" i="10"/>
  <c r="AG28" i="23" s="1"/>
  <c r="AI28" i="23" s="1"/>
  <c r="J27" i="10"/>
  <c r="AQ29" i="23" s="1"/>
  <c r="AI27" i="23"/>
  <c r="Q29" i="22"/>
  <c r="P30" i="22"/>
  <c r="AF35" i="20"/>
  <c r="AP28" i="23"/>
  <c r="G38" i="20"/>
  <c r="AC38" i="20" s="1"/>
  <c r="AF30" i="23" s="1"/>
  <c r="C37" i="20"/>
  <c r="Y37" i="20" s="1"/>
  <c r="L29" i="23" s="1"/>
  <c r="J36" i="20"/>
  <c r="N32" i="10" l="1"/>
  <c r="L32" i="10"/>
  <c r="U41" i="20"/>
  <c r="AD41" i="20"/>
  <c r="C33" i="10"/>
  <c r="AN29" i="14"/>
  <c r="AQ25" i="53"/>
  <c r="AS25" i="53" s="1"/>
  <c r="AG25" i="53"/>
  <c r="AI25" i="53" s="1"/>
  <c r="M25" i="53"/>
  <c r="S28" i="10"/>
  <c r="T27" i="10"/>
  <c r="R27" i="10" s="1"/>
  <c r="Q27" i="10" s="1"/>
  <c r="B33" i="23"/>
  <c r="T43" i="20"/>
  <c r="S42" i="20"/>
  <c r="AE42" i="20"/>
  <c r="Z31" i="14"/>
  <c r="Y30" i="14"/>
  <c r="AL30" i="14" s="1"/>
  <c r="AH24" i="53"/>
  <c r="N24" i="53"/>
  <c r="C24" i="53"/>
  <c r="E24" i="53" s="1"/>
  <c r="D24" i="53"/>
  <c r="AR24" i="53"/>
  <c r="D26" i="23"/>
  <c r="N26" i="23"/>
  <c r="AR26" i="23"/>
  <c r="H25" i="10"/>
  <c r="C27" i="23"/>
  <c r="E27" i="23" s="1"/>
  <c r="AH27" i="23"/>
  <c r="U105" i="20"/>
  <c r="J104" i="20"/>
  <c r="AF104" i="20"/>
  <c r="C105" i="20"/>
  <c r="Y105" i="20" s="1"/>
  <c r="L42" i="53" s="1"/>
  <c r="I26" i="10"/>
  <c r="AS29" i="23"/>
  <c r="J28" i="10"/>
  <c r="AQ30" i="23" s="1"/>
  <c r="K27" i="10"/>
  <c r="AG29" i="23" s="1"/>
  <c r="P31" i="22"/>
  <c r="Q30" i="22"/>
  <c r="G39" i="20"/>
  <c r="AC39" i="20" s="1"/>
  <c r="AF31" i="23" s="1"/>
  <c r="C38" i="20"/>
  <c r="Y38" i="20" s="1"/>
  <c r="L30" i="23" s="1"/>
  <c r="AF36" i="20"/>
  <c r="J37" i="20"/>
  <c r="AP29" i="23"/>
  <c r="U42" i="20" l="1"/>
  <c r="AD42" i="20"/>
  <c r="N25" i="53"/>
  <c r="AH25" i="53"/>
  <c r="D25" i="53"/>
  <c r="AR25" i="53"/>
  <c r="C25" i="53"/>
  <c r="E25" i="53" s="1"/>
  <c r="AN30" i="14"/>
  <c r="C34" i="10"/>
  <c r="T44" i="20"/>
  <c r="S43" i="20"/>
  <c r="AE43" i="20"/>
  <c r="AQ26" i="53"/>
  <c r="AS26" i="53" s="1"/>
  <c r="M26" i="53"/>
  <c r="AG26" i="53"/>
  <c r="AI26" i="53" s="1"/>
  <c r="S29" i="10"/>
  <c r="T28" i="10"/>
  <c r="R28" i="10" s="1"/>
  <c r="Q28" i="10" s="1"/>
  <c r="B34" i="23"/>
  <c r="Z32" i="14"/>
  <c r="Y31" i="14"/>
  <c r="AL31" i="14" s="1"/>
  <c r="N33" i="10"/>
  <c r="L33" i="10"/>
  <c r="D27" i="23"/>
  <c r="N27" i="23"/>
  <c r="AR27" i="23"/>
  <c r="H26" i="10"/>
  <c r="C28" i="23"/>
  <c r="E28" i="23" s="1"/>
  <c r="AH28" i="23"/>
  <c r="J105" i="20"/>
  <c r="AF105" i="20"/>
  <c r="U106" i="20"/>
  <c r="C106" i="20"/>
  <c r="Y106" i="20" s="1"/>
  <c r="L43" i="53" s="1"/>
  <c r="I27" i="10"/>
  <c r="AS30" i="23"/>
  <c r="J29" i="10"/>
  <c r="AQ31" i="23" s="1"/>
  <c r="K28" i="10"/>
  <c r="AG30" i="23" s="1"/>
  <c r="AI30" i="23" s="1"/>
  <c r="AI29" i="23"/>
  <c r="Q31" i="22"/>
  <c r="P32" i="22"/>
  <c r="AF37" i="20"/>
  <c r="J38" i="20"/>
  <c r="AP30" i="23"/>
  <c r="C39" i="20"/>
  <c r="Y39" i="20" s="1"/>
  <c r="L31" i="23" s="1"/>
  <c r="G40" i="20"/>
  <c r="AC40" i="20" s="1"/>
  <c r="AF32" i="23" s="1"/>
  <c r="B35" i="23" l="1"/>
  <c r="U43" i="20"/>
  <c r="AD43" i="20"/>
  <c r="Z33" i="14"/>
  <c r="Y32" i="14"/>
  <c r="AL32" i="14" s="1"/>
  <c r="T45" i="20"/>
  <c r="S44" i="20"/>
  <c r="AE44" i="20"/>
  <c r="AQ27" i="53"/>
  <c r="AS27" i="53" s="1"/>
  <c r="M27" i="53"/>
  <c r="AG27" i="53"/>
  <c r="AI27" i="53" s="1"/>
  <c r="S30" i="10"/>
  <c r="T29" i="10"/>
  <c r="R29" i="10" s="1"/>
  <c r="Q29" i="10" s="1"/>
  <c r="AN31" i="14"/>
  <c r="C35" i="10"/>
  <c r="AR26" i="53"/>
  <c r="D26" i="53"/>
  <c r="AH26" i="53"/>
  <c r="C26" i="53"/>
  <c r="E26" i="53" s="1"/>
  <c r="N26" i="53"/>
  <c r="N34" i="10"/>
  <c r="L34" i="10"/>
  <c r="N28" i="23"/>
  <c r="AR28" i="23"/>
  <c r="H27" i="10"/>
  <c r="AH29" i="23"/>
  <c r="C29" i="23"/>
  <c r="E29" i="23" s="1"/>
  <c r="D28" i="23"/>
  <c r="C107" i="20"/>
  <c r="Y107" i="20" s="1"/>
  <c r="L44" i="53" s="1"/>
  <c r="J106" i="20"/>
  <c r="AF106" i="20"/>
  <c r="U107" i="20"/>
  <c r="I28" i="10"/>
  <c r="AS31" i="23"/>
  <c r="J30" i="10"/>
  <c r="AQ32" i="23" s="1"/>
  <c r="K29" i="10"/>
  <c r="AG31" i="23" s="1"/>
  <c r="AI31" i="23" s="1"/>
  <c r="P33" i="22"/>
  <c r="Q32" i="22"/>
  <c r="J39" i="20"/>
  <c r="AF38" i="20"/>
  <c r="C40" i="20"/>
  <c r="Y40" i="20" s="1"/>
  <c r="L32" i="23" s="1"/>
  <c r="G41" i="20"/>
  <c r="AC41" i="20" s="1"/>
  <c r="AF33" i="23" s="1"/>
  <c r="AP31" i="23"/>
  <c r="U44" i="20" l="1"/>
  <c r="AD44" i="20"/>
  <c r="B36" i="23"/>
  <c r="T46" i="20"/>
  <c r="S45" i="20"/>
  <c r="AE45" i="20"/>
  <c r="AR27" i="53"/>
  <c r="C27" i="53"/>
  <c r="E27" i="53" s="1"/>
  <c r="D27" i="53"/>
  <c r="N27" i="53"/>
  <c r="AH27" i="53"/>
  <c r="C36" i="10"/>
  <c r="AN32" i="14"/>
  <c r="N35" i="10"/>
  <c r="L35" i="10"/>
  <c r="AQ28" i="53"/>
  <c r="AS28" i="53" s="1"/>
  <c r="AG28" i="53"/>
  <c r="AI28" i="53" s="1"/>
  <c r="M28" i="53"/>
  <c r="S31" i="10"/>
  <c r="T30" i="10"/>
  <c r="R30" i="10" s="1"/>
  <c r="Q30" i="10" s="1"/>
  <c r="Z34" i="14"/>
  <c r="Y33" i="14"/>
  <c r="AL33" i="14" s="1"/>
  <c r="D29" i="23"/>
  <c r="N29" i="23"/>
  <c r="AR29" i="23"/>
  <c r="H28" i="10"/>
  <c r="AH30" i="23"/>
  <c r="C30" i="23"/>
  <c r="E30" i="23" s="1"/>
  <c r="AF107" i="20"/>
  <c r="J107" i="20"/>
  <c r="C108" i="20"/>
  <c r="Y108" i="20" s="1"/>
  <c r="L45" i="53" s="1"/>
  <c r="U108" i="20"/>
  <c r="I29" i="10"/>
  <c r="AS32" i="23"/>
  <c r="K30" i="10"/>
  <c r="AG32" i="23" s="1"/>
  <c r="AI32" i="23" s="1"/>
  <c r="J31" i="10"/>
  <c r="AQ33" i="23" s="1"/>
  <c r="Q33" i="22"/>
  <c r="P34" i="22"/>
  <c r="AP32" i="23"/>
  <c r="J40" i="20"/>
  <c r="AF39" i="20"/>
  <c r="G42" i="20"/>
  <c r="AC42" i="20" s="1"/>
  <c r="AF34" i="23" s="1"/>
  <c r="C41" i="20"/>
  <c r="Y41" i="20" s="1"/>
  <c r="L33" i="23" s="1"/>
  <c r="AQ29" i="53" l="1"/>
  <c r="AS29" i="53" s="1"/>
  <c r="AG29" i="53"/>
  <c r="AI29" i="53" s="1"/>
  <c r="M29" i="53"/>
  <c r="S32" i="10"/>
  <c r="T31" i="10"/>
  <c r="R31" i="10" s="1"/>
  <c r="Q31" i="10" s="1"/>
  <c r="C37" i="10"/>
  <c r="AN33" i="14"/>
  <c r="B37" i="23"/>
  <c r="Z35" i="14"/>
  <c r="Y34" i="14"/>
  <c r="AL34" i="14" s="1"/>
  <c r="U45" i="20"/>
  <c r="AD45" i="20"/>
  <c r="AR28" i="53"/>
  <c r="AH28" i="53"/>
  <c r="D28" i="53"/>
  <c r="N28" i="53"/>
  <c r="C28" i="53"/>
  <c r="E28" i="53" s="1"/>
  <c r="N36" i="10"/>
  <c r="L36" i="10"/>
  <c r="T47" i="20"/>
  <c r="S46" i="20"/>
  <c r="AE46" i="20"/>
  <c r="N30" i="23"/>
  <c r="AR30" i="23"/>
  <c r="H29" i="10"/>
  <c r="C31" i="23"/>
  <c r="E31" i="23" s="1"/>
  <c r="AH31" i="23"/>
  <c r="D30" i="23"/>
  <c r="AF108" i="20"/>
  <c r="J108" i="20"/>
  <c r="C109" i="20"/>
  <c r="Y109" i="20" s="1"/>
  <c r="L46" i="53" s="1"/>
  <c r="U109" i="20"/>
  <c r="I30" i="10"/>
  <c r="AS33" i="23"/>
  <c r="K31" i="10"/>
  <c r="AG33" i="23" s="1"/>
  <c r="AI33" i="23" s="1"/>
  <c r="J32" i="10"/>
  <c r="AQ34" i="23" s="1"/>
  <c r="P35" i="22"/>
  <c r="Q34" i="22"/>
  <c r="AF40" i="20"/>
  <c r="J41" i="20"/>
  <c r="G43" i="20"/>
  <c r="AC43" i="20" s="1"/>
  <c r="AF35" i="23" s="1"/>
  <c r="C42" i="20"/>
  <c r="Y42" i="20" s="1"/>
  <c r="L34" i="23" s="1"/>
  <c r="AP33" i="23"/>
  <c r="AN34" i="14" l="1"/>
  <c r="C38" i="10"/>
  <c r="AQ30" i="53"/>
  <c r="AS30" i="53" s="1"/>
  <c r="M30" i="53"/>
  <c r="AG30" i="53"/>
  <c r="AI30" i="53" s="1"/>
  <c r="S33" i="10"/>
  <c r="T32" i="10"/>
  <c r="R32" i="10" s="1"/>
  <c r="Q32" i="10" s="1"/>
  <c r="U46" i="20"/>
  <c r="AD46" i="20"/>
  <c r="Z36" i="14"/>
  <c r="Y35" i="14"/>
  <c r="AL35" i="14" s="1"/>
  <c r="N37" i="10"/>
  <c r="L37" i="10"/>
  <c r="B38" i="23"/>
  <c r="T48" i="20"/>
  <c r="S47" i="20"/>
  <c r="AE47" i="20"/>
  <c r="D29" i="53"/>
  <c r="N29" i="53"/>
  <c r="AR29" i="53"/>
  <c r="C29" i="53"/>
  <c r="E29" i="53" s="1"/>
  <c r="AH29" i="53"/>
  <c r="D31" i="23"/>
  <c r="N31" i="23"/>
  <c r="AR31" i="23"/>
  <c r="H30" i="10"/>
  <c r="C32" i="23"/>
  <c r="E32" i="23" s="1"/>
  <c r="AH32" i="23"/>
  <c r="C110" i="20"/>
  <c r="Y110" i="20" s="1"/>
  <c r="L47" i="53" s="1"/>
  <c r="U110" i="20"/>
  <c r="AF109" i="20"/>
  <c r="J109" i="20"/>
  <c r="I31" i="10"/>
  <c r="AS34" i="23"/>
  <c r="J33" i="10"/>
  <c r="AQ35" i="23" s="1"/>
  <c r="K32" i="10"/>
  <c r="AG34" i="23" s="1"/>
  <c r="AI34" i="23" s="1"/>
  <c r="Q35" i="22"/>
  <c r="P36" i="22"/>
  <c r="AF41" i="20"/>
  <c r="J42" i="20"/>
  <c r="AP34" i="23"/>
  <c r="C43" i="20"/>
  <c r="Y43" i="20" s="1"/>
  <c r="L35" i="23" s="1"/>
  <c r="G44" i="20"/>
  <c r="AC44" i="20" s="1"/>
  <c r="AF36" i="23" s="1"/>
  <c r="C39" i="10" l="1"/>
  <c r="AN35" i="14"/>
  <c r="D30" i="53"/>
  <c r="AR30" i="53"/>
  <c r="AH30" i="53"/>
  <c r="N30" i="53"/>
  <c r="C30" i="53"/>
  <c r="E30" i="53" s="1"/>
  <c r="T49" i="20"/>
  <c r="S48" i="20"/>
  <c r="AE48" i="20"/>
  <c r="Z37" i="14"/>
  <c r="Y36" i="14"/>
  <c r="AL36" i="14" s="1"/>
  <c r="AQ31" i="53"/>
  <c r="AS31" i="53" s="1"/>
  <c r="M31" i="53"/>
  <c r="AG31" i="53"/>
  <c r="AI31" i="53" s="1"/>
  <c r="S34" i="10"/>
  <c r="T33" i="10"/>
  <c r="R33" i="10" s="1"/>
  <c r="Q33" i="10" s="1"/>
  <c r="N38" i="10"/>
  <c r="L38" i="10"/>
  <c r="U47" i="20"/>
  <c r="AD47" i="20"/>
  <c r="B39" i="23"/>
  <c r="N32" i="23"/>
  <c r="AR32" i="23"/>
  <c r="D32" i="23"/>
  <c r="H31" i="10"/>
  <c r="AH33" i="23"/>
  <c r="C33" i="23"/>
  <c r="E33" i="23" s="1"/>
  <c r="C111" i="20"/>
  <c r="Y111" i="20" s="1"/>
  <c r="L48" i="53" s="1"/>
  <c r="J110" i="20"/>
  <c r="AF110" i="20"/>
  <c r="U111" i="20"/>
  <c r="I32" i="10"/>
  <c r="AS35" i="23"/>
  <c r="J34" i="10"/>
  <c r="AQ36" i="23" s="1"/>
  <c r="K33" i="10"/>
  <c r="AG35" i="23" s="1"/>
  <c r="AI35" i="23" s="1"/>
  <c r="P37" i="22"/>
  <c r="Q36" i="22"/>
  <c r="C44" i="20"/>
  <c r="Y44" i="20" s="1"/>
  <c r="L36" i="23" s="1"/>
  <c r="G45" i="20"/>
  <c r="AC45" i="20" s="1"/>
  <c r="AF37" i="23" s="1"/>
  <c r="AP35" i="23"/>
  <c r="J43" i="20"/>
  <c r="AF42" i="20"/>
  <c r="C40" i="10" l="1"/>
  <c r="AN36" i="14"/>
  <c r="B40" i="23"/>
  <c r="Z38" i="14"/>
  <c r="Y37" i="14"/>
  <c r="AL37" i="14" s="1"/>
  <c r="AQ32" i="53"/>
  <c r="AS32" i="53" s="1"/>
  <c r="AG32" i="53"/>
  <c r="AI32" i="53" s="1"/>
  <c r="M32" i="53"/>
  <c r="S35" i="10"/>
  <c r="T34" i="10"/>
  <c r="R34" i="10" s="1"/>
  <c r="Q34" i="10" s="1"/>
  <c r="T50" i="20"/>
  <c r="S49" i="20"/>
  <c r="AE49" i="20"/>
  <c r="AR31" i="53"/>
  <c r="D31" i="53"/>
  <c r="AH31" i="53"/>
  <c r="C31" i="53"/>
  <c r="E31" i="53" s="1"/>
  <c r="N31" i="53"/>
  <c r="U48" i="20"/>
  <c r="AD48" i="20"/>
  <c r="N39" i="10"/>
  <c r="L39" i="10"/>
  <c r="D33" i="23"/>
  <c r="N33" i="23"/>
  <c r="AR33" i="23"/>
  <c r="H32" i="10"/>
  <c r="AH34" i="23"/>
  <c r="C34" i="23"/>
  <c r="E34" i="23" s="1"/>
  <c r="AF111" i="20"/>
  <c r="J111" i="20"/>
  <c r="U112" i="20"/>
  <c r="C112" i="20"/>
  <c r="Y112" i="20" s="1"/>
  <c r="L49" i="53" s="1"/>
  <c r="I33" i="10"/>
  <c r="AS36" i="23"/>
  <c r="K34" i="10"/>
  <c r="AG36" i="23" s="1"/>
  <c r="AI36" i="23" s="1"/>
  <c r="J35" i="10"/>
  <c r="AQ37" i="23" s="1"/>
  <c r="Q37" i="22"/>
  <c r="P38" i="22"/>
  <c r="G46" i="20"/>
  <c r="AC46" i="20" s="1"/>
  <c r="AF38" i="23" s="1"/>
  <c r="C45" i="20"/>
  <c r="Y45" i="20" s="1"/>
  <c r="L37" i="23" s="1"/>
  <c r="J44" i="20"/>
  <c r="AF43" i="20"/>
  <c r="AP36" i="23"/>
  <c r="T51" i="20" l="1"/>
  <c r="S50" i="20"/>
  <c r="AE50" i="20"/>
  <c r="B41" i="23"/>
  <c r="AQ33" i="53"/>
  <c r="AS33" i="53" s="1"/>
  <c r="AG33" i="53"/>
  <c r="AI33" i="53" s="1"/>
  <c r="M33" i="53"/>
  <c r="S36" i="10"/>
  <c r="T35" i="10"/>
  <c r="R35" i="10" s="1"/>
  <c r="Q35" i="10" s="1"/>
  <c r="AN37" i="14"/>
  <c r="C41" i="10"/>
  <c r="AR32" i="53"/>
  <c r="N32" i="53"/>
  <c r="AH32" i="53"/>
  <c r="C32" i="53"/>
  <c r="E32" i="53" s="1"/>
  <c r="D32" i="53"/>
  <c r="U49" i="20"/>
  <c r="AD49" i="20"/>
  <c r="Z39" i="14"/>
  <c r="Y38" i="14"/>
  <c r="AL38" i="14" s="1"/>
  <c r="N40" i="10"/>
  <c r="L40" i="10"/>
  <c r="N34" i="23"/>
  <c r="AR34" i="23"/>
  <c r="H33" i="10"/>
  <c r="C35" i="23"/>
  <c r="E35" i="23" s="1"/>
  <c r="AH35" i="23"/>
  <c r="D34" i="23"/>
  <c r="AF112" i="20"/>
  <c r="J112" i="20"/>
  <c r="I34" i="10"/>
  <c r="AS37" i="23"/>
  <c r="J36" i="10"/>
  <c r="AQ38" i="23" s="1"/>
  <c r="K35" i="10"/>
  <c r="AG37" i="23" s="1"/>
  <c r="AI37" i="23" s="1"/>
  <c r="P39" i="22"/>
  <c r="Q38" i="22"/>
  <c r="AF44" i="20"/>
  <c r="J45" i="20"/>
  <c r="AP37" i="23"/>
  <c r="G47" i="20"/>
  <c r="AC47" i="20" s="1"/>
  <c r="AF39" i="23" s="1"/>
  <c r="C46" i="20"/>
  <c r="Y46" i="20" s="1"/>
  <c r="L38" i="23" s="1"/>
  <c r="Z40" i="14" l="1"/>
  <c r="Y39" i="14"/>
  <c r="AL39" i="14" s="1"/>
  <c r="N41" i="10"/>
  <c r="L41" i="10"/>
  <c r="B42" i="23"/>
  <c r="AR33" i="53"/>
  <c r="D33" i="53"/>
  <c r="AH33" i="53"/>
  <c r="N33" i="53"/>
  <c r="C33" i="53"/>
  <c r="U50" i="20"/>
  <c r="AD50" i="20"/>
  <c r="AN38" i="14"/>
  <c r="C42" i="10"/>
  <c r="AQ34" i="53"/>
  <c r="AS34" i="53" s="1"/>
  <c r="M34" i="53"/>
  <c r="AG34" i="53"/>
  <c r="AI34" i="53" s="1"/>
  <c r="T36" i="10"/>
  <c r="R36" i="10" s="1"/>
  <c r="Q36" i="10" s="1"/>
  <c r="S37" i="10"/>
  <c r="T52" i="20"/>
  <c r="S51" i="20"/>
  <c r="AE51" i="20"/>
  <c r="N35" i="23"/>
  <c r="AR35" i="23"/>
  <c r="H34" i="10"/>
  <c r="C36" i="23"/>
  <c r="E36" i="23" s="1"/>
  <c r="AH36" i="23"/>
  <c r="D35" i="23"/>
  <c r="I35" i="10"/>
  <c r="AS38" i="23"/>
  <c r="J37" i="10"/>
  <c r="AQ39" i="23" s="1"/>
  <c r="K36" i="10"/>
  <c r="AG38" i="23" s="1"/>
  <c r="AI38" i="23" s="1"/>
  <c r="Q39" i="22"/>
  <c r="P40" i="22"/>
  <c r="AF45" i="20"/>
  <c r="J46" i="20"/>
  <c r="AP38" i="23"/>
  <c r="C47" i="20"/>
  <c r="Y47" i="20" s="1"/>
  <c r="L39" i="23" s="1"/>
  <c r="G48" i="20"/>
  <c r="AC48" i="20" s="1"/>
  <c r="AF40" i="23" s="1"/>
  <c r="M35" i="53" l="1"/>
  <c r="AQ35" i="53"/>
  <c r="AS35" i="53" s="1"/>
  <c r="AG35" i="53"/>
  <c r="AI35" i="53" s="1"/>
  <c r="S38" i="10"/>
  <c r="T37" i="10"/>
  <c r="R37" i="10" s="1"/>
  <c r="Q37" i="10" s="1"/>
  <c r="B43" i="23"/>
  <c r="C34" i="53"/>
  <c r="E34" i="53" s="1"/>
  <c r="N34" i="53"/>
  <c r="AR34" i="53"/>
  <c r="D34" i="53"/>
  <c r="AH34" i="53"/>
  <c r="N42" i="10"/>
  <c r="L42" i="10"/>
  <c r="E33" i="53"/>
  <c r="U51" i="20"/>
  <c r="AD51" i="20"/>
  <c r="AN39" i="14"/>
  <c r="C43" i="10"/>
  <c r="T53" i="20"/>
  <c r="S52" i="20"/>
  <c r="AE52" i="20"/>
  <c r="Z41" i="14"/>
  <c r="Y40" i="14"/>
  <c r="AL40" i="14" s="1"/>
  <c r="N36" i="23"/>
  <c r="AR36" i="23"/>
  <c r="D36" i="23"/>
  <c r="H35" i="10"/>
  <c r="C37" i="23"/>
  <c r="E37" i="23" s="1"/>
  <c r="AH37" i="23"/>
  <c r="I36" i="10"/>
  <c r="AI39" i="23"/>
  <c r="AS39" i="23"/>
  <c r="J38" i="10"/>
  <c r="AQ40" i="23" s="1"/>
  <c r="K37" i="10"/>
  <c r="AG39" i="23" s="1"/>
  <c r="P41" i="22"/>
  <c r="Q40" i="22"/>
  <c r="AP39" i="23"/>
  <c r="C48" i="20"/>
  <c r="Y48" i="20" s="1"/>
  <c r="L40" i="23" s="1"/>
  <c r="G49" i="20"/>
  <c r="AC49" i="20" s="1"/>
  <c r="AF41" i="23" s="1"/>
  <c r="J47" i="20"/>
  <c r="AF46" i="20"/>
  <c r="N43" i="10" l="1"/>
  <c r="L43" i="10"/>
  <c r="AQ36" i="53"/>
  <c r="AS36" i="53" s="1"/>
  <c r="AG36" i="53"/>
  <c r="AI36" i="53" s="1"/>
  <c r="M36" i="53"/>
  <c r="S39" i="10"/>
  <c r="T38" i="10"/>
  <c r="R38" i="10" s="1"/>
  <c r="Q38" i="10" s="1"/>
  <c r="C44" i="10"/>
  <c r="AN40" i="14"/>
  <c r="U52" i="20"/>
  <c r="AD52" i="20"/>
  <c r="B44" i="23"/>
  <c r="Z42" i="14"/>
  <c r="Y41" i="14"/>
  <c r="AL41" i="14" s="1"/>
  <c r="T54" i="20"/>
  <c r="S53" i="20"/>
  <c r="AE53" i="20"/>
  <c r="AH35" i="53"/>
  <c r="C35" i="53"/>
  <c r="AR35" i="53"/>
  <c r="D35" i="53"/>
  <c r="N35" i="53"/>
  <c r="N37" i="23"/>
  <c r="AR37" i="23"/>
  <c r="D37" i="23"/>
  <c r="H36" i="10"/>
  <c r="AH38" i="23"/>
  <c r="C38" i="23"/>
  <c r="E38" i="23" s="1"/>
  <c r="I37" i="10"/>
  <c r="AS40" i="23"/>
  <c r="K38" i="10"/>
  <c r="AG40" i="23" s="1"/>
  <c r="AI40" i="23" s="1"/>
  <c r="J39" i="10"/>
  <c r="AQ41" i="23" s="1"/>
  <c r="Q41" i="22"/>
  <c r="P42" i="22"/>
  <c r="AF47" i="20"/>
  <c r="AP40" i="23"/>
  <c r="G50" i="20"/>
  <c r="AC50" i="20" s="1"/>
  <c r="AF42" i="23" s="1"/>
  <c r="C49" i="20"/>
  <c r="Y49" i="20" s="1"/>
  <c r="L41" i="23" s="1"/>
  <c r="J48" i="20"/>
  <c r="N44" i="10" l="1"/>
  <c r="L44" i="10"/>
  <c r="E35" i="53"/>
  <c r="T55" i="20"/>
  <c r="S54" i="20"/>
  <c r="AE54" i="20"/>
  <c r="AN41" i="14"/>
  <c r="C45" i="10"/>
  <c r="AR36" i="53"/>
  <c r="D36" i="53"/>
  <c r="AH36" i="53"/>
  <c r="C36" i="53"/>
  <c r="E36" i="53" s="1"/>
  <c r="N36" i="53"/>
  <c r="Z43" i="14"/>
  <c r="Y42" i="14"/>
  <c r="AL42" i="14" s="1"/>
  <c r="AQ37" i="53"/>
  <c r="AS37" i="53" s="1"/>
  <c r="AG37" i="53"/>
  <c r="AI37" i="53" s="1"/>
  <c r="M37" i="53"/>
  <c r="T39" i="10"/>
  <c r="R39" i="10" s="1"/>
  <c r="Q39" i="10" s="1"/>
  <c r="S40" i="10"/>
  <c r="B45" i="23"/>
  <c r="U53" i="20"/>
  <c r="AD53" i="20"/>
  <c r="N38" i="23"/>
  <c r="AR38" i="23"/>
  <c r="H37" i="10"/>
  <c r="C39" i="23"/>
  <c r="E39" i="23" s="1"/>
  <c r="AH39" i="23"/>
  <c r="D38" i="23"/>
  <c r="I38" i="10"/>
  <c r="AS41" i="23"/>
  <c r="K39" i="10"/>
  <c r="AG41" i="23" s="1"/>
  <c r="AI41" i="23" s="1"/>
  <c r="J40" i="10"/>
  <c r="AQ42" i="23" s="1"/>
  <c r="P43" i="22"/>
  <c r="Q42" i="22"/>
  <c r="AP41" i="23"/>
  <c r="G51" i="20"/>
  <c r="AC51" i="20" s="1"/>
  <c r="AF43" i="23" s="1"/>
  <c r="C50" i="20"/>
  <c r="Y50" i="20" s="1"/>
  <c r="L42" i="23" s="1"/>
  <c r="AF48" i="20"/>
  <c r="J49" i="20"/>
  <c r="AH37" i="53" l="1"/>
  <c r="N37" i="53"/>
  <c r="AR37" i="53"/>
  <c r="C37" i="53"/>
  <c r="D37" i="53"/>
  <c r="Z44" i="14"/>
  <c r="Y43" i="14"/>
  <c r="AL43" i="14" s="1"/>
  <c r="U54" i="20"/>
  <c r="AD54" i="20"/>
  <c r="B46" i="23"/>
  <c r="AN42" i="14"/>
  <c r="C46" i="10"/>
  <c r="AQ38" i="53"/>
  <c r="AS38" i="53" s="1"/>
  <c r="M38" i="53"/>
  <c r="AG38" i="53"/>
  <c r="AI38" i="53" s="1"/>
  <c r="T40" i="10"/>
  <c r="R40" i="10" s="1"/>
  <c r="Q40" i="10" s="1"/>
  <c r="S41" i="10"/>
  <c r="N45" i="10"/>
  <c r="L45" i="10"/>
  <c r="T56" i="20"/>
  <c r="S55" i="20"/>
  <c r="AE55" i="20"/>
  <c r="N39" i="23"/>
  <c r="AR39" i="23"/>
  <c r="H38" i="10"/>
  <c r="C40" i="23"/>
  <c r="E40" i="23" s="1"/>
  <c r="AH40" i="23"/>
  <c r="D39" i="23"/>
  <c r="I39" i="10"/>
  <c r="AS42" i="23"/>
  <c r="J41" i="10"/>
  <c r="AQ43" i="23" s="1"/>
  <c r="K40" i="10"/>
  <c r="AG42" i="23" s="1"/>
  <c r="AI42" i="23" s="1"/>
  <c r="Q43" i="22"/>
  <c r="P44" i="22"/>
  <c r="AF49" i="20"/>
  <c r="AP42" i="23"/>
  <c r="J50" i="20"/>
  <c r="C51" i="20"/>
  <c r="Y51" i="20" s="1"/>
  <c r="L43" i="23" s="1"/>
  <c r="G52" i="20"/>
  <c r="AC52" i="20" s="1"/>
  <c r="AF44" i="23" s="1"/>
  <c r="B47" i="23" l="1"/>
  <c r="E37" i="53"/>
  <c r="C47" i="10"/>
  <c r="AN43" i="14"/>
  <c r="U55" i="20"/>
  <c r="AD55" i="20"/>
  <c r="M39" i="53"/>
  <c r="AG39" i="53"/>
  <c r="AI39" i="53" s="1"/>
  <c r="AQ39" i="53"/>
  <c r="AS39" i="53" s="1"/>
  <c r="S42" i="10"/>
  <c r="T41" i="10"/>
  <c r="R41" i="10" s="1"/>
  <c r="Q41" i="10" s="1"/>
  <c r="Z45" i="14"/>
  <c r="Y44" i="14"/>
  <c r="AL44" i="14" s="1"/>
  <c r="T57" i="20"/>
  <c r="S56" i="20"/>
  <c r="AE56" i="20"/>
  <c r="C38" i="53"/>
  <c r="E38" i="53" s="1"/>
  <c r="AH38" i="53"/>
  <c r="AR38" i="53"/>
  <c r="D38" i="53"/>
  <c r="N38" i="53"/>
  <c r="N46" i="10"/>
  <c r="L46" i="10"/>
  <c r="D40" i="23"/>
  <c r="N40" i="23"/>
  <c r="AR40" i="23"/>
  <c r="H39" i="10"/>
  <c r="AH41" i="23"/>
  <c r="C41" i="23"/>
  <c r="E41" i="23" s="1"/>
  <c r="I40" i="10"/>
  <c r="AS43" i="23"/>
  <c r="J42" i="10"/>
  <c r="AQ44" i="23" s="1"/>
  <c r="K41" i="10"/>
  <c r="AG43" i="23" s="1"/>
  <c r="AI43" i="23" s="1"/>
  <c r="P45" i="22"/>
  <c r="Q44" i="22"/>
  <c r="J51" i="20"/>
  <c r="AF50" i="20"/>
  <c r="AP43" i="23"/>
  <c r="C52" i="20"/>
  <c r="Y52" i="20" s="1"/>
  <c r="L44" i="23" s="1"/>
  <c r="G53" i="20"/>
  <c r="AC53" i="20" s="1"/>
  <c r="AF45" i="23" s="1"/>
  <c r="C48" i="10" l="1"/>
  <c r="AN44" i="14"/>
  <c r="T58" i="20"/>
  <c r="S57" i="20"/>
  <c r="AE57" i="20"/>
  <c r="AQ40" i="53"/>
  <c r="AS40" i="53" s="1"/>
  <c r="AG40" i="53"/>
  <c r="AI40" i="53" s="1"/>
  <c r="M40" i="53"/>
  <c r="S43" i="10"/>
  <c r="T42" i="10"/>
  <c r="R42" i="10" s="1"/>
  <c r="Q42" i="10" s="1"/>
  <c r="Z46" i="14"/>
  <c r="Y45" i="14"/>
  <c r="AL45" i="14" s="1"/>
  <c r="B48" i="23"/>
  <c r="U56" i="20"/>
  <c r="AD56" i="20"/>
  <c r="AR39" i="53"/>
  <c r="D39" i="53"/>
  <c r="AH39" i="53"/>
  <c r="N39" i="53"/>
  <c r="C39" i="53"/>
  <c r="E39" i="53" s="1"/>
  <c r="N47" i="10"/>
  <c r="L47" i="10"/>
  <c r="N41" i="23"/>
  <c r="AR41" i="23"/>
  <c r="H40" i="10"/>
  <c r="AH42" i="23"/>
  <c r="C42" i="23"/>
  <c r="E42" i="23" s="1"/>
  <c r="D41" i="23"/>
  <c r="I41" i="10"/>
  <c r="AS44" i="23"/>
  <c r="K42" i="10"/>
  <c r="AG44" i="23" s="1"/>
  <c r="AI44" i="23" s="1"/>
  <c r="J43" i="10"/>
  <c r="AQ45" i="23" s="1"/>
  <c r="Q45" i="22"/>
  <c r="P46" i="22"/>
  <c r="AF51" i="20"/>
  <c r="G54" i="20"/>
  <c r="AC54" i="20" s="1"/>
  <c r="AF46" i="23" s="1"/>
  <c r="C53" i="20"/>
  <c r="Y53" i="20" s="1"/>
  <c r="L45" i="23" s="1"/>
  <c r="AP44" i="23"/>
  <c r="J52" i="20"/>
  <c r="N40" i="53" l="1"/>
  <c r="AH40" i="53"/>
  <c r="C40" i="53"/>
  <c r="D40" i="53"/>
  <c r="AR40" i="53"/>
  <c r="B49" i="23"/>
  <c r="Z47" i="14"/>
  <c r="Y47" i="14" s="1"/>
  <c r="AL47" i="14" s="1"/>
  <c r="Y46" i="14"/>
  <c r="AL46" i="14" s="1"/>
  <c r="T59" i="20"/>
  <c r="S58" i="20"/>
  <c r="AE58" i="20"/>
  <c r="AQ41" i="53"/>
  <c r="AS41" i="53" s="1"/>
  <c r="AG41" i="53"/>
  <c r="AI41" i="53" s="1"/>
  <c r="M41" i="53"/>
  <c r="T43" i="10"/>
  <c r="R43" i="10" s="1"/>
  <c r="Q43" i="10" s="1"/>
  <c r="S44" i="10"/>
  <c r="AN45" i="14"/>
  <c r="C49" i="10"/>
  <c r="U57" i="20"/>
  <c r="AD57" i="20"/>
  <c r="N48" i="10"/>
  <c r="L48" i="10"/>
  <c r="N42" i="23"/>
  <c r="AR42" i="23"/>
  <c r="H41" i="10"/>
  <c r="C43" i="23"/>
  <c r="E43" i="23" s="1"/>
  <c r="AH43" i="23"/>
  <c r="D42" i="23"/>
  <c r="I42" i="10"/>
  <c r="AS45" i="23"/>
  <c r="J44" i="10"/>
  <c r="AQ46" i="23" s="1"/>
  <c r="K43" i="10"/>
  <c r="AG45" i="23" s="1"/>
  <c r="AI45" i="23" s="1"/>
  <c r="P47" i="22"/>
  <c r="Q46" i="22"/>
  <c r="AP45" i="23"/>
  <c r="G55" i="20"/>
  <c r="AC55" i="20" s="1"/>
  <c r="AF47" i="23" s="1"/>
  <c r="C54" i="20"/>
  <c r="Y54" i="20" s="1"/>
  <c r="L46" i="23" s="1"/>
  <c r="J53" i="20"/>
  <c r="AF52" i="20"/>
  <c r="AH41" i="53" l="1"/>
  <c r="C41" i="53"/>
  <c r="E41" i="53" s="1"/>
  <c r="N41" i="53"/>
  <c r="D41" i="53"/>
  <c r="AR41" i="53"/>
  <c r="C51" i="10"/>
  <c r="AN47" i="14"/>
  <c r="B50" i="23"/>
  <c r="N49" i="10"/>
  <c r="L49" i="10"/>
  <c r="U58" i="20"/>
  <c r="AD58" i="20"/>
  <c r="E40" i="53"/>
  <c r="T60" i="20"/>
  <c r="S59" i="20"/>
  <c r="AE59" i="20"/>
  <c r="AQ42" i="53"/>
  <c r="AS42" i="53" s="1"/>
  <c r="M42" i="53"/>
  <c r="AG42" i="53"/>
  <c r="AI42" i="53" s="1"/>
  <c r="S45" i="10"/>
  <c r="T44" i="10"/>
  <c r="R44" i="10" s="1"/>
  <c r="Q44" i="10" s="1"/>
  <c r="AN46" i="14"/>
  <c r="C50" i="10"/>
  <c r="N43" i="23"/>
  <c r="AR43" i="23"/>
  <c r="H42" i="10"/>
  <c r="C44" i="23"/>
  <c r="E44" i="23" s="1"/>
  <c r="AH44" i="23"/>
  <c r="D43" i="23"/>
  <c r="I43" i="10"/>
  <c r="AS46" i="23"/>
  <c r="J45" i="10"/>
  <c r="AQ47" i="23" s="1"/>
  <c r="K44" i="10"/>
  <c r="AG46" i="23" s="1"/>
  <c r="AI46" i="23" s="1"/>
  <c r="Q47" i="22"/>
  <c r="P48" i="22"/>
  <c r="J54" i="20"/>
  <c r="AP46" i="23"/>
  <c r="AF53" i="20"/>
  <c r="C55" i="20"/>
  <c r="Y55" i="20" s="1"/>
  <c r="L47" i="23" s="1"/>
  <c r="G56" i="20"/>
  <c r="AC56" i="20" s="1"/>
  <c r="AF48" i="23" s="1"/>
  <c r="AH42" i="53" l="1"/>
  <c r="D42" i="53"/>
  <c r="N42" i="53"/>
  <c r="C42" i="53"/>
  <c r="E42" i="53" s="1"/>
  <c r="AR42" i="53"/>
  <c r="T61" i="20"/>
  <c r="S60" i="20"/>
  <c r="AE60" i="20"/>
  <c r="B51" i="23"/>
  <c r="AQ43" i="53"/>
  <c r="AS43" i="53" s="1"/>
  <c r="M43" i="53"/>
  <c r="AG43" i="53"/>
  <c r="AI43" i="53" s="1"/>
  <c r="T45" i="10"/>
  <c r="R45" i="10" s="1"/>
  <c r="Q45" i="10" s="1"/>
  <c r="S46" i="10"/>
  <c r="N51" i="10"/>
  <c r="L51" i="10"/>
  <c r="N50" i="10"/>
  <c r="L50" i="10"/>
  <c r="U59" i="20"/>
  <c r="AD59" i="20"/>
  <c r="D44" i="23"/>
  <c r="N44" i="23"/>
  <c r="AR44" i="23"/>
  <c r="H43" i="10"/>
  <c r="C45" i="23"/>
  <c r="E45" i="23" s="1"/>
  <c r="AH45" i="23"/>
  <c r="I44" i="10"/>
  <c r="AS47" i="23"/>
  <c r="J46" i="10"/>
  <c r="AQ48" i="23" s="1"/>
  <c r="K45" i="10"/>
  <c r="AG47" i="23" s="1"/>
  <c r="AI47" i="23" s="1"/>
  <c r="P49" i="22"/>
  <c r="Q48" i="22"/>
  <c r="C56" i="20"/>
  <c r="Y56" i="20" s="1"/>
  <c r="L48" i="23" s="1"/>
  <c r="G57" i="20"/>
  <c r="AC57" i="20" s="1"/>
  <c r="AF49" i="23" s="1"/>
  <c r="AF54" i="20"/>
  <c r="AP47" i="23"/>
  <c r="J55" i="20"/>
  <c r="B52" i="23" l="1"/>
  <c r="AQ44" i="53"/>
  <c r="AS44" i="53" s="1"/>
  <c r="AG44" i="53"/>
  <c r="AI44" i="53" s="1"/>
  <c r="M44" i="53"/>
  <c r="T46" i="10"/>
  <c r="R46" i="10" s="1"/>
  <c r="Q46" i="10" s="1"/>
  <c r="S47" i="10"/>
  <c r="U60" i="20"/>
  <c r="AD60" i="20"/>
  <c r="AR43" i="53"/>
  <c r="AH43" i="53"/>
  <c r="C43" i="53"/>
  <c r="E43" i="53" s="1"/>
  <c r="D43" i="53"/>
  <c r="N43" i="53"/>
  <c r="S61" i="20"/>
  <c r="AE61" i="20"/>
  <c r="B53" i="23"/>
  <c r="N45" i="23"/>
  <c r="AR45" i="23"/>
  <c r="H44" i="10"/>
  <c r="AH46" i="23"/>
  <c r="C46" i="23"/>
  <c r="E46" i="23" s="1"/>
  <c r="D45" i="23"/>
  <c r="I45" i="10"/>
  <c r="AS48" i="23"/>
  <c r="K46" i="10"/>
  <c r="AG48" i="23" s="1"/>
  <c r="AI48" i="23" s="1"/>
  <c r="J47" i="10"/>
  <c r="AQ49" i="23" s="1"/>
  <c r="Q49" i="22"/>
  <c r="P50" i="22"/>
  <c r="AP48" i="23"/>
  <c r="G58" i="20"/>
  <c r="AC58" i="20" s="1"/>
  <c r="AF50" i="23" s="1"/>
  <c r="C57" i="20"/>
  <c r="Y57" i="20" s="1"/>
  <c r="L49" i="23" s="1"/>
  <c r="AF55" i="20"/>
  <c r="J56" i="20"/>
  <c r="U61" i="20" l="1"/>
  <c r="AD61" i="20"/>
  <c r="AQ45" i="53"/>
  <c r="AS45" i="53" s="1"/>
  <c r="AG45" i="53"/>
  <c r="AI45" i="53" s="1"/>
  <c r="M45" i="53"/>
  <c r="T47" i="10"/>
  <c r="R47" i="10" s="1"/>
  <c r="Q47" i="10" s="1"/>
  <c r="S48" i="10"/>
  <c r="D44" i="53"/>
  <c r="C44" i="53"/>
  <c r="E44" i="53" s="1"/>
  <c r="AH44" i="53"/>
  <c r="N44" i="53"/>
  <c r="AR44" i="53"/>
  <c r="D46" i="23"/>
  <c r="N46" i="23"/>
  <c r="AR46" i="23"/>
  <c r="H45" i="10"/>
  <c r="C47" i="23"/>
  <c r="E47" i="23" s="1"/>
  <c r="AH47" i="23"/>
  <c r="I46" i="10"/>
  <c r="AS49" i="23"/>
  <c r="K47" i="10"/>
  <c r="AG49" i="23" s="1"/>
  <c r="AI49" i="23" s="1"/>
  <c r="J48" i="10"/>
  <c r="AQ50" i="23" s="1"/>
  <c r="P51" i="22"/>
  <c r="Q50" i="22"/>
  <c r="AF56" i="20"/>
  <c r="J57" i="20"/>
  <c r="AP49" i="23"/>
  <c r="G59" i="20"/>
  <c r="AC59" i="20" s="1"/>
  <c r="AF51" i="23" s="1"/>
  <c r="C58" i="20"/>
  <c r="Y58" i="20" s="1"/>
  <c r="L50" i="23" s="1"/>
  <c r="AQ46" i="53" l="1"/>
  <c r="AS46" i="53" s="1"/>
  <c r="M46" i="53"/>
  <c r="AG46" i="53"/>
  <c r="AI46" i="53" s="1"/>
  <c r="S49" i="10"/>
  <c r="T48" i="10"/>
  <c r="R48" i="10" s="1"/>
  <c r="Q48" i="10" s="1"/>
  <c r="AH45" i="53"/>
  <c r="N45" i="53"/>
  <c r="C45" i="53"/>
  <c r="E45" i="53" s="1"/>
  <c r="D45" i="53"/>
  <c r="AR45" i="53"/>
  <c r="N47" i="23"/>
  <c r="AR47" i="23"/>
  <c r="H46" i="10"/>
  <c r="C48" i="23"/>
  <c r="E48" i="23" s="1"/>
  <c r="AH48" i="23"/>
  <c r="D47" i="23"/>
  <c r="I47" i="10"/>
  <c r="AS50" i="23"/>
  <c r="J49" i="10"/>
  <c r="AQ51" i="23" s="1"/>
  <c r="K48" i="10"/>
  <c r="AG50" i="23" s="1"/>
  <c r="AI50" i="23" s="1"/>
  <c r="Q51" i="22"/>
  <c r="P52" i="22"/>
  <c r="C59" i="20"/>
  <c r="Y59" i="20" s="1"/>
  <c r="L51" i="23" s="1"/>
  <c r="G60" i="20"/>
  <c r="AP50" i="23"/>
  <c r="AF57" i="20"/>
  <c r="J58" i="20"/>
  <c r="AQ47" i="53" l="1"/>
  <c r="AS47" i="53" s="1"/>
  <c r="M47" i="53"/>
  <c r="AG47" i="53"/>
  <c r="AI47" i="53" s="1"/>
  <c r="S50" i="10"/>
  <c r="T49" i="10"/>
  <c r="R49" i="10" s="1"/>
  <c r="Q49" i="10" s="1"/>
  <c r="C46" i="53"/>
  <c r="E46" i="53" s="1"/>
  <c r="D46" i="53"/>
  <c r="N46" i="53"/>
  <c r="AR46" i="53"/>
  <c r="AH46" i="53"/>
  <c r="D48" i="23"/>
  <c r="N48" i="23"/>
  <c r="AR48" i="23"/>
  <c r="H47" i="10"/>
  <c r="AH49" i="23"/>
  <c r="C49" i="23"/>
  <c r="E49" i="23" s="1"/>
  <c r="AC60" i="20"/>
  <c r="AF52" i="23" s="1"/>
  <c r="G61" i="20"/>
  <c r="I48" i="10"/>
  <c r="AS51" i="23"/>
  <c r="J50" i="10"/>
  <c r="AQ52" i="23" s="1"/>
  <c r="K49" i="10"/>
  <c r="AG51" i="23" s="1"/>
  <c r="AI51" i="23" s="1"/>
  <c r="P53" i="22"/>
  <c r="Q53" i="22" s="1"/>
  <c r="C14" i="27" s="1" a="1"/>
  <c r="Q52" i="22"/>
  <c r="AF58" i="20"/>
  <c r="C60" i="20"/>
  <c r="Y60" i="20" s="1"/>
  <c r="L52" i="23" s="1"/>
  <c r="AC61" i="20"/>
  <c r="AF53" i="23" s="1"/>
  <c r="AP51" i="23"/>
  <c r="J59" i="20"/>
  <c r="AQ48" i="53" l="1"/>
  <c r="AS48" i="53" s="1"/>
  <c r="AG48" i="53"/>
  <c r="AI48" i="53" s="1"/>
  <c r="M48" i="53"/>
  <c r="S51" i="10"/>
  <c r="T50" i="10"/>
  <c r="R50" i="10" s="1"/>
  <c r="Q50" i="10" s="1"/>
  <c r="AR47" i="53"/>
  <c r="AH47" i="53"/>
  <c r="D47" i="53"/>
  <c r="C47" i="53"/>
  <c r="E47" i="53" s="1"/>
  <c r="N47" i="53"/>
  <c r="N49" i="23"/>
  <c r="AR49" i="23"/>
  <c r="H48" i="10"/>
  <c r="AH50" i="23"/>
  <c r="C50" i="23"/>
  <c r="E50" i="23" s="1"/>
  <c r="D49" i="23"/>
  <c r="I49" i="10"/>
  <c r="AS52" i="23"/>
  <c r="K50" i="10"/>
  <c r="AG52" i="23" s="1"/>
  <c r="AI52" i="23" s="1"/>
  <c r="J51" i="10"/>
  <c r="AQ53" i="23" s="1"/>
  <c r="D17" i="27"/>
  <c r="J15" i="27"/>
  <c r="AQ17" i="27"/>
  <c r="AH16" i="27"/>
  <c r="E16" i="27"/>
  <c r="E19" i="27"/>
  <c r="AT16" i="27"/>
  <c r="W17" i="27"/>
  <c r="Z19" i="27"/>
  <c r="O16" i="27"/>
  <c r="N17" i="27"/>
  <c r="AM15" i="27"/>
  <c r="AC15" i="27"/>
  <c r="J19" i="27"/>
  <c r="D15" i="27"/>
  <c r="W15" i="27"/>
  <c r="AM17" i="27"/>
  <c r="C17" i="27"/>
  <c r="D16" i="27"/>
  <c r="AP19" i="27"/>
  <c r="T16" i="27"/>
  <c r="H19" i="27"/>
  <c r="AI19" i="27"/>
  <c r="AA17" i="27"/>
  <c r="U17" i="27"/>
  <c r="N15" i="27"/>
  <c r="C15" i="27"/>
  <c r="AD17" i="27"/>
  <c r="AR17" i="27"/>
  <c r="AN16" i="27"/>
  <c r="P17" i="27"/>
  <c r="Y19" i="27"/>
  <c r="I19" i="27"/>
  <c r="R16" i="27"/>
  <c r="AH19" i="27"/>
  <c r="AE19" i="27"/>
  <c r="Z16" i="27"/>
  <c r="AA18" i="27"/>
  <c r="AB16" i="27"/>
  <c r="AG19" i="27"/>
  <c r="AR15" i="27"/>
  <c r="H18" i="27"/>
  <c r="AC17" i="27"/>
  <c r="P15" i="27"/>
  <c r="Y15" i="27"/>
  <c r="AN17" i="27"/>
  <c r="P18" i="27"/>
  <c r="L15" i="27"/>
  <c r="AB15" i="27"/>
  <c r="W14" i="27"/>
  <c r="AD14" i="27"/>
  <c r="W16" i="27"/>
  <c r="AU17" i="27"/>
  <c r="X16" i="27"/>
  <c r="AA16" i="27"/>
  <c r="J17" i="27"/>
  <c r="G16" i="27"/>
  <c r="AT19" i="27"/>
  <c r="AT14" i="27"/>
  <c r="AO14" i="27"/>
  <c r="N14" i="27"/>
  <c r="AB14" i="27"/>
  <c r="T14" i="27"/>
  <c r="H14" i="27"/>
  <c r="AH14" i="27"/>
  <c r="K14" i="27"/>
  <c r="AE14" i="27"/>
  <c r="AE18" i="27"/>
  <c r="G15" i="27"/>
  <c r="Y14" i="27"/>
  <c r="AK14" i="27"/>
  <c r="AA14" i="27"/>
  <c r="V14" i="27"/>
  <c r="AQ14" i="27"/>
  <c r="I17" i="27"/>
  <c r="AF18" i="27"/>
  <c r="AP16" i="27"/>
  <c r="O17" i="27"/>
  <c r="K16" i="27"/>
  <c r="O15" i="27"/>
  <c r="X18" i="27"/>
  <c r="Z15" i="27"/>
  <c r="N16" i="27"/>
  <c r="AC18" i="27"/>
  <c r="Z17" i="27"/>
  <c r="AO17" i="27"/>
  <c r="U18" i="27"/>
  <c r="AQ15" i="27"/>
  <c r="O18" i="27"/>
  <c r="E15" i="27"/>
  <c r="AC19" i="27"/>
  <c r="I16" i="27"/>
  <c r="V18" i="27"/>
  <c r="S15" i="27"/>
  <c r="AK16" i="27"/>
  <c r="AU19" i="27"/>
  <c r="AB19" i="27"/>
  <c r="AK19" i="27"/>
  <c r="AM16" i="27"/>
  <c r="AE17" i="27"/>
  <c r="AH15" i="27"/>
  <c r="AC16" i="27"/>
  <c r="F16" i="27"/>
  <c r="AA15" i="27"/>
  <c r="AH18" i="27"/>
  <c r="AT18" i="27"/>
  <c r="AD19" i="27"/>
  <c r="Z18" i="27"/>
  <c r="S18" i="27"/>
  <c r="AL17" i="27"/>
  <c r="AK15" i="27"/>
  <c r="AR19" i="27"/>
  <c r="X15" i="27"/>
  <c r="AG15" i="27"/>
  <c r="V16" i="27"/>
  <c r="AL16" i="27"/>
  <c r="P16" i="27"/>
  <c r="T15" i="27"/>
  <c r="AL19" i="27"/>
  <c r="M19" i="27"/>
  <c r="K18" i="27"/>
  <c r="F15" i="27"/>
  <c r="AU16" i="27"/>
  <c r="R17" i="27"/>
  <c r="AU18" i="27"/>
  <c r="AF16" i="27"/>
  <c r="AI17" i="27"/>
  <c r="H17" i="27"/>
  <c r="H16" i="27"/>
  <c r="W19" i="27"/>
  <c r="AG16" i="27"/>
  <c r="J16" i="27"/>
  <c r="Q19" i="27"/>
  <c r="C18" i="27"/>
  <c r="L19" i="27"/>
  <c r="AR14" i="27"/>
  <c r="AS17" i="27"/>
  <c r="AR18" i="27"/>
  <c r="AD16" i="27"/>
  <c r="AR16" i="27"/>
  <c r="AL18" i="27"/>
  <c r="AU14" i="27"/>
  <c r="X14" i="27"/>
  <c r="S14" i="27"/>
  <c r="AF14" i="27"/>
  <c r="U14" i="27"/>
  <c r="AJ15" i="27"/>
  <c r="R19" i="27"/>
  <c r="AD18" i="27"/>
  <c r="AS16" i="27"/>
  <c r="AS19" i="27"/>
  <c r="Y17" i="27"/>
  <c r="AT15" i="27"/>
  <c r="D19" i="27"/>
  <c r="AS18" i="27"/>
  <c r="J18" i="27"/>
  <c r="AJ17" i="27"/>
  <c r="AF19" i="27"/>
  <c r="G19" i="27"/>
  <c r="U16" i="27"/>
  <c r="V17" i="27"/>
  <c r="AG18" i="27"/>
  <c r="AJ18" i="27"/>
  <c r="E18" i="27"/>
  <c r="AF15" i="27"/>
  <c r="AI15" i="27"/>
  <c r="AO18" i="27"/>
  <c r="K19" i="27"/>
  <c r="S19" i="27"/>
  <c r="P19" i="27"/>
  <c r="AP17" i="27"/>
  <c r="AE15" i="27"/>
  <c r="V19" i="27"/>
  <c r="AS15" i="27"/>
  <c r="AL15" i="27"/>
  <c r="N19" i="27"/>
  <c r="AQ19" i="27"/>
  <c r="W18" i="27"/>
  <c r="R15" i="27"/>
  <c r="E17" i="27"/>
  <c r="AQ16" i="27"/>
  <c r="K17" i="27"/>
  <c r="M16" i="27"/>
  <c r="AB17" i="27"/>
  <c r="AK18" i="27"/>
  <c r="AO16" i="27"/>
  <c r="F17" i="27"/>
  <c r="T19" i="27"/>
  <c r="D18" i="27"/>
  <c r="I15" i="27"/>
  <c r="AB18" i="27"/>
  <c r="H15" i="27"/>
  <c r="G18" i="27"/>
  <c r="U19" i="27"/>
  <c r="AP18" i="27"/>
  <c r="AQ18" i="27"/>
  <c r="AM19" i="27"/>
  <c r="AA19" i="27"/>
  <c r="AH17" i="27"/>
  <c r="Q15" i="27"/>
  <c r="AF17" i="27"/>
  <c r="D14" i="27"/>
  <c r="L17" i="27"/>
  <c r="AJ16" i="27"/>
  <c r="F18" i="27"/>
  <c r="S17" i="27"/>
  <c r="AN19" i="27"/>
  <c r="AD15" i="27"/>
  <c r="AJ19" i="27"/>
  <c r="E14" i="27"/>
  <c r="Q14" i="27"/>
  <c r="F14" i="27"/>
  <c r="AS14" i="27"/>
  <c r="AM14" i="27"/>
  <c r="L14" i="27"/>
  <c r="O14" i="27"/>
  <c r="AL14" i="27"/>
  <c r="AJ14" i="27"/>
  <c r="R14" i="27"/>
  <c r="M15" i="27"/>
  <c r="T17" i="27"/>
  <c r="R18" i="27"/>
  <c r="AK17" i="27"/>
  <c r="C16" i="27"/>
  <c r="AU15" i="27"/>
  <c r="I18" i="27"/>
  <c r="AM18" i="27"/>
  <c r="AN18" i="27"/>
  <c r="AP15" i="27"/>
  <c r="G17" i="27"/>
  <c r="C14" i="27"/>
  <c r="Q17" i="27"/>
  <c r="C19" i="27"/>
  <c r="X17" i="27"/>
  <c r="AO19" i="27"/>
  <c r="Q16" i="27"/>
  <c r="AE16" i="27"/>
  <c r="L18" i="27"/>
  <c r="O19" i="27"/>
  <c r="M18" i="27"/>
  <c r="M17" i="27"/>
  <c r="F19" i="27"/>
  <c r="AI16" i="27"/>
  <c r="N18" i="27"/>
  <c r="AG17" i="27"/>
  <c r="AT17" i="27"/>
  <c r="S16" i="27"/>
  <c r="L16" i="27"/>
  <c r="Y16" i="27"/>
  <c r="AN15" i="27"/>
  <c r="AC14" i="27"/>
  <c r="K15" i="27"/>
  <c r="AG14" i="27"/>
  <c r="M14" i="27"/>
  <c r="AN14" i="27"/>
  <c r="AO15" i="27"/>
  <c r="U15" i="27"/>
  <c r="Q18" i="27"/>
  <c r="P14" i="27"/>
  <c r="AI14" i="27"/>
  <c r="Y18" i="27"/>
  <c r="X19" i="27"/>
  <c r="AI18" i="27"/>
  <c r="AP14" i="27"/>
  <c r="J14" i="27"/>
  <c r="I14" i="27"/>
  <c r="T18" i="27"/>
  <c r="V15" i="27"/>
  <c r="Z14" i="27"/>
  <c r="G14" i="27"/>
  <c r="AP52" i="23"/>
  <c r="J60" i="20"/>
  <c r="AF59" i="20"/>
  <c r="C61" i="20"/>
  <c r="Y61" i="20" s="1"/>
  <c r="L53" i="23" s="1"/>
  <c r="T51" i="10" l="1"/>
  <c r="R51" i="10" s="1"/>
  <c r="Q51" i="10" s="1"/>
  <c r="AQ49" i="53"/>
  <c r="AS49" i="53" s="1"/>
  <c r="AG49" i="53"/>
  <c r="AI49" i="53" s="1"/>
  <c r="M49" i="53"/>
  <c r="AH48" i="53"/>
  <c r="AR48" i="53"/>
  <c r="C48" i="53"/>
  <c r="E48" i="53" s="1"/>
  <c r="D48" i="53"/>
  <c r="N48" i="53"/>
  <c r="D50" i="23"/>
  <c r="N50" i="23"/>
  <c r="AR50" i="23"/>
  <c r="H49" i="10"/>
  <c r="C51" i="23"/>
  <c r="E51" i="23" s="1"/>
  <c r="AH51" i="23"/>
  <c r="I50" i="10"/>
  <c r="AS53" i="23"/>
  <c r="K51" i="10"/>
  <c r="AG53" i="23" s="1"/>
  <c r="AI53" i="23" s="1"/>
  <c r="AP14" i="26"/>
  <c r="AG2" i="46" s="1"/>
  <c r="AP50" i="27"/>
  <c r="AO15" i="26"/>
  <c r="AF3" i="46" s="1"/>
  <c r="AO51" i="27"/>
  <c r="K15" i="26"/>
  <c r="B3" i="46" s="1"/>
  <c r="K51" i="27"/>
  <c r="N18" i="26"/>
  <c r="E6" i="46" s="1"/>
  <c r="N54" i="27"/>
  <c r="Q16" i="26"/>
  <c r="H4" i="46" s="1"/>
  <c r="Q52" i="27"/>
  <c r="AN18" i="26"/>
  <c r="AE6" i="46" s="1"/>
  <c r="AN54" i="27"/>
  <c r="O14" i="26"/>
  <c r="F2" i="46" s="1"/>
  <c r="O50" i="27"/>
  <c r="AJ16" i="26"/>
  <c r="AA4" i="46" s="1"/>
  <c r="AJ52" i="27"/>
  <c r="H15" i="26"/>
  <c r="H51" i="27"/>
  <c r="AB17" i="26"/>
  <c r="S5" i="46" s="1"/>
  <c r="AB53" i="27"/>
  <c r="AE15" i="26"/>
  <c r="V3" i="46" s="1"/>
  <c r="AE51" i="27"/>
  <c r="E18" i="26"/>
  <c r="E54" i="27"/>
  <c r="J18" i="26"/>
  <c r="J54" i="27"/>
  <c r="R19" i="26"/>
  <c r="I7" i="46" s="1"/>
  <c r="R55" i="27"/>
  <c r="AR16" i="26"/>
  <c r="AI4" i="46" s="1"/>
  <c r="AR52" i="27"/>
  <c r="J16" i="26"/>
  <c r="J52" i="27"/>
  <c r="R17" i="26"/>
  <c r="I5" i="46" s="1"/>
  <c r="R53" i="27"/>
  <c r="AR19" i="26"/>
  <c r="AI7" i="46" s="1"/>
  <c r="AR55" i="27"/>
  <c r="I16" i="26"/>
  <c r="I52" i="27"/>
  <c r="O15" i="26"/>
  <c r="F3" i="46" s="1"/>
  <c r="O51" i="27"/>
  <c r="AA14" i="26"/>
  <c r="R2" i="46" s="1"/>
  <c r="AA50" i="27"/>
  <c r="AE18" i="26"/>
  <c r="V6" i="46" s="1"/>
  <c r="AE54" i="27"/>
  <c r="AO14" i="26"/>
  <c r="AF2" i="46" s="1"/>
  <c r="AO50" i="27"/>
  <c r="J17" i="26"/>
  <c r="J53" i="27"/>
  <c r="L15" i="26"/>
  <c r="C3" i="46" s="1"/>
  <c r="L51" i="27"/>
  <c r="P15" i="26"/>
  <c r="G3" i="46" s="1"/>
  <c r="P51" i="27"/>
  <c r="AG19" i="26"/>
  <c r="X7" i="46" s="1"/>
  <c r="AG55" i="27"/>
  <c r="AE19" i="26"/>
  <c r="V7" i="46" s="1"/>
  <c r="AE55" i="27"/>
  <c r="Y19" i="26"/>
  <c r="P7" i="46" s="1"/>
  <c r="Y55" i="27"/>
  <c r="AD17" i="26"/>
  <c r="U5" i="46" s="1"/>
  <c r="AD53" i="27"/>
  <c r="AA17" i="26"/>
  <c r="R5" i="46" s="1"/>
  <c r="AA53" i="27"/>
  <c r="AP19" i="26"/>
  <c r="AG7" i="46" s="1"/>
  <c r="AP55" i="27"/>
  <c r="W15" i="26"/>
  <c r="N3" i="46" s="1"/>
  <c r="W51" i="27"/>
  <c r="AM15" i="26"/>
  <c r="AD3" i="46" s="1"/>
  <c r="AM51" i="27"/>
  <c r="AH16" i="26"/>
  <c r="Y4" i="46" s="1"/>
  <c r="AH52" i="27"/>
  <c r="T18" i="26"/>
  <c r="K6" i="46" s="1"/>
  <c r="T54" i="27"/>
  <c r="AI18" i="26"/>
  <c r="Z6" i="46" s="1"/>
  <c r="AI54" i="27"/>
  <c r="AN14" i="26"/>
  <c r="AE2" i="46" s="1"/>
  <c r="AN50" i="27"/>
  <c r="AC14" i="26"/>
  <c r="T2" i="46" s="1"/>
  <c r="AC50" i="27"/>
  <c r="S16" i="26"/>
  <c r="J4" i="46" s="1"/>
  <c r="S52" i="27"/>
  <c r="O19" i="26"/>
  <c r="F7" i="46" s="1"/>
  <c r="O55" i="27"/>
  <c r="AO19" i="26"/>
  <c r="AF7" i="46" s="1"/>
  <c r="AO55" i="27"/>
  <c r="AM18" i="26"/>
  <c r="AD6" i="46" s="1"/>
  <c r="AM54" i="27"/>
  <c r="R14" i="26"/>
  <c r="I2" i="46" s="1"/>
  <c r="R50" i="27"/>
  <c r="L14" i="26"/>
  <c r="C2" i="46" s="1"/>
  <c r="L50" i="27"/>
  <c r="AN19" i="26"/>
  <c r="AE7" i="46" s="1"/>
  <c r="AN55" i="27"/>
  <c r="AH17" i="26"/>
  <c r="Y5" i="46" s="1"/>
  <c r="AH53" i="27"/>
  <c r="AB18" i="26"/>
  <c r="S6" i="46" s="1"/>
  <c r="AB54" i="27"/>
  <c r="M16" i="26"/>
  <c r="D4" i="46" s="1"/>
  <c r="M52" i="27"/>
  <c r="AP17" i="26"/>
  <c r="AG5" i="46" s="1"/>
  <c r="AP53" i="27"/>
  <c r="G19" i="26"/>
  <c r="G55" i="27"/>
  <c r="AS19" i="26"/>
  <c r="AJ7" i="46" s="1"/>
  <c r="AS55" i="27"/>
  <c r="AD16" i="26"/>
  <c r="U4" i="46" s="1"/>
  <c r="AD52" i="27"/>
  <c r="AI17" i="26"/>
  <c r="Z5" i="46" s="1"/>
  <c r="AI53" i="27"/>
  <c r="AL19" i="26"/>
  <c r="AC7" i="46" s="1"/>
  <c r="AL55" i="27"/>
  <c r="V16" i="26"/>
  <c r="M4" i="46" s="1"/>
  <c r="V52" i="27"/>
  <c r="AD19" i="26"/>
  <c r="U7" i="46" s="1"/>
  <c r="AD55" i="27"/>
  <c r="F16" i="26"/>
  <c r="F52" i="27"/>
  <c r="AM16" i="26"/>
  <c r="AD4" i="46" s="1"/>
  <c r="AM52" i="27"/>
  <c r="AC19" i="26"/>
  <c r="T7" i="46" s="1"/>
  <c r="AC55" i="27"/>
  <c r="U18" i="26"/>
  <c r="L6" i="46" s="1"/>
  <c r="U54" i="27"/>
  <c r="I17" i="26"/>
  <c r="I53" i="27"/>
  <c r="T14" i="26"/>
  <c r="K2" i="46" s="1"/>
  <c r="T50" i="27"/>
  <c r="AA16" i="26"/>
  <c r="R4" i="46" s="1"/>
  <c r="AA52" i="27"/>
  <c r="AC17" i="26"/>
  <c r="T5" i="46" s="1"/>
  <c r="AC53" i="27"/>
  <c r="AB16" i="26"/>
  <c r="S4" i="46" s="1"/>
  <c r="AB52" i="27"/>
  <c r="P17" i="26"/>
  <c r="G5" i="46" s="1"/>
  <c r="P53" i="27"/>
  <c r="C15" i="26"/>
  <c r="C51" i="27"/>
  <c r="AI19" i="26"/>
  <c r="Z7" i="46" s="1"/>
  <c r="AI55" i="27"/>
  <c r="D15" i="26"/>
  <c r="D51" i="27"/>
  <c r="N17" i="26"/>
  <c r="E5" i="46" s="1"/>
  <c r="N53" i="27"/>
  <c r="AT16" i="26"/>
  <c r="AK4" i="46" s="1"/>
  <c r="AT52" i="27"/>
  <c r="G14" i="26"/>
  <c r="G50" i="27"/>
  <c r="I14" i="26"/>
  <c r="I50" i="27"/>
  <c r="X19" i="26"/>
  <c r="O7" i="46" s="1"/>
  <c r="X55" i="27"/>
  <c r="Q18" i="26"/>
  <c r="H6" i="46" s="1"/>
  <c r="Q54" i="27"/>
  <c r="M14" i="26"/>
  <c r="D2" i="46" s="1"/>
  <c r="M50" i="27"/>
  <c r="AN15" i="26"/>
  <c r="AE3" i="46" s="1"/>
  <c r="AN51" i="27"/>
  <c r="AT17" i="26"/>
  <c r="AK5" i="46" s="1"/>
  <c r="AT53" i="27"/>
  <c r="F19" i="26"/>
  <c r="F55" i="27"/>
  <c r="L18" i="26"/>
  <c r="C6" i="46" s="1"/>
  <c r="L54" i="27"/>
  <c r="X17" i="26"/>
  <c r="O5" i="46" s="1"/>
  <c r="X53" i="27"/>
  <c r="G17" i="26"/>
  <c r="G53" i="27"/>
  <c r="I18" i="26"/>
  <c r="I54" i="27"/>
  <c r="R18" i="26"/>
  <c r="I6" i="46" s="1"/>
  <c r="R54" i="27"/>
  <c r="AJ14" i="26"/>
  <c r="AA2" i="46" s="1"/>
  <c r="AJ50" i="27"/>
  <c r="AM14" i="26"/>
  <c r="AD2" i="46" s="1"/>
  <c r="AM50" i="27"/>
  <c r="E14" i="26"/>
  <c r="E50" i="27"/>
  <c r="S17" i="26"/>
  <c r="J5" i="46" s="1"/>
  <c r="S53" i="27"/>
  <c r="D14" i="26"/>
  <c r="D50" i="27"/>
  <c r="AA19" i="26"/>
  <c r="R7" i="46" s="1"/>
  <c r="AA55" i="27"/>
  <c r="U19" i="26"/>
  <c r="L7" i="46" s="1"/>
  <c r="U55" i="27"/>
  <c r="I15" i="26"/>
  <c r="I51" i="27"/>
  <c r="AO16" i="26"/>
  <c r="AF4" i="46" s="1"/>
  <c r="AO52" i="27"/>
  <c r="K17" i="26"/>
  <c r="B5" i="46" s="1"/>
  <c r="K53" i="27"/>
  <c r="W18" i="26"/>
  <c r="N6" i="46" s="1"/>
  <c r="W54" i="27"/>
  <c r="AS15" i="26"/>
  <c r="AJ3" i="46" s="1"/>
  <c r="AS51" i="27"/>
  <c r="P19" i="26"/>
  <c r="G7" i="46" s="1"/>
  <c r="P55" i="27"/>
  <c r="AI15" i="26"/>
  <c r="Z3" i="46" s="1"/>
  <c r="AI51" i="27"/>
  <c r="AG18" i="26"/>
  <c r="X6" i="46" s="1"/>
  <c r="AG54" i="27"/>
  <c r="AF19" i="26"/>
  <c r="W7" i="46" s="1"/>
  <c r="AF55" i="27"/>
  <c r="D19" i="26"/>
  <c r="D55" i="27"/>
  <c r="AS16" i="26"/>
  <c r="AJ4" i="46" s="1"/>
  <c r="AS52" i="27"/>
  <c r="U14" i="26"/>
  <c r="L2" i="46" s="1"/>
  <c r="U50" i="27"/>
  <c r="AU14" i="26"/>
  <c r="AL2" i="46" s="1"/>
  <c r="AU50" i="27"/>
  <c r="AR18" i="26"/>
  <c r="AI6" i="46" s="1"/>
  <c r="AR54" i="27"/>
  <c r="C18" i="26"/>
  <c r="C54" i="27"/>
  <c r="W19" i="26"/>
  <c r="N7" i="46" s="1"/>
  <c r="W55" i="27"/>
  <c r="AF16" i="26"/>
  <c r="W4" i="46" s="1"/>
  <c r="AF52" i="27"/>
  <c r="F15" i="26"/>
  <c r="F51" i="27"/>
  <c r="T15" i="26"/>
  <c r="K3" i="46" s="1"/>
  <c r="T51" i="27"/>
  <c r="AG15" i="26"/>
  <c r="X3" i="46" s="1"/>
  <c r="AG51" i="27"/>
  <c r="AL17" i="26"/>
  <c r="AC5" i="46" s="1"/>
  <c r="AL53" i="27"/>
  <c r="AT18" i="26"/>
  <c r="AK6" i="46" s="1"/>
  <c r="AT54" i="27"/>
  <c r="AC16" i="26"/>
  <c r="T4" i="46" s="1"/>
  <c r="AC52" i="27"/>
  <c r="AK19" i="26"/>
  <c r="AB7" i="46" s="1"/>
  <c r="AK55" i="27"/>
  <c r="S15" i="26"/>
  <c r="J3" i="46" s="1"/>
  <c r="S51" i="27"/>
  <c r="E15" i="26"/>
  <c r="E51" i="27"/>
  <c r="AO17" i="26"/>
  <c r="AF5" i="46" s="1"/>
  <c r="AO53" i="27"/>
  <c r="Z15" i="26"/>
  <c r="Q3" i="46" s="1"/>
  <c r="Z51" i="27"/>
  <c r="O17" i="26"/>
  <c r="F5" i="46" s="1"/>
  <c r="O53" i="27"/>
  <c r="AQ14" i="26"/>
  <c r="AH2" i="46" s="1"/>
  <c r="AQ50" i="27"/>
  <c r="Y14" i="26"/>
  <c r="P2" i="46" s="1"/>
  <c r="Y50" i="27"/>
  <c r="K14" i="26"/>
  <c r="B2" i="46" s="1"/>
  <c r="K50" i="27"/>
  <c r="AB14" i="26"/>
  <c r="S2" i="46" s="1"/>
  <c r="AB50" i="27"/>
  <c r="AT19" i="26"/>
  <c r="AK7" i="46" s="1"/>
  <c r="AT55" i="27"/>
  <c r="X16" i="26"/>
  <c r="O4" i="46" s="1"/>
  <c r="X52" i="27"/>
  <c r="W14" i="26"/>
  <c r="N2" i="46" s="1"/>
  <c r="W50" i="27"/>
  <c r="AN17" i="26"/>
  <c r="AE5" i="46" s="1"/>
  <c r="AN53" i="27"/>
  <c r="H18" i="26"/>
  <c r="H54" i="27"/>
  <c r="AA18" i="26"/>
  <c r="R6" i="46" s="1"/>
  <c r="AA54" i="27"/>
  <c r="R16" i="26"/>
  <c r="I4" i="46" s="1"/>
  <c r="R52" i="27"/>
  <c r="AN16" i="26"/>
  <c r="AE4" i="46" s="1"/>
  <c r="AN52" i="27"/>
  <c r="N15" i="26"/>
  <c r="E3" i="46" s="1"/>
  <c r="N51" i="27"/>
  <c r="H19" i="26"/>
  <c r="H55" i="27"/>
  <c r="C17" i="26"/>
  <c r="C53" i="27"/>
  <c r="J19" i="26"/>
  <c r="J55" i="27"/>
  <c r="O16" i="26"/>
  <c r="F4" i="46" s="1"/>
  <c r="O52" i="27"/>
  <c r="E19" i="26"/>
  <c r="E55" i="27"/>
  <c r="J15" i="26"/>
  <c r="J51" i="27"/>
  <c r="V15" i="26"/>
  <c r="M3" i="46" s="1"/>
  <c r="V51" i="27"/>
  <c r="AI14" i="26"/>
  <c r="Z2" i="46" s="1"/>
  <c r="AI50" i="27"/>
  <c r="L16" i="26"/>
  <c r="C4" i="46" s="1"/>
  <c r="L52" i="27"/>
  <c r="M18" i="26"/>
  <c r="D6" i="46" s="1"/>
  <c r="M54" i="27"/>
  <c r="Q17" i="26"/>
  <c r="H5" i="46" s="1"/>
  <c r="Q53" i="27"/>
  <c r="C16" i="26"/>
  <c r="C52" i="27"/>
  <c r="M15" i="26"/>
  <c r="D3" i="46" s="1"/>
  <c r="M51" i="27"/>
  <c r="F14" i="26"/>
  <c r="F50" i="27"/>
  <c r="AD15" i="26"/>
  <c r="U3" i="46" s="1"/>
  <c r="AD51" i="27"/>
  <c r="Q15" i="26"/>
  <c r="H3" i="46" s="1"/>
  <c r="Q51" i="27"/>
  <c r="AQ18" i="26"/>
  <c r="AH6" i="46" s="1"/>
  <c r="AQ54" i="27"/>
  <c r="T19" i="26"/>
  <c r="K7" i="46" s="1"/>
  <c r="T55" i="27"/>
  <c r="E17" i="26"/>
  <c r="E53" i="27"/>
  <c r="N19" i="26"/>
  <c r="E7" i="46" s="1"/>
  <c r="N55" i="27"/>
  <c r="K19" i="26"/>
  <c r="B7" i="46" s="1"/>
  <c r="K55" i="27"/>
  <c r="U16" i="26"/>
  <c r="L4" i="46" s="1"/>
  <c r="U52" i="27"/>
  <c r="Y17" i="26"/>
  <c r="P5" i="46" s="1"/>
  <c r="Y53" i="27"/>
  <c r="S14" i="26"/>
  <c r="J2" i="46" s="1"/>
  <c r="S50" i="27"/>
  <c r="AR14" i="26"/>
  <c r="AI2" i="46" s="1"/>
  <c r="AR50" i="27"/>
  <c r="H17" i="26"/>
  <c r="H53" i="27"/>
  <c r="M19" i="26"/>
  <c r="D7" i="46" s="1"/>
  <c r="M55" i="27"/>
  <c r="AL16" i="26"/>
  <c r="AC4" i="46" s="1"/>
  <c r="AL52" i="27"/>
  <c r="Z18" i="26"/>
  <c r="Q6" i="46" s="1"/>
  <c r="Z54" i="27"/>
  <c r="AA15" i="26"/>
  <c r="R3" i="46" s="1"/>
  <c r="AA51" i="27"/>
  <c r="AE17" i="26"/>
  <c r="V5" i="46" s="1"/>
  <c r="AE53" i="27"/>
  <c r="AU19" i="26"/>
  <c r="AL7" i="46" s="1"/>
  <c r="AU55" i="27"/>
  <c r="AQ15" i="26"/>
  <c r="AH3" i="46" s="1"/>
  <c r="AQ51" i="27"/>
  <c r="AC18" i="26"/>
  <c r="T6" i="46" s="1"/>
  <c r="AC54" i="27"/>
  <c r="AF18" i="26"/>
  <c r="W6" i="46" s="1"/>
  <c r="AF54" i="27"/>
  <c r="H14" i="26"/>
  <c r="H50" i="27"/>
  <c r="W16" i="26"/>
  <c r="N4" i="46" s="1"/>
  <c r="W52" i="27"/>
  <c r="W17" i="26"/>
  <c r="N5" i="46" s="1"/>
  <c r="W53" i="27"/>
  <c r="P14" i="26"/>
  <c r="G2" i="46" s="1"/>
  <c r="P50" i="27"/>
  <c r="AI16" i="26"/>
  <c r="Z4" i="46" s="1"/>
  <c r="AI52" i="27"/>
  <c r="C14" i="26"/>
  <c r="C50" i="27"/>
  <c r="AK17" i="26"/>
  <c r="AB5" i="46" s="1"/>
  <c r="AK53" i="27"/>
  <c r="Q14" i="26"/>
  <c r="H2" i="46" s="1"/>
  <c r="Q50" i="27"/>
  <c r="L17" i="26"/>
  <c r="C5" i="46" s="1"/>
  <c r="L53" i="27"/>
  <c r="AP18" i="26"/>
  <c r="AG6" i="46" s="1"/>
  <c r="AP54" i="27"/>
  <c r="F17" i="26"/>
  <c r="F53" i="27"/>
  <c r="R15" i="26"/>
  <c r="I3" i="46" s="1"/>
  <c r="R51" i="27"/>
  <c r="AL15" i="26"/>
  <c r="AC3" i="46" s="1"/>
  <c r="AL51" i="27"/>
  <c r="AO18" i="26"/>
  <c r="AF6" i="46" s="1"/>
  <c r="AO54" i="27"/>
  <c r="AJ18" i="26"/>
  <c r="AA6" i="46" s="1"/>
  <c r="AJ54" i="27"/>
  <c r="AS18" i="26"/>
  <c r="AJ6" i="46" s="1"/>
  <c r="AS54" i="27"/>
  <c r="AJ15" i="26"/>
  <c r="AA3" i="46" s="1"/>
  <c r="AJ51" i="27"/>
  <c r="X14" i="26"/>
  <c r="O2" i="46" s="1"/>
  <c r="X50" i="27"/>
  <c r="L19" i="26"/>
  <c r="C7" i="46" s="1"/>
  <c r="L55" i="27"/>
  <c r="AG16" i="26"/>
  <c r="X4" i="46" s="1"/>
  <c r="AG52" i="27"/>
  <c r="AU16" i="26"/>
  <c r="AL4" i="46" s="1"/>
  <c r="AU52" i="27"/>
  <c r="AK15" i="26"/>
  <c r="AB3" i="46" s="1"/>
  <c r="AK51" i="27"/>
  <c r="AK16" i="26"/>
  <c r="AB4" i="46" s="1"/>
  <c r="AK52" i="27"/>
  <c r="N16" i="26"/>
  <c r="E4" i="46" s="1"/>
  <c r="N52" i="27"/>
  <c r="K16" i="26"/>
  <c r="B4" i="46" s="1"/>
  <c r="K52" i="27"/>
  <c r="AK14" i="26"/>
  <c r="AB2" i="46" s="1"/>
  <c r="AK50" i="27"/>
  <c r="AE14" i="26"/>
  <c r="V2" i="46" s="1"/>
  <c r="AE50" i="27"/>
  <c r="AT14" i="26"/>
  <c r="AK2" i="46" s="1"/>
  <c r="AT50" i="27"/>
  <c r="AD14" i="26"/>
  <c r="U2" i="46" s="1"/>
  <c r="AD50" i="27"/>
  <c r="P18" i="26"/>
  <c r="G6" i="46" s="1"/>
  <c r="P54" i="27"/>
  <c r="AH19" i="26"/>
  <c r="Y7" i="46" s="1"/>
  <c r="AH55" i="27"/>
  <c r="D16" i="26"/>
  <c r="D52" i="27"/>
  <c r="AQ17" i="26"/>
  <c r="AH5" i="46" s="1"/>
  <c r="AQ53" i="27"/>
  <c r="Z14" i="26"/>
  <c r="Q2" i="46" s="1"/>
  <c r="Z50" i="27"/>
  <c r="J14" i="26"/>
  <c r="J50" i="27"/>
  <c r="Y18" i="26"/>
  <c r="P6" i="46" s="1"/>
  <c r="Y54" i="27"/>
  <c r="U15" i="26"/>
  <c r="L3" i="46" s="1"/>
  <c r="U51" i="27"/>
  <c r="AG14" i="26"/>
  <c r="X2" i="46" s="1"/>
  <c r="AG50" i="27"/>
  <c r="Y16" i="26"/>
  <c r="P4" i="46" s="1"/>
  <c r="Y52" i="27"/>
  <c r="AG17" i="26"/>
  <c r="X5" i="46" s="1"/>
  <c r="AG53" i="27"/>
  <c r="M17" i="26"/>
  <c r="D5" i="46" s="1"/>
  <c r="M53" i="27"/>
  <c r="AE16" i="26"/>
  <c r="V4" i="46" s="1"/>
  <c r="AE52" i="27"/>
  <c r="C19" i="26"/>
  <c r="C55" i="27"/>
  <c r="AP15" i="26"/>
  <c r="AG3" i="46" s="1"/>
  <c r="AP51" i="27"/>
  <c r="AU15" i="26"/>
  <c r="AL3" i="46" s="1"/>
  <c r="AU51" i="27"/>
  <c r="T17" i="26"/>
  <c r="K5" i="46" s="1"/>
  <c r="T53" i="27"/>
  <c r="AL14" i="26"/>
  <c r="AC2" i="46" s="1"/>
  <c r="AL50" i="27"/>
  <c r="AS14" i="26"/>
  <c r="AJ2" i="46" s="1"/>
  <c r="AS50" i="27"/>
  <c r="AJ19" i="26"/>
  <c r="AA7" i="46" s="1"/>
  <c r="AJ55" i="27"/>
  <c r="F18" i="26"/>
  <c r="F54" i="27"/>
  <c r="AF17" i="26"/>
  <c r="W5" i="46" s="1"/>
  <c r="AF53" i="27"/>
  <c r="AM19" i="26"/>
  <c r="AD7" i="46" s="1"/>
  <c r="AM55" i="27"/>
  <c r="G18" i="26"/>
  <c r="G54" i="27"/>
  <c r="D18" i="26"/>
  <c r="D54" i="27"/>
  <c r="AK18" i="26"/>
  <c r="AB6" i="46" s="1"/>
  <c r="AK54" i="27"/>
  <c r="AQ16" i="26"/>
  <c r="AH4" i="46" s="1"/>
  <c r="AQ52" i="27"/>
  <c r="AQ19" i="26"/>
  <c r="AH7" i="46" s="1"/>
  <c r="AQ55" i="27"/>
  <c r="V19" i="26"/>
  <c r="M7" i="46" s="1"/>
  <c r="V55" i="27"/>
  <c r="S19" i="26"/>
  <c r="J7" i="46" s="1"/>
  <c r="S55" i="27"/>
  <c r="AF15" i="26"/>
  <c r="W3" i="46" s="1"/>
  <c r="AF51" i="27"/>
  <c r="V17" i="26"/>
  <c r="M5" i="46" s="1"/>
  <c r="V53" i="27"/>
  <c r="AJ17" i="26"/>
  <c r="AA5" i="46" s="1"/>
  <c r="AJ53" i="27"/>
  <c r="AT15" i="26"/>
  <c r="AK3" i="46" s="1"/>
  <c r="AT51" i="27"/>
  <c r="AD18" i="26"/>
  <c r="U6" i="46" s="1"/>
  <c r="AD54" i="27"/>
  <c r="AF14" i="26"/>
  <c r="W2" i="46" s="1"/>
  <c r="AF50" i="27"/>
  <c r="AL18" i="26"/>
  <c r="AC6" i="46" s="1"/>
  <c r="AL54" i="27"/>
  <c r="AS17" i="26"/>
  <c r="AJ5" i="46" s="1"/>
  <c r="AS53" i="27"/>
  <c r="Q19" i="26"/>
  <c r="H7" i="46" s="1"/>
  <c r="Q55" i="27"/>
  <c r="H16" i="26"/>
  <c r="H52" i="27"/>
  <c r="AU18" i="26"/>
  <c r="AL6" i="46" s="1"/>
  <c r="AU54" i="27"/>
  <c r="K18" i="26"/>
  <c r="B6" i="46" s="1"/>
  <c r="K54" i="27"/>
  <c r="P16" i="26"/>
  <c r="G4" i="46" s="1"/>
  <c r="P52" i="27"/>
  <c r="X15" i="26"/>
  <c r="O3" i="46" s="1"/>
  <c r="X51" i="27"/>
  <c r="S18" i="26"/>
  <c r="J6" i="46" s="1"/>
  <c r="S54" i="27"/>
  <c r="AH18" i="26"/>
  <c r="Y6" i="46" s="1"/>
  <c r="AH54" i="27"/>
  <c r="AH15" i="26"/>
  <c r="Y3" i="46" s="1"/>
  <c r="AH51" i="27"/>
  <c r="AB19" i="26"/>
  <c r="S7" i="46" s="1"/>
  <c r="AB55" i="27"/>
  <c r="V18" i="26"/>
  <c r="M6" i="46" s="1"/>
  <c r="V54" i="27"/>
  <c r="O18" i="26"/>
  <c r="F6" i="46" s="1"/>
  <c r="O54" i="27"/>
  <c r="Z17" i="26"/>
  <c r="Q5" i="46" s="1"/>
  <c r="Z53" i="27"/>
  <c r="X18" i="26"/>
  <c r="O6" i="46" s="1"/>
  <c r="X54" i="27"/>
  <c r="AP16" i="26"/>
  <c r="AG4" i="46" s="1"/>
  <c r="AP52" i="27"/>
  <c r="V14" i="26"/>
  <c r="M2" i="46" s="1"/>
  <c r="V50" i="27"/>
  <c r="G15" i="26"/>
  <c r="G51" i="27"/>
  <c r="AH14" i="26"/>
  <c r="Y2" i="46" s="1"/>
  <c r="AH50" i="27"/>
  <c r="N14" i="26"/>
  <c r="E2" i="46" s="1"/>
  <c r="N50" i="27"/>
  <c r="G16" i="26"/>
  <c r="G52" i="27"/>
  <c r="AU17" i="26"/>
  <c r="AL5" i="46" s="1"/>
  <c r="AU53" i="27"/>
  <c r="AB15" i="26"/>
  <c r="S3" i="46" s="1"/>
  <c r="AB51" i="27"/>
  <c r="Y15" i="26"/>
  <c r="P3" i="46" s="1"/>
  <c r="Y51" i="27"/>
  <c r="AR15" i="26"/>
  <c r="AI3" i="46" s="1"/>
  <c r="AR51" i="27"/>
  <c r="Z16" i="26"/>
  <c r="Q4" i="46" s="1"/>
  <c r="Z52" i="27"/>
  <c r="I19" i="26"/>
  <c r="I55" i="27"/>
  <c r="AR17" i="26"/>
  <c r="AI5" i="46" s="1"/>
  <c r="AR53" i="27"/>
  <c r="U17" i="26"/>
  <c r="L5" i="46" s="1"/>
  <c r="U53" i="27"/>
  <c r="T16" i="26"/>
  <c r="K4" i="46" s="1"/>
  <c r="T52" i="27"/>
  <c r="AM17" i="26"/>
  <c r="AD5" i="46" s="1"/>
  <c r="AM53" i="27"/>
  <c r="AC15" i="26"/>
  <c r="T3" i="46" s="1"/>
  <c r="AC51" i="27"/>
  <c r="Z19" i="26"/>
  <c r="Q7" i="46" s="1"/>
  <c r="Z55" i="27"/>
  <c r="E16" i="26"/>
  <c r="E52" i="27"/>
  <c r="D17" i="26"/>
  <c r="D53" i="27"/>
  <c r="AF60" i="20"/>
  <c r="J61" i="20"/>
  <c r="AP53" i="23"/>
  <c r="D49" i="53" l="1"/>
  <c r="C49" i="53"/>
  <c r="E49" i="53" s="1"/>
  <c r="C5" i="54" s="1" a="1"/>
  <c r="AR49" i="53"/>
  <c r="C41" i="54" s="1" a="1"/>
  <c r="AH49" i="53"/>
  <c r="C32" i="54" s="1" a="1"/>
  <c r="N49" i="53"/>
  <c r="C14" i="54" s="1" a="1"/>
  <c r="D51" i="23"/>
  <c r="N51" i="23"/>
  <c r="AR51" i="23"/>
  <c r="H50" i="10"/>
  <c r="C52" i="23"/>
  <c r="E52" i="23" s="1"/>
  <c r="AH52" i="23"/>
  <c r="I51" i="10"/>
  <c r="AF61" i="20"/>
  <c r="AR37" i="54" l="1"/>
  <c r="AR37" i="55" s="1"/>
  <c r="AI7" i="43" s="1"/>
  <c r="AU33" i="54"/>
  <c r="AU33" i="55" s="1"/>
  <c r="AL3" i="43" s="1"/>
  <c r="AK37" i="54"/>
  <c r="AK37" i="55" s="1"/>
  <c r="AB7" i="43" s="1"/>
  <c r="N35" i="54"/>
  <c r="N35" i="55" s="1"/>
  <c r="E5" i="43" s="1"/>
  <c r="AN35" i="54"/>
  <c r="AN35" i="55" s="1"/>
  <c r="AE5" i="43" s="1"/>
  <c r="AI37" i="54"/>
  <c r="AI37" i="55" s="1"/>
  <c r="Z7" i="43" s="1"/>
  <c r="AD35" i="54"/>
  <c r="AD35" i="55" s="1"/>
  <c r="U5" i="43" s="1"/>
  <c r="C36" i="54"/>
  <c r="C36" i="55" s="1"/>
  <c r="AM37" i="54"/>
  <c r="AM37" i="55" s="1"/>
  <c r="AD7" i="43" s="1"/>
  <c r="Q36" i="54"/>
  <c r="Q36" i="55" s="1"/>
  <c r="H6" i="43" s="1"/>
  <c r="G36" i="54"/>
  <c r="G36" i="55" s="1"/>
  <c r="AQ37" i="54"/>
  <c r="AQ37" i="55" s="1"/>
  <c r="AH7" i="43" s="1"/>
  <c r="AT35" i="54"/>
  <c r="AT35" i="55" s="1"/>
  <c r="AK5" i="43" s="1"/>
  <c r="I34" i="54"/>
  <c r="I34" i="55" s="1"/>
  <c r="AM33" i="54"/>
  <c r="AM33" i="55" s="1"/>
  <c r="AD3" i="43" s="1"/>
  <c r="P34" i="54"/>
  <c r="P34" i="55" s="1"/>
  <c r="G4" i="43" s="1"/>
  <c r="H34" i="54"/>
  <c r="H34" i="55" s="1"/>
  <c r="AQ34" i="54"/>
  <c r="AQ34" i="55" s="1"/>
  <c r="AH4" i="43" s="1"/>
  <c r="AO35" i="54"/>
  <c r="AO35" i="55" s="1"/>
  <c r="AF5" i="43" s="1"/>
  <c r="AK32" i="54"/>
  <c r="AK32" i="55" s="1"/>
  <c r="AB2" i="43" s="1"/>
  <c r="D37" i="54"/>
  <c r="D37" i="55" s="1"/>
  <c r="S36" i="54"/>
  <c r="S36" i="55" s="1"/>
  <c r="J6" i="43" s="1"/>
  <c r="N32" i="54"/>
  <c r="N32" i="55" s="1"/>
  <c r="E2" i="43" s="1"/>
  <c r="AJ37" i="54"/>
  <c r="AJ37" i="55" s="1"/>
  <c r="AA7" i="43" s="1"/>
  <c r="W36" i="54"/>
  <c r="W36" i="55" s="1"/>
  <c r="N6" i="43" s="1"/>
  <c r="R32" i="54"/>
  <c r="R32" i="55" s="1"/>
  <c r="I2" i="43" s="1"/>
  <c r="I32" i="54"/>
  <c r="I32" i="55" s="1"/>
  <c r="AA36" i="54"/>
  <c r="AA36" i="55" s="1"/>
  <c r="R6" i="43" s="1"/>
  <c r="Z32" i="54"/>
  <c r="Z32" i="55" s="1"/>
  <c r="Q2" i="43" s="1"/>
  <c r="T37" i="54"/>
  <c r="T37" i="55" s="1"/>
  <c r="K7" i="43" s="1"/>
  <c r="Y34" i="54"/>
  <c r="Y34" i="55" s="1"/>
  <c r="P4" i="43" s="1"/>
  <c r="J34" i="54"/>
  <c r="J34" i="55" s="1"/>
  <c r="AJ34" i="54"/>
  <c r="AJ34" i="55" s="1"/>
  <c r="AA4" i="43" s="1"/>
  <c r="X34" i="54"/>
  <c r="X34" i="55" s="1"/>
  <c r="O4" i="43" s="1"/>
  <c r="AD37" i="54"/>
  <c r="AD37" i="55" s="1"/>
  <c r="U7" i="43" s="1"/>
  <c r="J32" i="54"/>
  <c r="J32" i="55" s="1"/>
  <c r="AE34" i="54"/>
  <c r="AE34" i="55" s="1"/>
  <c r="V4" i="43" s="1"/>
  <c r="L33" i="54"/>
  <c r="L33" i="55" s="1"/>
  <c r="C3" i="43" s="1"/>
  <c r="AM36" i="54"/>
  <c r="AM36" i="55" s="1"/>
  <c r="AD6" i="43" s="1"/>
  <c r="AL32" i="54"/>
  <c r="AL32" i="55" s="1"/>
  <c r="AC2" i="43" s="1"/>
  <c r="AB33" i="54"/>
  <c r="AB33" i="55" s="1"/>
  <c r="S3" i="43" s="1"/>
  <c r="AQ36" i="54"/>
  <c r="AQ36" i="55" s="1"/>
  <c r="AH6" i="43" s="1"/>
  <c r="AT32" i="54"/>
  <c r="AT32" i="55" s="1"/>
  <c r="AK2" i="43" s="1"/>
  <c r="AR33" i="54"/>
  <c r="AR33" i="55" s="1"/>
  <c r="AI3" i="43" s="1"/>
  <c r="F37" i="54"/>
  <c r="F37" i="55" s="1"/>
  <c r="I33" i="54"/>
  <c r="I33" i="55" s="1"/>
  <c r="AO32" i="54"/>
  <c r="AO32" i="55" s="1"/>
  <c r="AF2" i="43" s="1"/>
  <c r="AO34" i="54"/>
  <c r="AO34" i="55" s="1"/>
  <c r="AF4" i="43" s="1"/>
  <c r="Z34" i="54"/>
  <c r="Z34" i="55" s="1"/>
  <c r="Q4" i="43" s="1"/>
  <c r="O35" i="54"/>
  <c r="O35" i="55" s="1"/>
  <c r="F5" i="43" s="1"/>
  <c r="AN34" i="54"/>
  <c r="AN34" i="55" s="1"/>
  <c r="AE4" i="43" s="1"/>
  <c r="G35" i="54"/>
  <c r="G35" i="55" s="1"/>
  <c r="AN33" i="54"/>
  <c r="AN33" i="55" s="1"/>
  <c r="AE3" i="43" s="1"/>
  <c r="AF35" i="54"/>
  <c r="AF35" i="55" s="1"/>
  <c r="W5" i="43" s="1"/>
  <c r="W33" i="54"/>
  <c r="W33" i="55" s="1"/>
  <c r="N3" i="43" s="1"/>
  <c r="AB34" i="54"/>
  <c r="AB34" i="55" s="1"/>
  <c r="S4" i="43" s="1"/>
  <c r="Y33" i="54"/>
  <c r="Y33" i="55" s="1"/>
  <c r="P3" i="43" s="1"/>
  <c r="E36" i="54"/>
  <c r="E36" i="55" s="1"/>
  <c r="L35" i="54"/>
  <c r="L35" i="55" s="1"/>
  <c r="C5" i="43" s="1"/>
  <c r="AP33" i="54"/>
  <c r="AP33" i="55" s="1"/>
  <c r="AG3" i="43" s="1"/>
  <c r="K33" i="54"/>
  <c r="K33" i="55" s="1"/>
  <c r="B3" i="43" s="1"/>
  <c r="F36" i="54"/>
  <c r="F36" i="55" s="1"/>
  <c r="C34" i="54"/>
  <c r="C34" i="55" s="1"/>
  <c r="AD36" i="54"/>
  <c r="AD36" i="55" s="1"/>
  <c r="U6" i="43" s="1"/>
  <c r="Z33" i="54"/>
  <c r="Z33" i="55" s="1"/>
  <c r="Q3" i="43" s="1"/>
  <c r="I35" i="54"/>
  <c r="I35" i="55" s="1"/>
  <c r="AM34" i="54"/>
  <c r="AM34" i="55" s="1"/>
  <c r="AD4" i="43" s="1"/>
  <c r="AU37" i="54"/>
  <c r="AU37" i="55" s="1"/>
  <c r="AL7" i="43" s="1"/>
  <c r="U36" i="54"/>
  <c r="U36" i="55" s="1"/>
  <c r="L6" i="43" s="1"/>
  <c r="E37" i="54"/>
  <c r="E37" i="55" s="1"/>
  <c r="R33" i="54"/>
  <c r="R33" i="55" s="1"/>
  <c r="I3" i="43" s="1"/>
  <c r="AK36" i="54"/>
  <c r="AK36" i="55" s="1"/>
  <c r="AB6" i="43" s="1"/>
  <c r="AL37" i="54"/>
  <c r="AL37" i="55" s="1"/>
  <c r="AC7" i="43" s="1"/>
  <c r="D34" i="54"/>
  <c r="D34" i="55" s="1"/>
  <c r="X37" i="54"/>
  <c r="X37" i="55" s="1"/>
  <c r="O7" i="43" s="1"/>
  <c r="AP37" i="54"/>
  <c r="AP37" i="55" s="1"/>
  <c r="AG7" i="43" s="1"/>
  <c r="L34" i="54"/>
  <c r="L34" i="55" s="1"/>
  <c r="C4" i="43" s="1"/>
  <c r="AN37" i="54"/>
  <c r="AN37" i="55" s="1"/>
  <c r="AE7" i="43" s="1"/>
  <c r="AT37" i="54"/>
  <c r="AT37" i="55" s="1"/>
  <c r="AK7" i="43" s="1"/>
  <c r="T34" i="54"/>
  <c r="T34" i="55" s="1"/>
  <c r="K4" i="43" s="1"/>
  <c r="AH35" i="54"/>
  <c r="AH35" i="55" s="1"/>
  <c r="Y5" i="43" s="1"/>
  <c r="AB35" i="54"/>
  <c r="AB35" i="55" s="1"/>
  <c r="S5" i="43" s="1"/>
  <c r="M35" i="54"/>
  <c r="M35" i="55" s="1"/>
  <c r="D5" i="43" s="1"/>
  <c r="J36" i="54"/>
  <c r="J36" i="55" s="1"/>
  <c r="AA35" i="54"/>
  <c r="AA35" i="55" s="1"/>
  <c r="R5" i="43" s="1"/>
  <c r="AA33" i="54"/>
  <c r="AA33" i="55" s="1"/>
  <c r="R3" i="43" s="1"/>
  <c r="AS36" i="54"/>
  <c r="AS36" i="55" s="1"/>
  <c r="AJ6" i="43" s="1"/>
  <c r="P35" i="54"/>
  <c r="P35" i="55" s="1"/>
  <c r="G5" i="43" s="1"/>
  <c r="AS32" i="54"/>
  <c r="AS32" i="55" s="1"/>
  <c r="AJ2" i="43" s="1"/>
  <c r="L32" i="54"/>
  <c r="L32" i="55" s="1"/>
  <c r="C2" i="43" s="1"/>
  <c r="AF34" i="54"/>
  <c r="AF34" i="55" s="1"/>
  <c r="W4" i="43" s="1"/>
  <c r="P33" i="54"/>
  <c r="P33" i="55" s="1"/>
  <c r="G3" i="43" s="1"/>
  <c r="P32" i="54"/>
  <c r="P32" i="55" s="1"/>
  <c r="G2" i="43" s="1"/>
  <c r="AR34" i="54"/>
  <c r="AR34" i="55" s="1"/>
  <c r="AI4" i="43" s="1"/>
  <c r="AF33" i="54"/>
  <c r="AF33" i="55" s="1"/>
  <c r="W3" i="43" s="1"/>
  <c r="X32" i="54"/>
  <c r="X32" i="55" s="1"/>
  <c r="O2" i="43" s="1"/>
  <c r="C35" i="54"/>
  <c r="C35" i="55" s="1"/>
  <c r="H37" i="54"/>
  <c r="H37" i="55" s="1"/>
  <c r="AR35" i="54"/>
  <c r="AR35" i="55" s="1"/>
  <c r="AI5" i="43" s="1"/>
  <c r="AC35" i="54"/>
  <c r="AC35" i="55" s="1"/>
  <c r="T5" i="43" s="1"/>
  <c r="AH36" i="54"/>
  <c r="AH36" i="55" s="1"/>
  <c r="Y6" i="43" s="1"/>
  <c r="AQ35" i="54"/>
  <c r="AQ35" i="55" s="1"/>
  <c r="AH5" i="43" s="1"/>
  <c r="D33" i="54"/>
  <c r="D33" i="55" s="1"/>
  <c r="Y32" i="54"/>
  <c r="Y32" i="55" s="1"/>
  <c r="P2" i="43" s="1"/>
  <c r="J37" i="54"/>
  <c r="J37" i="55" s="1"/>
  <c r="AI34" i="54"/>
  <c r="AI34" i="55" s="1"/>
  <c r="Z4" i="43" s="1"/>
  <c r="AF32" i="54"/>
  <c r="AF32" i="55" s="1"/>
  <c r="W2" i="43" s="1"/>
  <c r="S35" i="54"/>
  <c r="S35" i="55" s="1"/>
  <c r="J5" i="43" s="1"/>
  <c r="F35" i="54"/>
  <c r="F35" i="55" s="1"/>
  <c r="AN32" i="54"/>
  <c r="AN32" i="55" s="1"/>
  <c r="AE2" i="43" s="1"/>
  <c r="W35" i="54"/>
  <c r="W35" i="55" s="1"/>
  <c r="N5" i="43" s="1"/>
  <c r="AL35" i="54"/>
  <c r="AL35" i="55" s="1"/>
  <c r="AC5" i="43" s="1"/>
  <c r="AR32" i="54"/>
  <c r="AR32" i="55" s="1"/>
  <c r="AI2" i="43" s="1"/>
  <c r="AE35" i="54"/>
  <c r="AE35" i="55" s="1"/>
  <c r="V5" i="43" s="1"/>
  <c r="AC32" i="54"/>
  <c r="AC32" i="55" s="1"/>
  <c r="T2" i="43" s="1"/>
  <c r="O36" i="54"/>
  <c r="O36" i="55" s="1"/>
  <c r="F6" i="43" s="1"/>
  <c r="AS35" i="54"/>
  <c r="AS35" i="55" s="1"/>
  <c r="AJ5" i="43" s="1"/>
  <c r="I37" i="54"/>
  <c r="I37" i="55" s="1"/>
  <c r="N36" i="54"/>
  <c r="N36" i="55" s="1"/>
  <c r="E6" i="43" s="1"/>
  <c r="X33" i="54"/>
  <c r="X33" i="55" s="1"/>
  <c r="O3" i="43" s="1"/>
  <c r="X35" i="54"/>
  <c r="X35" i="55" s="1"/>
  <c r="O5" i="43" s="1"/>
  <c r="S37" i="54"/>
  <c r="S37" i="55" s="1"/>
  <c r="J7" i="43" s="1"/>
  <c r="AO33" i="54"/>
  <c r="AO33" i="55" s="1"/>
  <c r="AF3" i="43" s="1"/>
  <c r="I36" i="54"/>
  <c r="I36" i="55" s="1"/>
  <c r="R35" i="54"/>
  <c r="R35" i="55" s="1"/>
  <c r="I5" i="43" s="1"/>
  <c r="Z37" i="54"/>
  <c r="Z37" i="55" s="1"/>
  <c r="Q7" i="43" s="1"/>
  <c r="AP34" i="54"/>
  <c r="AP34" i="55" s="1"/>
  <c r="AG4" i="43" s="1"/>
  <c r="S34" i="54"/>
  <c r="S34" i="55" s="1"/>
  <c r="J4" i="43" s="1"/>
  <c r="AU35" i="54"/>
  <c r="AU35" i="55" s="1"/>
  <c r="AL5" i="43" s="1"/>
  <c r="AB37" i="54"/>
  <c r="AB37" i="55" s="1"/>
  <c r="S7" i="43" s="1"/>
  <c r="AE36" i="54"/>
  <c r="AE36" i="55" s="1"/>
  <c r="V6" i="43" s="1"/>
  <c r="M32" i="54"/>
  <c r="M32" i="55" s="1"/>
  <c r="D2" i="43" s="1"/>
  <c r="E35" i="54"/>
  <c r="E35" i="55" s="1"/>
  <c r="AG32" i="54"/>
  <c r="AG32" i="55" s="1"/>
  <c r="X2" i="43" s="1"/>
  <c r="S32" i="54"/>
  <c r="S32" i="55" s="1"/>
  <c r="J2" i="43" s="1"/>
  <c r="U35" i="54"/>
  <c r="U35" i="55" s="1"/>
  <c r="L5" i="43" s="1"/>
  <c r="AQ32" i="54"/>
  <c r="AQ32" i="55" s="1"/>
  <c r="AH2" i="43" s="1"/>
  <c r="AT34" i="54"/>
  <c r="AT34" i="55" s="1"/>
  <c r="AK4" i="43" s="1"/>
  <c r="G32" i="54"/>
  <c r="G32" i="55" s="1"/>
  <c r="AE33" i="54"/>
  <c r="AE33" i="55" s="1"/>
  <c r="V3" i="43" s="1"/>
  <c r="Z36" i="54"/>
  <c r="Z36" i="55" s="1"/>
  <c r="Q6" i="43" s="1"/>
  <c r="K32" i="54"/>
  <c r="K32" i="55" s="1"/>
  <c r="B2" i="43" s="1"/>
  <c r="AI33" i="54"/>
  <c r="AI33" i="55" s="1"/>
  <c r="Z3" i="43" s="1"/>
  <c r="AL36" i="54"/>
  <c r="AL36" i="55" s="1"/>
  <c r="AC6" i="43" s="1"/>
  <c r="O32" i="54"/>
  <c r="O32" i="55" s="1"/>
  <c r="F2" i="43" s="1"/>
  <c r="AQ33" i="54"/>
  <c r="AQ33" i="55" s="1"/>
  <c r="AH3" i="43" s="1"/>
  <c r="AP36" i="54"/>
  <c r="AP36" i="55" s="1"/>
  <c r="AG6" i="43" s="1"/>
  <c r="V35" i="54"/>
  <c r="V35" i="55" s="1"/>
  <c r="M5" i="43" s="1"/>
  <c r="AU36" i="54"/>
  <c r="AU36" i="55" s="1"/>
  <c r="AL6" i="43" s="1"/>
  <c r="AF36" i="54"/>
  <c r="AF36" i="55" s="1"/>
  <c r="W6" i="43" s="1"/>
  <c r="AR36" i="54"/>
  <c r="AR36" i="55" s="1"/>
  <c r="AI6" i="43" s="1"/>
  <c r="AT36" i="54"/>
  <c r="AT36" i="55" s="1"/>
  <c r="AK6" i="43" s="1"/>
  <c r="J35" i="54"/>
  <c r="J35" i="55" s="1"/>
  <c r="AK34" i="54"/>
  <c r="AK34" i="55" s="1"/>
  <c r="AB4" i="43" s="1"/>
  <c r="AN36" i="54"/>
  <c r="AN36" i="55" s="1"/>
  <c r="AE6" i="43" s="1"/>
  <c r="AA32" i="54"/>
  <c r="AA32" i="55" s="1"/>
  <c r="R2" i="43" s="1"/>
  <c r="F34" i="54"/>
  <c r="F34" i="55" s="1"/>
  <c r="M37" i="54"/>
  <c r="M37" i="55" s="1"/>
  <c r="D7" i="43" s="1"/>
  <c r="AE32" i="54"/>
  <c r="AE32" i="55" s="1"/>
  <c r="V2" i="43" s="1"/>
  <c r="N34" i="54"/>
  <c r="N34" i="55" s="1"/>
  <c r="E4" i="43" s="1"/>
  <c r="U37" i="54"/>
  <c r="U37" i="55" s="1"/>
  <c r="L7" i="43" s="1"/>
  <c r="AM32" i="54"/>
  <c r="AM32" i="55" s="1"/>
  <c r="AD2" i="43" s="1"/>
  <c r="R34" i="54"/>
  <c r="R34" i="55" s="1"/>
  <c r="I4" i="43" s="1"/>
  <c r="Y37" i="54"/>
  <c r="Y37" i="55" s="1"/>
  <c r="P7" i="43" s="1"/>
  <c r="AO36" i="54"/>
  <c r="AO36" i="55" s="1"/>
  <c r="AF6" i="43" s="1"/>
  <c r="R37" i="54"/>
  <c r="R37" i="55" s="1"/>
  <c r="I7" i="43" s="1"/>
  <c r="G37" i="54"/>
  <c r="G37" i="55" s="1"/>
  <c r="O37" i="54"/>
  <c r="O37" i="55" s="1"/>
  <c r="F7" i="43" s="1"/>
  <c r="Q37" i="54"/>
  <c r="Q37" i="55" s="1"/>
  <c r="H7" i="43" s="1"/>
  <c r="AG36" i="54"/>
  <c r="AG36" i="55" s="1"/>
  <c r="X6" i="43" s="1"/>
  <c r="AI36" i="54"/>
  <c r="AI36" i="55" s="1"/>
  <c r="Z6" i="43" s="1"/>
  <c r="M33" i="54"/>
  <c r="M33" i="55" s="1"/>
  <c r="D3" i="43" s="1"/>
  <c r="AU32" i="54"/>
  <c r="AU32" i="55" s="1"/>
  <c r="AL2" i="43" s="1"/>
  <c r="AD34" i="54"/>
  <c r="AD34" i="55" s="1"/>
  <c r="U4" i="43" s="1"/>
  <c r="AO37" i="54"/>
  <c r="AO37" i="55" s="1"/>
  <c r="AF7" i="43" s="1"/>
  <c r="J33" i="54"/>
  <c r="J33" i="55" s="1"/>
  <c r="AH34" i="54"/>
  <c r="AH34" i="55" s="1"/>
  <c r="Y4" i="43" s="1"/>
  <c r="AS37" i="54"/>
  <c r="AS37" i="55" s="1"/>
  <c r="AJ7" i="43" s="1"/>
  <c r="N33" i="54"/>
  <c r="N33" i="55" s="1"/>
  <c r="E3" i="43" s="1"/>
  <c r="AL34" i="54"/>
  <c r="AL34" i="55" s="1"/>
  <c r="AC4" i="43" s="1"/>
  <c r="T33" i="54"/>
  <c r="T33" i="55" s="1"/>
  <c r="K3" i="43" s="1"/>
  <c r="C32" i="54"/>
  <c r="C32" i="55" s="1"/>
  <c r="AH37" i="54"/>
  <c r="AH37" i="55" s="1"/>
  <c r="Y7" i="43" s="1"/>
  <c r="AA37" i="54"/>
  <c r="AA37" i="55" s="1"/>
  <c r="R7" i="43" s="1"/>
  <c r="AE37" i="54"/>
  <c r="AE37" i="55" s="1"/>
  <c r="V7" i="43" s="1"/>
  <c r="AJ35" i="54"/>
  <c r="AJ35" i="55" s="1"/>
  <c r="AA5" i="43" s="1"/>
  <c r="T35" i="54"/>
  <c r="T35" i="55" s="1"/>
  <c r="K5" i="43" s="1"/>
  <c r="K37" i="54"/>
  <c r="K37" i="55" s="1"/>
  <c r="B7" i="43" s="1"/>
  <c r="AA34" i="54"/>
  <c r="AA34" i="55" s="1"/>
  <c r="R4" i="43" s="1"/>
  <c r="AK33" i="54"/>
  <c r="AK33" i="55" s="1"/>
  <c r="AB3" i="43" s="1"/>
  <c r="AU34" i="54"/>
  <c r="AU34" i="55" s="1"/>
  <c r="AL4" i="43" s="1"/>
  <c r="V37" i="54"/>
  <c r="V37" i="55" s="1"/>
  <c r="M7" i="43" s="1"/>
  <c r="AG33" i="54"/>
  <c r="AG33" i="55" s="1"/>
  <c r="X3" i="43" s="1"/>
  <c r="AI35" i="54"/>
  <c r="AI35" i="55" s="1"/>
  <c r="Z5" i="43" s="1"/>
  <c r="C33" i="54"/>
  <c r="C33" i="55" s="1"/>
  <c r="L37" i="54"/>
  <c r="L37" i="55" s="1"/>
  <c r="C7" i="43" s="1"/>
  <c r="S33" i="54"/>
  <c r="S33" i="55" s="1"/>
  <c r="J3" i="43" s="1"/>
  <c r="P36" i="54"/>
  <c r="P36" i="55" s="1"/>
  <c r="G6" i="43" s="1"/>
  <c r="AB32" i="54"/>
  <c r="AB32" i="55" s="1"/>
  <c r="S2" i="43" s="1"/>
  <c r="Q32" i="54"/>
  <c r="Q32" i="55" s="1"/>
  <c r="H2" i="43" s="1"/>
  <c r="AH33" i="54"/>
  <c r="AH33" i="55" s="1"/>
  <c r="Y3" i="43" s="1"/>
  <c r="D32" i="54"/>
  <c r="D32" i="55" s="1"/>
  <c r="AG37" i="54"/>
  <c r="AG37" i="55" s="1"/>
  <c r="X7" i="43" s="1"/>
  <c r="W32" i="54"/>
  <c r="W32" i="55" s="1"/>
  <c r="N2" i="43" s="1"/>
  <c r="V34" i="54"/>
  <c r="V34" i="55" s="1"/>
  <c r="M4" i="43" s="1"/>
  <c r="AJ33" i="54"/>
  <c r="AJ33" i="55" s="1"/>
  <c r="AA3" i="43" s="1"/>
  <c r="AT33" i="54"/>
  <c r="AT33" i="55" s="1"/>
  <c r="AK3" i="43" s="1"/>
  <c r="Y35" i="54"/>
  <c r="Y35" i="55" s="1"/>
  <c r="P5" i="43" s="1"/>
  <c r="G34" i="54"/>
  <c r="G34" i="55" s="1"/>
  <c r="E34" i="54"/>
  <c r="E34" i="55" s="1"/>
  <c r="AG35" i="54"/>
  <c r="AG35" i="55" s="1"/>
  <c r="X5" i="43" s="1"/>
  <c r="W34" i="54"/>
  <c r="W34" i="55" s="1"/>
  <c r="N4" i="43" s="1"/>
  <c r="M34" i="54"/>
  <c r="M34" i="55" s="1"/>
  <c r="D4" i="43" s="1"/>
  <c r="AK35" i="54"/>
  <c r="AK35" i="55" s="1"/>
  <c r="AB5" i="43" s="1"/>
  <c r="M36" i="54"/>
  <c r="M36" i="55" s="1"/>
  <c r="D6" i="43" s="1"/>
  <c r="AI32" i="54"/>
  <c r="AI32" i="55" s="1"/>
  <c r="Z2" i="43" s="1"/>
  <c r="T32" i="54"/>
  <c r="T32" i="55" s="1"/>
  <c r="K2" i="43" s="1"/>
  <c r="V32" i="54"/>
  <c r="V32" i="55" s="1"/>
  <c r="M2" i="43" s="1"/>
  <c r="AH32" i="54"/>
  <c r="AH32" i="55" s="1"/>
  <c r="Y2" i="43" s="1"/>
  <c r="W37" i="54"/>
  <c r="W37" i="55" s="1"/>
  <c r="N7" i="43" s="1"/>
  <c r="Q34" i="54"/>
  <c r="Q34" i="55" s="1"/>
  <c r="H4" i="43" s="1"/>
  <c r="T36" i="54"/>
  <c r="T36" i="55" s="1"/>
  <c r="K6" i="43" s="1"/>
  <c r="Z35" i="54"/>
  <c r="Z35" i="55" s="1"/>
  <c r="Q5" i="43" s="1"/>
  <c r="U34" i="54"/>
  <c r="U34" i="55" s="1"/>
  <c r="L4" i="43" s="1"/>
  <c r="D36" i="54"/>
  <c r="D36" i="55" s="1"/>
  <c r="AP35" i="54"/>
  <c r="AP35" i="55" s="1"/>
  <c r="AG5" i="43" s="1"/>
  <c r="AC34" i="54"/>
  <c r="AC34" i="55" s="1"/>
  <c r="T4" i="43" s="1"/>
  <c r="H36" i="54"/>
  <c r="H36" i="55" s="1"/>
  <c r="AC36" i="54"/>
  <c r="AC36" i="55" s="1"/>
  <c r="T6" i="43" s="1"/>
  <c r="AG34" i="54"/>
  <c r="AG34" i="55" s="1"/>
  <c r="X4" i="43" s="1"/>
  <c r="L36" i="54"/>
  <c r="L36" i="55" s="1"/>
  <c r="C6" i="43" s="1"/>
  <c r="AF37" i="54"/>
  <c r="AF37" i="55" s="1"/>
  <c r="W7" i="43" s="1"/>
  <c r="F33" i="54"/>
  <c r="F33" i="55" s="1"/>
  <c r="AJ32" i="54"/>
  <c r="AJ32" i="55" s="1"/>
  <c r="AA2" i="43" s="1"/>
  <c r="AP32" i="54"/>
  <c r="AP32" i="55" s="1"/>
  <c r="AG2" i="43" s="1"/>
  <c r="E33" i="54"/>
  <c r="E33" i="55" s="1"/>
  <c r="AS33" i="54"/>
  <c r="AS33" i="55" s="1"/>
  <c r="AJ3" i="43" s="1"/>
  <c r="K36" i="54"/>
  <c r="K36" i="55" s="1"/>
  <c r="B6" i="43" s="1"/>
  <c r="AD32" i="54"/>
  <c r="AD32" i="55" s="1"/>
  <c r="U2" i="43" s="1"/>
  <c r="P37" i="54"/>
  <c r="P37" i="55" s="1"/>
  <c r="G7" i="43" s="1"/>
  <c r="AS34" i="54"/>
  <c r="AS34" i="55" s="1"/>
  <c r="AJ4" i="43" s="1"/>
  <c r="X36" i="54"/>
  <c r="X36" i="55" s="1"/>
  <c r="O6" i="43" s="1"/>
  <c r="E32" i="54"/>
  <c r="E32" i="55" s="1"/>
  <c r="D35" i="54"/>
  <c r="D35" i="55" s="1"/>
  <c r="AB36" i="54"/>
  <c r="AB36" i="55" s="1"/>
  <c r="S6" i="43" s="1"/>
  <c r="U32" i="54"/>
  <c r="U32" i="55" s="1"/>
  <c r="L2" i="43" s="1"/>
  <c r="H35" i="54"/>
  <c r="H35" i="55" s="1"/>
  <c r="AJ36" i="54"/>
  <c r="AJ36" i="55" s="1"/>
  <c r="AA6" i="43" s="1"/>
  <c r="H33" i="54"/>
  <c r="H33" i="55" s="1"/>
  <c r="V33" i="54"/>
  <c r="V33" i="55" s="1"/>
  <c r="M3" i="43" s="1"/>
  <c r="G33" i="54"/>
  <c r="G33" i="55" s="1"/>
  <c r="Q33" i="54"/>
  <c r="Q33" i="55" s="1"/>
  <c r="H3" i="43" s="1"/>
  <c r="U33" i="54"/>
  <c r="U33" i="55" s="1"/>
  <c r="L3" i="43" s="1"/>
  <c r="H32" i="54"/>
  <c r="H32" i="55" s="1"/>
  <c r="C37" i="54"/>
  <c r="C37" i="55" s="1"/>
  <c r="K34" i="54"/>
  <c r="K34" i="55" s="1"/>
  <c r="B4" i="43" s="1"/>
  <c r="AL33" i="54"/>
  <c r="AL33" i="55" s="1"/>
  <c r="AC3" i="43" s="1"/>
  <c r="V36" i="54"/>
  <c r="V36" i="55" s="1"/>
  <c r="M6" i="43" s="1"/>
  <c r="N37" i="54"/>
  <c r="N37" i="55" s="1"/>
  <c r="E7" i="43" s="1"/>
  <c r="AC33" i="54"/>
  <c r="AC33" i="55" s="1"/>
  <c r="T3" i="43" s="1"/>
  <c r="O34" i="54"/>
  <c r="O34" i="55" s="1"/>
  <c r="F4" i="43" s="1"/>
  <c r="K35" i="54"/>
  <c r="K35" i="55" s="1"/>
  <c r="B5" i="43" s="1"/>
  <c r="Y36" i="54"/>
  <c r="Y36" i="55" s="1"/>
  <c r="P6" i="43" s="1"/>
  <c r="O33" i="54"/>
  <c r="O33" i="55" s="1"/>
  <c r="F3" i="43" s="1"/>
  <c r="R36" i="54"/>
  <c r="R36" i="55" s="1"/>
  <c r="I6" i="43" s="1"/>
  <c r="AC37" i="54"/>
  <c r="AC37" i="55" s="1"/>
  <c r="T7" i="43" s="1"/>
  <c r="AM35" i="54"/>
  <c r="AM35" i="55" s="1"/>
  <c r="AD5" i="43" s="1"/>
  <c r="AD33" i="54"/>
  <c r="AD33" i="55" s="1"/>
  <c r="U3" i="43" s="1"/>
  <c r="Q35" i="54"/>
  <c r="Q35" i="55" s="1"/>
  <c r="H5" i="43" s="1"/>
  <c r="F32" i="54"/>
  <c r="F32" i="55" s="1"/>
  <c r="AD44" i="54"/>
  <c r="AD44" i="55" s="1"/>
  <c r="U5" i="44" s="1"/>
  <c r="AQ43" i="54"/>
  <c r="AQ43" i="55" s="1"/>
  <c r="AH4" i="44" s="1"/>
  <c r="AJ45" i="54"/>
  <c r="AJ45" i="55" s="1"/>
  <c r="AA6" i="44" s="1"/>
  <c r="J45" i="54"/>
  <c r="J45" i="55" s="1"/>
  <c r="AP43" i="54"/>
  <c r="AP43" i="55" s="1"/>
  <c r="AG4" i="44" s="1"/>
  <c r="P43" i="54"/>
  <c r="P43" i="55" s="1"/>
  <c r="G4" i="44" s="1"/>
  <c r="AA42" i="54"/>
  <c r="AA42" i="55" s="1"/>
  <c r="R3" i="44" s="1"/>
  <c r="AT41" i="54"/>
  <c r="AT41" i="55" s="1"/>
  <c r="AK2" i="44" s="1"/>
  <c r="L41" i="54"/>
  <c r="L41" i="55" s="1"/>
  <c r="C2" i="44" s="1"/>
  <c r="AQ46" i="54"/>
  <c r="AQ46" i="55" s="1"/>
  <c r="AH7" i="44" s="1"/>
  <c r="AB46" i="54"/>
  <c r="AB46" i="55" s="1"/>
  <c r="S7" i="44" s="1"/>
  <c r="Q46" i="54"/>
  <c r="Q46" i="55" s="1"/>
  <c r="H7" i="44" s="1"/>
  <c r="AU45" i="54"/>
  <c r="AU45" i="55" s="1"/>
  <c r="AL6" i="44" s="1"/>
  <c r="AR45" i="54"/>
  <c r="AR45" i="55" s="1"/>
  <c r="AI6" i="44" s="1"/>
  <c r="AC45" i="54"/>
  <c r="AC45" i="55" s="1"/>
  <c r="T6" i="44" s="1"/>
  <c r="R45" i="54"/>
  <c r="R45" i="55" s="1"/>
  <c r="I6" i="44" s="1"/>
  <c r="C45" i="54"/>
  <c r="C45" i="55" s="1"/>
  <c r="Z41" i="54"/>
  <c r="Z41" i="55" s="1"/>
  <c r="Q2" i="44" s="1"/>
  <c r="Q43" i="54"/>
  <c r="Q43" i="55" s="1"/>
  <c r="H4" i="44" s="1"/>
  <c r="W46" i="54"/>
  <c r="W46" i="55" s="1"/>
  <c r="N7" i="44" s="1"/>
  <c r="AP45" i="54"/>
  <c r="AP45" i="55" s="1"/>
  <c r="AG6" i="44" s="1"/>
  <c r="AC44" i="54"/>
  <c r="AC44" i="55" s="1"/>
  <c r="T5" i="44" s="1"/>
  <c r="C44" i="54"/>
  <c r="C44" i="55" s="1"/>
  <c r="N43" i="54"/>
  <c r="N43" i="55" s="1"/>
  <c r="E4" i="44" s="1"/>
  <c r="AG42" i="54"/>
  <c r="AG42" i="55" s="1"/>
  <c r="X3" i="44" s="1"/>
  <c r="AB41" i="54"/>
  <c r="AB41" i="55" s="1"/>
  <c r="S2" i="44" s="1"/>
  <c r="M41" i="54"/>
  <c r="M41" i="55" s="1"/>
  <c r="D2" i="44" s="1"/>
  <c r="AR46" i="54"/>
  <c r="AR46" i="55" s="1"/>
  <c r="AI7" i="44" s="1"/>
  <c r="AG46" i="54"/>
  <c r="AG46" i="55" s="1"/>
  <c r="X7" i="44" s="1"/>
  <c r="R46" i="54"/>
  <c r="R46" i="55" s="1"/>
  <c r="I7" i="44" s="1"/>
  <c r="O46" i="54"/>
  <c r="O46" i="55" s="1"/>
  <c r="F7" i="44" s="1"/>
  <c r="AS45" i="54"/>
  <c r="AS45" i="55" s="1"/>
  <c r="AJ6" i="44" s="1"/>
  <c r="AH45" i="54"/>
  <c r="AH45" i="55" s="1"/>
  <c r="Y6" i="44" s="1"/>
  <c r="S45" i="54"/>
  <c r="S45" i="55" s="1"/>
  <c r="J6" i="44" s="1"/>
  <c r="J46" i="54"/>
  <c r="J46" i="55" s="1"/>
  <c r="AS42" i="54"/>
  <c r="AS42" i="55" s="1"/>
  <c r="AJ3" i="44" s="1"/>
  <c r="AU43" i="54"/>
  <c r="AU43" i="55" s="1"/>
  <c r="AL4" i="44" s="1"/>
  <c r="U43" i="54"/>
  <c r="U43" i="55" s="1"/>
  <c r="L4" i="44" s="1"/>
  <c r="H42" i="54"/>
  <c r="H42" i="55" s="1"/>
  <c r="AA41" i="54"/>
  <c r="AA41" i="55" s="1"/>
  <c r="R2" i="44" s="1"/>
  <c r="AM46" i="54"/>
  <c r="AM46" i="55" s="1"/>
  <c r="AD7" i="44" s="1"/>
  <c r="M46" i="54"/>
  <c r="M46" i="55" s="1"/>
  <c r="D7" i="44" s="1"/>
  <c r="R43" i="54"/>
  <c r="R43" i="55" s="1"/>
  <c r="I4" i="44" s="1"/>
  <c r="C43" i="54"/>
  <c r="C43" i="55" s="1"/>
  <c r="AK42" i="54"/>
  <c r="AK42" i="55" s="1"/>
  <c r="AB3" i="44" s="1"/>
  <c r="V42" i="54"/>
  <c r="V42" i="55" s="1"/>
  <c r="M3" i="44" s="1"/>
  <c r="S42" i="54"/>
  <c r="S42" i="55" s="1"/>
  <c r="J3" i="44" s="1"/>
  <c r="D42" i="54"/>
  <c r="D42" i="55" s="1"/>
  <c r="AL41" i="54"/>
  <c r="AL41" i="55" s="1"/>
  <c r="AC2" i="44" s="1"/>
  <c r="W41" i="54"/>
  <c r="W41" i="55" s="1"/>
  <c r="N2" i="44" s="1"/>
  <c r="AF43" i="54"/>
  <c r="AF43" i="55" s="1"/>
  <c r="W4" i="44" s="1"/>
  <c r="M42" i="54"/>
  <c r="M42" i="55" s="1"/>
  <c r="D3" i="44" s="1"/>
  <c r="K42" i="54"/>
  <c r="K42" i="55" s="1"/>
  <c r="B3" i="44" s="1"/>
  <c r="AD41" i="54"/>
  <c r="AD41" i="55" s="1"/>
  <c r="U2" i="44" s="1"/>
  <c r="AT46" i="54"/>
  <c r="AT46" i="55" s="1"/>
  <c r="AK7" i="44" s="1"/>
  <c r="AG45" i="54"/>
  <c r="AG45" i="55" s="1"/>
  <c r="X6" i="44" s="1"/>
  <c r="G45" i="54"/>
  <c r="G45" i="55" s="1"/>
  <c r="AS46" i="54"/>
  <c r="AS46" i="55" s="1"/>
  <c r="AJ7" i="44" s="1"/>
  <c r="AL42" i="54"/>
  <c r="AL42" i="55" s="1"/>
  <c r="AC3" i="44" s="1"/>
  <c r="AM41" i="54"/>
  <c r="AM41" i="55" s="1"/>
  <c r="AD2" i="44" s="1"/>
  <c r="AL44" i="54"/>
  <c r="AL44" i="55" s="1"/>
  <c r="AC5" i="44" s="1"/>
  <c r="AM43" i="54"/>
  <c r="AM43" i="55" s="1"/>
  <c r="AD4" i="44" s="1"/>
  <c r="AD46" i="54"/>
  <c r="AD46" i="55" s="1"/>
  <c r="U7" i="44" s="1"/>
  <c r="AE45" i="54"/>
  <c r="AE45" i="55" s="1"/>
  <c r="V6" i="44" s="1"/>
  <c r="AF44" i="54"/>
  <c r="AF44" i="55" s="1"/>
  <c r="W5" i="44" s="1"/>
  <c r="AH41" i="54"/>
  <c r="AH41" i="55" s="1"/>
  <c r="Y2" i="44" s="1"/>
  <c r="AF46" i="54"/>
  <c r="AF46" i="55" s="1"/>
  <c r="W7" i="44" s="1"/>
  <c r="AL46" i="54"/>
  <c r="AL46" i="55" s="1"/>
  <c r="AC7" i="44" s="1"/>
  <c r="D44" i="54"/>
  <c r="D44" i="55" s="1"/>
  <c r="K43" i="54"/>
  <c r="K43" i="55" s="1"/>
  <c r="B4" i="44" s="1"/>
  <c r="AB42" i="54"/>
  <c r="AB42" i="55" s="1"/>
  <c r="S3" i="44" s="1"/>
  <c r="AU41" i="54"/>
  <c r="AU41" i="55" s="1"/>
  <c r="AL2" i="44" s="1"/>
  <c r="AI46" i="54"/>
  <c r="AI46" i="55" s="1"/>
  <c r="Z7" i="44" s="1"/>
  <c r="I46" i="54"/>
  <c r="I46" i="55" s="1"/>
  <c r="T45" i="54"/>
  <c r="T45" i="55" s="1"/>
  <c r="K6" i="44" s="1"/>
  <c r="AM44" i="54"/>
  <c r="AM44" i="55" s="1"/>
  <c r="AD5" i="44" s="1"/>
  <c r="AE42" i="54"/>
  <c r="AE42" i="55" s="1"/>
  <c r="V3" i="44" s="1"/>
  <c r="P42" i="54"/>
  <c r="P42" i="55" s="1"/>
  <c r="G3" i="44" s="1"/>
  <c r="E42" i="54"/>
  <c r="E42" i="55" s="1"/>
  <c r="AI41" i="54"/>
  <c r="AI41" i="55" s="1"/>
  <c r="Z2" i="44" s="1"/>
  <c r="AF41" i="54"/>
  <c r="AF41" i="55" s="1"/>
  <c r="W2" i="44" s="1"/>
  <c r="Q41" i="54"/>
  <c r="Q41" i="55" s="1"/>
  <c r="H2" i="44" s="1"/>
  <c r="F41" i="54"/>
  <c r="F41" i="55" s="1"/>
  <c r="AK46" i="54"/>
  <c r="AK46" i="55" s="1"/>
  <c r="AB7" i="44" s="1"/>
  <c r="V46" i="54"/>
  <c r="V46" i="55" s="1"/>
  <c r="M7" i="44" s="1"/>
  <c r="AP46" i="54"/>
  <c r="AP46" i="55" s="1"/>
  <c r="AG7" i="44" s="1"/>
  <c r="D46" i="54"/>
  <c r="D46" i="55" s="1"/>
  <c r="O43" i="54"/>
  <c r="O43" i="55" s="1"/>
  <c r="F4" i="44" s="1"/>
  <c r="AH42" i="54"/>
  <c r="AH42" i="55" s="1"/>
  <c r="Y3" i="44" s="1"/>
  <c r="U41" i="54"/>
  <c r="U41" i="55" s="1"/>
  <c r="L2" i="44" s="1"/>
  <c r="AO46" i="54"/>
  <c r="AO46" i="55" s="1"/>
  <c r="AF7" i="44" s="1"/>
  <c r="G46" i="54"/>
  <c r="G46" i="55" s="1"/>
  <c r="Z45" i="54"/>
  <c r="Z45" i="55" s="1"/>
  <c r="Q6" i="44" s="1"/>
  <c r="AU42" i="54"/>
  <c r="AU42" i="55" s="1"/>
  <c r="AL3" i="44" s="1"/>
  <c r="AF42" i="54"/>
  <c r="AF42" i="55" s="1"/>
  <c r="W3" i="44" s="1"/>
  <c r="U42" i="54"/>
  <c r="U42" i="55" s="1"/>
  <c r="L3" i="44" s="1"/>
  <c r="F42" i="54"/>
  <c r="F42" i="55" s="1"/>
  <c r="C42" i="54"/>
  <c r="C42" i="55" s="1"/>
  <c r="AG41" i="54"/>
  <c r="AG41" i="55" s="1"/>
  <c r="X2" i="44" s="1"/>
  <c r="V41" i="54"/>
  <c r="V41" i="55" s="1"/>
  <c r="M2" i="44" s="1"/>
  <c r="G41" i="54"/>
  <c r="G41" i="55" s="1"/>
  <c r="AJ46" i="54"/>
  <c r="AJ46" i="55" s="1"/>
  <c r="AA7" i="44" s="1"/>
  <c r="Q45" i="54"/>
  <c r="Q45" i="55" s="1"/>
  <c r="H6" i="44" s="1"/>
  <c r="X41" i="54"/>
  <c r="X41" i="55" s="1"/>
  <c r="O2" i="44" s="1"/>
  <c r="AN46" i="54"/>
  <c r="AN46" i="55" s="1"/>
  <c r="AE7" i="44" s="1"/>
  <c r="N46" i="54"/>
  <c r="N46" i="55" s="1"/>
  <c r="E7" i="44" s="1"/>
  <c r="AT44" i="54"/>
  <c r="AT44" i="55" s="1"/>
  <c r="AK5" i="44" s="1"/>
  <c r="T44" i="54"/>
  <c r="T44" i="55" s="1"/>
  <c r="K5" i="44" s="1"/>
  <c r="AE43" i="54"/>
  <c r="AE43" i="55" s="1"/>
  <c r="V4" i="44" s="1"/>
  <c r="E43" i="54"/>
  <c r="E43" i="55" s="1"/>
  <c r="AK44" i="54"/>
  <c r="AK44" i="55" s="1"/>
  <c r="AB5" i="44" s="1"/>
  <c r="V44" i="54"/>
  <c r="V44" i="55" s="1"/>
  <c r="M5" i="44" s="1"/>
  <c r="K44" i="54"/>
  <c r="K44" i="55" s="1"/>
  <c r="B5" i="44" s="1"/>
  <c r="AO43" i="54"/>
  <c r="AO43" i="55" s="1"/>
  <c r="AF4" i="44" s="1"/>
  <c r="AL43" i="54"/>
  <c r="AL43" i="55" s="1"/>
  <c r="AC4" i="44" s="1"/>
  <c r="W43" i="54"/>
  <c r="W43" i="55" s="1"/>
  <c r="N4" i="44" s="1"/>
  <c r="L43" i="54"/>
  <c r="L43" i="55" s="1"/>
  <c r="C4" i="44" s="1"/>
  <c r="AP42" i="54"/>
  <c r="AP42" i="55" s="1"/>
  <c r="AG3" i="44" s="1"/>
  <c r="AK41" i="54"/>
  <c r="AK41" i="55" s="1"/>
  <c r="AB2" i="44" s="1"/>
  <c r="M44" i="54"/>
  <c r="M44" i="55" s="1"/>
  <c r="D5" i="44" s="1"/>
  <c r="D45" i="54"/>
  <c r="D45" i="55" s="1"/>
  <c r="W44" i="54"/>
  <c r="W44" i="55" s="1"/>
  <c r="N5" i="44" s="1"/>
  <c r="J43" i="54"/>
  <c r="J43" i="55" s="1"/>
  <c r="AC42" i="54"/>
  <c r="AC42" i="55" s="1"/>
  <c r="T3" i="44" s="1"/>
  <c r="AN41" i="54"/>
  <c r="AN41" i="55" s="1"/>
  <c r="AE2" i="44" s="1"/>
  <c r="AH43" i="54"/>
  <c r="AH43" i="55" s="1"/>
  <c r="Y4" i="44" s="1"/>
  <c r="AI42" i="54"/>
  <c r="AI42" i="55" s="1"/>
  <c r="Z3" i="44" s="1"/>
  <c r="R44" i="54"/>
  <c r="R44" i="55" s="1"/>
  <c r="I5" i="44" s="1"/>
  <c r="AA44" i="54"/>
  <c r="AA44" i="55" s="1"/>
  <c r="R5" i="44" s="1"/>
  <c r="AB43" i="54"/>
  <c r="AB43" i="55" s="1"/>
  <c r="S4" i="44" s="1"/>
  <c r="AA46" i="54"/>
  <c r="AA46" i="55" s="1"/>
  <c r="R7" i="44" s="1"/>
  <c r="AB45" i="54"/>
  <c r="AB45" i="55" s="1"/>
  <c r="S6" i="44" s="1"/>
  <c r="G44" i="54"/>
  <c r="G44" i="55" s="1"/>
  <c r="S41" i="54"/>
  <c r="S41" i="55" s="1"/>
  <c r="J2" i="44" s="1"/>
  <c r="U46" i="54"/>
  <c r="U46" i="55" s="1"/>
  <c r="L7" i="44" s="1"/>
  <c r="T41" i="54"/>
  <c r="T41" i="55" s="1"/>
  <c r="K2" i="44" s="1"/>
  <c r="AF45" i="54"/>
  <c r="AF45" i="55" s="1"/>
  <c r="W6" i="44" s="1"/>
  <c r="AD42" i="54"/>
  <c r="AD42" i="55" s="1"/>
  <c r="U3" i="44" s="1"/>
  <c r="U45" i="54"/>
  <c r="U45" i="55" s="1"/>
  <c r="L6" i="44" s="1"/>
  <c r="AN44" i="54"/>
  <c r="AN44" i="55" s="1"/>
  <c r="AE5" i="44" s="1"/>
  <c r="AA43" i="54"/>
  <c r="AA43" i="55" s="1"/>
  <c r="R4" i="44" s="1"/>
  <c r="AT42" i="54"/>
  <c r="AT42" i="55" s="1"/>
  <c r="AK3" i="44" s="1"/>
  <c r="L42" i="54"/>
  <c r="L42" i="55" s="1"/>
  <c r="C3" i="44" s="1"/>
  <c r="AE41" i="54"/>
  <c r="AE41" i="55" s="1"/>
  <c r="V2" i="44" s="1"/>
  <c r="E44" i="54"/>
  <c r="E44" i="55" s="1"/>
  <c r="AI43" i="54"/>
  <c r="AI43" i="55" s="1"/>
  <c r="Z4" i="44" s="1"/>
  <c r="X43" i="54"/>
  <c r="X43" i="55" s="1"/>
  <c r="O4" i="44" s="1"/>
  <c r="I43" i="54"/>
  <c r="I43" i="55" s="1"/>
  <c r="F43" i="54"/>
  <c r="F43" i="55" s="1"/>
  <c r="AJ42" i="54"/>
  <c r="AJ42" i="55" s="1"/>
  <c r="AA3" i="44" s="1"/>
  <c r="Y42" i="54"/>
  <c r="Y42" i="55" s="1"/>
  <c r="P3" i="44" s="1"/>
  <c r="J42" i="54"/>
  <c r="J42" i="55" s="1"/>
  <c r="E41" i="54"/>
  <c r="E41" i="55" s="1"/>
  <c r="X42" i="54"/>
  <c r="X42" i="55" s="1"/>
  <c r="O3" i="44" s="1"/>
  <c r="W45" i="54"/>
  <c r="W45" i="55" s="1"/>
  <c r="N6" i="44" s="1"/>
  <c r="H46" i="54"/>
  <c r="H46" i="55" s="1"/>
  <c r="AA45" i="54"/>
  <c r="AA45" i="55" s="1"/>
  <c r="R6" i="44" s="1"/>
  <c r="N44" i="54"/>
  <c r="N44" i="55" s="1"/>
  <c r="E5" i="44" s="1"/>
  <c r="AG43" i="54"/>
  <c r="AG43" i="55" s="1"/>
  <c r="X4" i="44" s="1"/>
  <c r="AR42" i="54"/>
  <c r="AR42" i="55" s="1"/>
  <c r="AI3" i="44" s="1"/>
  <c r="R42" i="54"/>
  <c r="R42" i="55" s="1"/>
  <c r="I3" i="44" s="1"/>
  <c r="U44" i="54"/>
  <c r="U44" i="55" s="1"/>
  <c r="L5" i="44" s="1"/>
  <c r="F44" i="54"/>
  <c r="F44" i="55" s="1"/>
  <c r="AN43" i="54"/>
  <c r="AN43" i="55" s="1"/>
  <c r="AE4" i="44" s="1"/>
  <c r="Y43" i="54"/>
  <c r="Y43" i="55" s="1"/>
  <c r="P4" i="44" s="1"/>
  <c r="V43" i="54"/>
  <c r="V43" i="55" s="1"/>
  <c r="M4" i="44" s="1"/>
  <c r="G43" i="54"/>
  <c r="G43" i="55" s="1"/>
  <c r="AO42" i="54"/>
  <c r="AO42" i="55" s="1"/>
  <c r="AF3" i="44" s="1"/>
  <c r="Z42" i="54"/>
  <c r="Z42" i="55" s="1"/>
  <c r="Q3" i="44" s="1"/>
  <c r="AS44" i="54"/>
  <c r="AS44" i="55" s="1"/>
  <c r="AJ5" i="44" s="1"/>
  <c r="AJ44" i="54"/>
  <c r="AJ44" i="55" s="1"/>
  <c r="AA5" i="44" s="1"/>
  <c r="Q44" i="54"/>
  <c r="Q44" i="55" s="1"/>
  <c r="H5" i="44" s="1"/>
  <c r="AJ43" i="54"/>
  <c r="AJ43" i="55" s="1"/>
  <c r="AA4" i="44" s="1"/>
  <c r="W42" i="54"/>
  <c r="W42" i="55" s="1"/>
  <c r="N3" i="44" s="1"/>
  <c r="AP41" i="54"/>
  <c r="AP41" i="55" s="1"/>
  <c r="AG2" i="44" s="1"/>
  <c r="H41" i="54"/>
  <c r="H41" i="55" s="1"/>
  <c r="X46" i="54"/>
  <c r="X46" i="55" s="1"/>
  <c r="O7" i="44" s="1"/>
  <c r="AQ45" i="54"/>
  <c r="AQ45" i="55" s="1"/>
  <c r="AH6" i="44" s="1"/>
  <c r="K46" i="54"/>
  <c r="K46" i="55" s="1"/>
  <c r="B7" i="44" s="1"/>
  <c r="AO45" i="54"/>
  <c r="AO45" i="55" s="1"/>
  <c r="AF6" i="44" s="1"/>
  <c r="AD45" i="54"/>
  <c r="AD45" i="55" s="1"/>
  <c r="U6" i="44" s="1"/>
  <c r="O45" i="54"/>
  <c r="O45" i="55" s="1"/>
  <c r="F6" i="44" s="1"/>
  <c r="L45" i="54"/>
  <c r="L45" i="55" s="1"/>
  <c r="C6" i="44" s="1"/>
  <c r="AP44" i="54"/>
  <c r="AP44" i="55" s="1"/>
  <c r="AG5" i="44" s="1"/>
  <c r="AE44" i="54"/>
  <c r="AE44" i="55" s="1"/>
  <c r="V5" i="44" s="1"/>
  <c r="P44" i="54"/>
  <c r="P44" i="55" s="1"/>
  <c r="G5" i="44" s="1"/>
  <c r="K41" i="54"/>
  <c r="K41" i="55" s="1"/>
  <c r="B2" i="44" s="1"/>
  <c r="S46" i="54"/>
  <c r="S46" i="55" s="1"/>
  <c r="J7" i="44" s="1"/>
  <c r="AO41" i="54"/>
  <c r="AO41" i="55" s="1"/>
  <c r="AF2" i="44" s="1"/>
  <c r="O41" i="54"/>
  <c r="O41" i="55" s="1"/>
  <c r="F2" i="44" s="1"/>
  <c r="C46" i="54"/>
  <c r="C46" i="55" s="1"/>
  <c r="V45" i="54"/>
  <c r="V45" i="55" s="1"/>
  <c r="M6" i="44" s="1"/>
  <c r="AG44" i="54"/>
  <c r="AG44" i="55" s="1"/>
  <c r="X5" i="44" s="1"/>
  <c r="S43" i="54"/>
  <c r="S43" i="55" s="1"/>
  <c r="J4" i="44" s="1"/>
  <c r="T42" i="54"/>
  <c r="T42" i="55" s="1"/>
  <c r="K3" i="44" s="1"/>
  <c r="AK43" i="54"/>
  <c r="AK43" i="55" s="1"/>
  <c r="AB4" i="44" s="1"/>
  <c r="L44" i="54"/>
  <c r="L44" i="55" s="1"/>
  <c r="C5" i="44" s="1"/>
  <c r="M43" i="54"/>
  <c r="M43" i="55" s="1"/>
  <c r="D4" i="44" s="1"/>
  <c r="L46" i="54"/>
  <c r="L46" i="55" s="1"/>
  <c r="C7" i="44" s="1"/>
  <c r="M45" i="54"/>
  <c r="M45" i="55" s="1"/>
  <c r="D6" i="44" s="1"/>
  <c r="O42" i="54"/>
  <c r="O42" i="55" s="1"/>
  <c r="F3" i="44" s="1"/>
  <c r="P41" i="54"/>
  <c r="P41" i="55" s="1"/>
  <c r="G2" i="44" s="1"/>
  <c r="F46" i="54"/>
  <c r="F46" i="55" s="1"/>
  <c r="Y46" i="54"/>
  <c r="Y46" i="55" s="1"/>
  <c r="P7" i="44" s="1"/>
  <c r="F45" i="54"/>
  <c r="F45" i="55" s="1"/>
  <c r="AQ42" i="54"/>
  <c r="AQ42" i="55" s="1"/>
  <c r="AH3" i="44" s="1"/>
  <c r="Q42" i="54"/>
  <c r="Q42" i="55" s="1"/>
  <c r="H3" i="44" s="1"/>
  <c r="D41" i="54"/>
  <c r="D41" i="55" s="1"/>
  <c r="T46" i="54"/>
  <c r="T46" i="55" s="1"/>
  <c r="K7" i="44" s="1"/>
  <c r="AM45" i="54"/>
  <c r="AM45" i="55" s="1"/>
  <c r="AD6" i="44" s="1"/>
  <c r="E45" i="54"/>
  <c r="E45" i="55" s="1"/>
  <c r="X44" i="54"/>
  <c r="X44" i="55" s="1"/>
  <c r="O5" i="44" s="1"/>
  <c r="X45" i="54"/>
  <c r="X45" i="55" s="1"/>
  <c r="O6" i="44" s="1"/>
  <c r="I45" i="54"/>
  <c r="I45" i="55" s="1"/>
  <c r="AQ44" i="54"/>
  <c r="AQ44" i="55" s="1"/>
  <c r="AH5" i="44" s="1"/>
  <c r="AB44" i="54"/>
  <c r="AB44" i="55" s="1"/>
  <c r="S5" i="44" s="1"/>
  <c r="Y44" i="54"/>
  <c r="Y44" i="55" s="1"/>
  <c r="P5" i="44" s="1"/>
  <c r="J44" i="54"/>
  <c r="J44" i="55" s="1"/>
  <c r="AR43" i="54"/>
  <c r="AR43" i="55" s="1"/>
  <c r="AI4" i="44" s="1"/>
  <c r="AC43" i="54"/>
  <c r="AC43" i="55" s="1"/>
  <c r="T4" i="44" s="1"/>
  <c r="G42" i="54"/>
  <c r="G42" i="55" s="1"/>
  <c r="AQ41" i="54"/>
  <c r="AQ41" i="55" s="1"/>
  <c r="AH2" i="44" s="1"/>
  <c r="AD43" i="54"/>
  <c r="AD43" i="55" s="1"/>
  <c r="U4" i="44" s="1"/>
  <c r="D43" i="54"/>
  <c r="D43" i="55" s="1"/>
  <c r="AJ41" i="54"/>
  <c r="AJ41" i="55" s="1"/>
  <c r="AA2" i="44" s="1"/>
  <c r="J41" i="54"/>
  <c r="J41" i="55" s="1"/>
  <c r="Z46" i="54"/>
  <c r="Z46" i="55" s="1"/>
  <c r="Q7" i="44" s="1"/>
  <c r="AK45" i="54"/>
  <c r="AK45" i="55" s="1"/>
  <c r="AB6" i="44" s="1"/>
  <c r="K45" i="54"/>
  <c r="K45" i="55" s="1"/>
  <c r="B6" i="44" s="1"/>
  <c r="AN45" i="54"/>
  <c r="AN45" i="55" s="1"/>
  <c r="AE6" i="44" s="1"/>
  <c r="Y45" i="54"/>
  <c r="Y45" i="55" s="1"/>
  <c r="P6" i="44" s="1"/>
  <c r="N45" i="54"/>
  <c r="N45" i="55" s="1"/>
  <c r="E6" i="44" s="1"/>
  <c r="AR44" i="54"/>
  <c r="AR44" i="55" s="1"/>
  <c r="AI5" i="44" s="1"/>
  <c r="AO44" i="54"/>
  <c r="AO44" i="55" s="1"/>
  <c r="AF5" i="44" s="1"/>
  <c r="Z44" i="54"/>
  <c r="Z44" i="55" s="1"/>
  <c r="Q5" i="44" s="1"/>
  <c r="O44" i="54"/>
  <c r="O44" i="55" s="1"/>
  <c r="F5" i="44" s="1"/>
  <c r="AS43" i="54"/>
  <c r="AS43" i="55" s="1"/>
  <c r="AJ4" i="44" s="1"/>
  <c r="S44" i="54"/>
  <c r="S44" i="55" s="1"/>
  <c r="J5" i="44" s="1"/>
  <c r="Z43" i="54"/>
  <c r="Z43" i="55" s="1"/>
  <c r="Q4" i="44" s="1"/>
  <c r="I41" i="54"/>
  <c r="I41" i="55" s="1"/>
  <c r="AC46" i="54"/>
  <c r="AC46" i="55" s="1"/>
  <c r="T7" i="44" s="1"/>
  <c r="P45" i="54"/>
  <c r="P45" i="55" s="1"/>
  <c r="G6" i="44" s="1"/>
  <c r="AI44" i="54"/>
  <c r="AI44" i="55" s="1"/>
  <c r="Z5" i="44" s="1"/>
  <c r="AT43" i="54"/>
  <c r="AT43" i="55" s="1"/>
  <c r="AK4" i="44" s="1"/>
  <c r="T43" i="54"/>
  <c r="T43" i="55" s="1"/>
  <c r="K4" i="44" s="1"/>
  <c r="AR41" i="54"/>
  <c r="AR41" i="55" s="1"/>
  <c r="AI2" i="44" s="1"/>
  <c r="AC41" i="54"/>
  <c r="AC41" i="55" s="1"/>
  <c r="T2" i="44" s="1"/>
  <c r="R41" i="54"/>
  <c r="R41" i="55" s="1"/>
  <c r="I2" i="44" s="1"/>
  <c r="C41" i="54"/>
  <c r="C41" i="55" s="1"/>
  <c r="AH46" i="54"/>
  <c r="AH46" i="55" s="1"/>
  <c r="Y7" i="44" s="1"/>
  <c r="AE46" i="54"/>
  <c r="AE46" i="55" s="1"/>
  <c r="V7" i="44" s="1"/>
  <c r="P46" i="54"/>
  <c r="P46" i="55" s="1"/>
  <c r="G7" i="44" s="1"/>
  <c r="E46" i="54"/>
  <c r="E46" i="55" s="1"/>
  <c r="AI45" i="54"/>
  <c r="AI45" i="55" s="1"/>
  <c r="Z6" i="44" s="1"/>
  <c r="AM42" i="54"/>
  <c r="AM42" i="55" s="1"/>
  <c r="AD3" i="44" s="1"/>
  <c r="AL45" i="54"/>
  <c r="AL45" i="55" s="1"/>
  <c r="AC6" i="44" s="1"/>
  <c r="AH44" i="54"/>
  <c r="AH44" i="55" s="1"/>
  <c r="Y5" i="44" s="1"/>
  <c r="H44" i="54"/>
  <c r="H44" i="55" s="1"/>
  <c r="AN42" i="54"/>
  <c r="AN42" i="55" s="1"/>
  <c r="AE3" i="44" s="1"/>
  <c r="N42" i="54"/>
  <c r="N42" i="55" s="1"/>
  <c r="E3" i="44" s="1"/>
  <c r="Y41" i="54"/>
  <c r="Y41" i="55" s="1"/>
  <c r="P2" i="44" s="1"/>
  <c r="H43" i="54"/>
  <c r="H43" i="55" s="1"/>
  <c r="I42" i="54"/>
  <c r="I42" i="55" s="1"/>
  <c r="H45" i="54"/>
  <c r="H45" i="55" s="1"/>
  <c r="I44" i="54"/>
  <c r="I44" i="55" s="1"/>
  <c r="N41" i="54"/>
  <c r="N41" i="55" s="1"/>
  <c r="E2" i="44" s="1"/>
  <c r="AT45" i="54"/>
  <c r="AT45" i="55" s="1"/>
  <c r="AK6" i="44" s="1"/>
  <c r="AU44" i="54"/>
  <c r="AU44" i="55" s="1"/>
  <c r="AL5" i="44" s="1"/>
  <c r="AS41" i="54"/>
  <c r="AS41" i="55" s="1"/>
  <c r="AJ2" i="44" s="1"/>
  <c r="AU46" i="54"/>
  <c r="AU46" i="55" s="1"/>
  <c r="AL7" i="44" s="1"/>
  <c r="H5" i="54"/>
  <c r="AJ9" i="54"/>
  <c r="Q8" i="54"/>
  <c r="E7" i="54"/>
  <c r="AR7" i="54"/>
  <c r="AF8" i="54"/>
  <c r="T9" i="54"/>
  <c r="I10" i="54"/>
  <c r="X6" i="54"/>
  <c r="D7" i="54"/>
  <c r="AD7" i="54"/>
  <c r="S8" i="54"/>
  <c r="I5" i="54"/>
  <c r="AH5" i="54"/>
  <c r="N6" i="54"/>
  <c r="AM6" i="54"/>
  <c r="AO9" i="54"/>
  <c r="AC9" i="54"/>
  <c r="Z8" i="54"/>
  <c r="AT10" i="54"/>
  <c r="AA9" i="54"/>
  <c r="O10" i="54"/>
  <c r="C5" i="54"/>
  <c r="AB5" i="54"/>
  <c r="AD8" i="54"/>
  <c r="Y8" i="54"/>
  <c r="N9" i="54"/>
  <c r="AU9" i="54"/>
  <c r="AI10" i="54"/>
  <c r="AR6" i="54"/>
  <c r="X7" i="54"/>
  <c r="L8" i="54"/>
  <c r="AS8" i="54"/>
  <c r="U7" i="54"/>
  <c r="M5" i="54"/>
  <c r="AS9" i="54"/>
  <c r="AP8" i="54"/>
  <c r="AM7" i="54"/>
  <c r="AK10" i="54"/>
  <c r="S5" i="54"/>
  <c r="AR5" i="54"/>
  <c r="AT8" i="54"/>
  <c r="AU8" i="54"/>
  <c r="AI9" i="54"/>
  <c r="W10" i="54"/>
  <c r="AE7" i="54"/>
  <c r="O7" i="54"/>
  <c r="AS7" i="54"/>
  <c r="AG8" i="54"/>
  <c r="V9" i="54"/>
  <c r="O9" i="54"/>
  <c r="N7" i="54"/>
  <c r="AM10" i="54"/>
  <c r="D9" i="54"/>
  <c r="Q7" i="54"/>
  <c r="P10" i="54"/>
  <c r="O6" i="54"/>
  <c r="AS10" i="54"/>
  <c r="J9" i="54"/>
  <c r="F5" i="54"/>
  <c r="S6" i="54"/>
  <c r="D5" i="54"/>
  <c r="AH6" i="54"/>
  <c r="M7" i="54"/>
  <c r="AQ5" i="54"/>
  <c r="AR10" i="54"/>
  <c r="AA6" i="54"/>
  <c r="Y10" i="54"/>
  <c r="F9" i="54"/>
  <c r="AF7" i="54"/>
  <c r="AM9" i="54"/>
  <c r="AA10" i="54"/>
  <c r="L5" i="54"/>
  <c r="N8" i="54"/>
  <c r="D8" i="54"/>
  <c r="AK8" i="54"/>
  <c r="Z9" i="54"/>
  <c r="N10" i="54"/>
  <c r="AB6" i="54"/>
  <c r="H7" i="54"/>
  <c r="AJ7" i="54"/>
  <c r="X8" i="54"/>
  <c r="AA8" i="54"/>
  <c r="J10" i="54"/>
  <c r="AJ8" i="54"/>
  <c r="S7" i="54"/>
  <c r="Q5" i="54"/>
  <c r="AP5" i="54"/>
  <c r="V6" i="54"/>
  <c r="AU6" i="54"/>
  <c r="D10" i="54"/>
  <c r="U10" i="54"/>
  <c r="G5" i="54"/>
  <c r="AF5" i="54"/>
  <c r="AH8" i="54"/>
  <c r="AE8" i="54"/>
  <c r="S9" i="54"/>
  <c r="G10" i="54"/>
  <c r="AO10" i="54"/>
  <c r="AO6" i="54"/>
  <c r="AL5" i="54"/>
  <c r="AE10" i="54"/>
  <c r="L9" i="54"/>
  <c r="AG5" i="54"/>
  <c r="M6" i="54"/>
  <c r="AL6" i="54"/>
  <c r="R7" i="54"/>
  <c r="T10" i="54"/>
  <c r="AP10" i="54"/>
  <c r="W5" i="54"/>
  <c r="C6" i="54"/>
  <c r="E9" i="54"/>
  <c r="G9" i="54"/>
  <c r="AN9" i="54"/>
  <c r="AC10" i="54"/>
  <c r="AI7" i="54"/>
  <c r="H8" i="54"/>
  <c r="K6" i="54"/>
  <c r="AQ7" i="54"/>
  <c r="AL9" i="54"/>
  <c r="C8" i="54"/>
  <c r="M9" i="54"/>
  <c r="Q9" i="54"/>
  <c r="AU7" i="54"/>
  <c r="AQ9" i="54"/>
  <c r="D6" i="54"/>
  <c r="AJ10" i="54"/>
  <c r="U9" i="54"/>
  <c r="F8" i="54"/>
  <c r="AE5" i="54"/>
  <c r="AF9" i="54"/>
  <c r="AP7" i="54"/>
  <c r="W6" i="54"/>
  <c r="P6" i="54"/>
  <c r="O8" i="54"/>
  <c r="C7" i="54"/>
  <c r="AS5" i="54"/>
  <c r="AF10" i="54"/>
  <c r="Z5" i="54"/>
  <c r="F6" i="54"/>
  <c r="AE6" i="54"/>
  <c r="AG9" i="54"/>
  <c r="AR9" i="54"/>
  <c r="AG10" i="54"/>
  <c r="P5" i="54"/>
  <c r="R8" i="54"/>
  <c r="I8" i="54"/>
  <c r="AQ8" i="54"/>
  <c r="AE9" i="54"/>
  <c r="S10" i="54"/>
  <c r="C10" i="54"/>
  <c r="AQ10" i="54"/>
  <c r="X9" i="54"/>
  <c r="E8" i="54"/>
  <c r="AJ6" i="54"/>
  <c r="P7" i="54"/>
  <c r="AT7" i="54"/>
  <c r="AI8" i="54"/>
  <c r="U5" i="54"/>
  <c r="AT5" i="54"/>
  <c r="Z6" i="54"/>
  <c r="F7" i="54"/>
  <c r="H10" i="54"/>
  <c r="Z10" i="54"/>
  <c r="K5" i="54"/>
  <c r="AJ5" i="54"/>
  <c r="AL8" i="54"/>
  <c r="AH9" i="54"/>
  <c r="R6" i="54"/>
  <c r="O5" i="54"/>
  <c r="AT9" i="54"/>
  <c r="G7" i="54"/>
  <c r="AH7" i="54"/>
  <c r="W8" i="54"/>
  <c r="K9" i="54"/>
  <c r="AK5" i="54"/>
  <c r="Q6" i="54"/>
  <c r="AP6" i="54"/>
  <c r="V7" i="54"/>
  <c r="X10" i="54"/>
  <c r="AU10" i="54"/>
  <c r="AA5" i="54"/>
  <c r="G6" i="54"/>
  <c r="I9" i="54"/>
  <c r="AU5" i="54"/>
  <c r="R9" i="54"/>
  <c r="AB7" i="54"/>
  <c r="L6" i="54"/>
  <c r="AF6" i="54"/>
  <c r="J5" i="54"/>
  <c r="W9" i="54"/>
  <c r="AG7" i="54"/>
  <c r="L7" i="54"/>
  <c r="AC6" i="54"/>
  <c r="N5" i="54"/>
  <c r="AB9" i="54"/>
  <c r="V10" i="54"/>
  <c r="W7" i="54"/>
  <c r="H6" i="54"/>
  <c r="AN10" i="54"/>
  <c r="Y9" i="54"/>
  <c r="AL7" i="54"/>
  <c r="C9" i="54"/>
  <c r="AC7" i="54"/>
  <c r="Y6" i="54"/>
  <c r="T6" i="54"/>
  <c r="AS6" i="54"/>
  <c r="Y7" i="54"/>
  <c r="M8" i="54"/>
  <c r="E5" i="54"/>
  <c r="AD5" i="54"/>
  <c r="J6" i="54"/>
  <c r="AI6" i="54"/>
  <c r="AK9" i="54"/>
  <c r="E10" i="54"/>
  <c r="AL10" i="54"/>
  <c r="T5" i="54"/>
  <c r="V8" i="54"/>
  <c r="J8" i="54"/>
  <c r="X5" i="54"/>
  <c r="M10" i="54"/>
  <c r="AM8" i="54"/>
  <c r="T8" i="54"/>
  <c r="H9" i="54"/>
  <c r="AP9" i="54"/>
  <c r="AD10" i="54"/>
  <c r="AN6" i="54"/>
  <c r="T7" i="54"/>
  <c r="G8" i="54"/>
  <c r="AN8" i="54"/>
  <c r="Y5" i="54"/>
  <c r="E6" i="54"/>
  <c r="AD6" i="54"/>
  <c r="J7" i="54"/>
  <c r="L10" i="54"/>
  <c r="V5" i="54"/>
  <c r="AQ6" i="54"/>
  <c r="AN5" i="54"/>
  <c r="AH10" i="54"/>
  <c r="AO8" i="54"/>
  <c r="AD9" i="54"/>
  <c r="R10" i="54"/>
  <c r="AA7" i="54"/>
  <c r="K7" i="54"/>
  <c r="AN7" i="54"/>
  <c r="AB8" i="54"/>
  <c r="P9" i="54"/>
  <c r="AO5" i="54"/>
  <c r="U6" i="54"/>
  <c r="AT6" i="54"/>
  <c r="Z7" i="54"/>
  <c r="AB10" i="54"/>
  <c r="AC8" i="54"/>
  <c r="F10" i="54"/>
  <c r="P8" i="54"/>
  <c r="AK6" i="54"/>
  <c r="AC5" i="54"/>
  <c r="AI5" i="54"/>
  <c r="K10" i="54"/>
  <c r="U8" i="54"/>
  <c r="I6" i="54"/>
  <c r="I7" i="54"/>
  <c r="AM5" i="54"/>
  <c r="Q10" i="54"/>
  <c r="AO7" i="54"/>
  <c r="K8" i="54"/>
  <c r="AG6" i="54"/>
  <c r="R5" i="54"/>
  <c r="AK7" i="54"/>
  <c r="AR8" i="54"/>
  <c r="Q19" i="54"/>
  <c r="Q19" i="55" s="1"/>
  <c r="H7" i="41" s="1"/>
  <c r="AQ17" i="54"/>
  <c r="AQ17" i="55" s="1"/>
  <c r="AH5" i="41" s="1"/>
  <c r="X16" i="54"/>
  <c r="X16" i="55" s="1"/>
  <c r="O4" i="41" s="1"/>
  <c r="E15" i="54"/>
  <c r="E15" i="55" s="1"/>
  <c r="AB19" i="54"/>
  <c r="AB19" i="55" s="1"/>
  <c r="S7" i="41" s="1"/>
  <c r="I18" i="54"/>
  <c r="I18" i="55" s="1"/>
  <c r="AI16" i="54"/>
  <c r="AI16" i="55" s="1"/>
  <c r="Z4" i="41" s="1"/>
  <c r="P15" i="54"/>
  <c r="P15" i="55" s="1"/>
  <c r="G3" i="41" s="1"/>
  <c r="H18" i="54"/>
  <c r="H18" i="55" s="1"/>
  <c r="O15" i="54"/>
  <c r="O15" i="55" s="1"/>
  <c r="F3" i="41" s="1"/>
  <c r="AM18" i="54"/>
  <c r="AM18" i="55" s="1"/>
  <c r="AD6" i="41" s="1"/>
  <c r="AT15" i="54"/>
  <c r="AT15" i="55" s="1"/>
  <c r="AK3" i="41" s="1"/>
  <c r="AE19" i="54"/>
  <c r="AE19" i="55" s="1"/>
  <c r="V7" i="41" s="1"/>
  <c r="AL16" i="54"/>
  <c r="AL16" i="55" s="1"/>
  <c r="AC4" i="41" s="1"/>
  <c r="M14" i="54"/>
  <c r="M14" i="55" s="1"/>
  <c r="D2" i="41" s="1"/>
  <c r="AF17" i="54"/>
  <c r="AF17" i="55" s="1"/>
  <c r="W5" i="41" s="1"/>
  <c r="AM14" i="54"/>
  <c r="AM14" i="55" s="1"/>
  <c r="AD2" i="41" s="1"/>
  <c r="I19" i="54"/>
  <c r="I19" i="55" s="1"/>
  <c r="AI17" i="54"/>
  <c r="AI17" i="55" s="1"/>
  <c r="Z5" i="41" s="1"/>
  <c r="P16" i="54"/>
  <c r="P16" i="55" s="1"/>
  <c r="G4" i="41" s="1"/>
  <c r="AP14" i="54"/>
  <c r="AP14" i="55" s="1"/>
  <c r="AG2" i="41" s="1"/>
  <c r="T19" i="54"/>
  <c r="T19" i="55" s="1"/>
  <c r="K7" i="41" s="1"/>
  <c r="AT17" i="54"/>
  <c r="AT17" i="55" s="1"/>
  <c r="AK5" i="41" s="1"/>
  <c r="AA16" i="54"/>
  <c r="AA16" i="55" s="1"/>
  <c r="R4" i="41" s="1"/>
  <c r="H15" i="54"/>
  <c r="H15" i="55" s="1"/>
  <c r="AK17" i="54"/>
  <c r="AK17" i="55" s="1"/>
  <c r="AB5" i="41" s="1"/>
  <c r="AR14" i="54"/>
  <c r="AR14" i="55" s="1"/>
  <c r="AI2" i="41" s="1"/>
  <c r="W18" i="54"/>
  <c r="W18" i="55" s="1"/>
  <c r="N6" i="41" s="1"/>
  <c r="AD15" i="54"/>
  <c r="AD15" i="55" s="1"/>
  <c r="U3" i="41" s="1"/>
  <c r="O19" i="54"/>
  <c r="O19" i="55" s="1"/>
  <c r="F7" i="41" s="1"/>
  <c r="V16" i="54"/>
  <c r="V16" i="55" s="1"/>
  <c r="M4" i="41" s="1"/>
  <c r="C14" i="54"/>
  <c r="C14" i="55" s="1"/>
  <c r="P17" i="54"/>
  <c r="P17" i="55" s="1"/>
  <c r="G5" i="41" s="1"/>
  <c r="AB14" i="54"/>
  <c r="AB14" i="55" s="1"/>
  <c r="S2" i="41" s="1"/>
  <c r="M19" i="54"/>
  <c r="M19" i="55" s="1"/>
  <c r="D7" i="41" s="1"/>
  <c r="AM17" i="54"/>
  <c r="AM17" i="55" s="1"/>
  <c r="AD5" i="41" s="1"/>
  <c r="T16" i="54"/>
  <c r="T16" i="55" s="1"/>
  <c r="K4" i="41" s="1"/>
  <c r="AT14" i="54"/>
  <c r="AT14" i="55" s="1"/>
  <c r="AK2" i="41" s="1"/>
  <c r="X19" i="54"/>
  <c r="X19" i="55" s="1"/>
  <c r="O7" i="41" s="1"/>
  <c r="E18" i="54"/>
  <c r="E18" i="55" s="1"/>
  <c r="AE16" i="54"/>
  <c r="AE16" i="55" s="1"/>
  <c r="V4" i="41" s="1"/>
  <c r="L15" i="54"/>
  <c r="L15" i="55" s="1"/>
  <c r="C3" i="41" s="1"/>
  <c r="AS17" i="54"/>
  <c r="AS17" i="55" s="1"/>
  <c r="AJ5" i="41" s="1"/>
  <c r="G15" i="54"/>
  <c r="G15" i="55" s="1"/>
  <c r="AE18" i="54"/>
  <c r="AE18" i="55" s="1"/>
  <c r="V6" i="41" s="1"/>
  <c r="AL15" i="54"/>
  <c r="AL15" i="55" s="1"/>
  <c r="AC3" i="41" s="1"/>
  <c r="W19" i="54"/>
  <c r="W19" i="55" s="1"/>
  <c r="N7" i="41" s="1"/>
  <c r="AD16" i="54"/>
  <c r="AD16" i="55" s="1"/>
  <c r="U4" i="41" s="1"/>
  <c r="H14" i="54"/>
  <c r="H14" i="55" s="1"/>
  <c r="X17" i="54"/>
  <c r="X17" i="55" s="1"/>
  <c r="O5" i="41" s="1"/>
  <c r="AG14" i="54"/>
  <c r="AG14" i="55" s="1"/>
  <c r="X2" i="41" s="1"/>
  <c r="E19" i="54"/>
  <c r="E19" i="55" s="1"/>
  <c r="AE17" i="54"/>
  <c r="AE17" i="55" s="1"/>
  <c r="V5" i="41" s="1"/>
  <c r="L16" i="54"/>
  <c r="L16" i="55" s="1"/>
  <c r="C4" i="41" s="1"/>
  <c r="AL14" i="54"/>
  <c r="AL14" i="55" s="1"/>
  <c r="AC2" i="41" s="1"/>
  <c r="P19" i="54"/>
  <c r="P19" i="55" s="1"/>
  <c r="G7" i="41" s="1"/>
  <c r="AP17" i="54"/>
  <c r="AP17" i="55" s="1"/>
  <c r="AG5" i="41" s="1"/>
  <c r="W16" i="54"/>
  <c r="W16" i="55" s="1"/>
  <c r="N4" i="41" s="1"/>
  <c r="D15" i="54"/>
  <c r="D15" i="55" s="1"/>
  <c r="AC17" i="54"/>
  <c r="AC17" i="55" s="1"/>
  <c r="T5" i="41" s="1"/>
  <c r="AK14" i="54"/>
  <c r="AK14" i="55" s="1"/>
  <c r="AB2" i="41" s="1"/>
  <c r="O18" i="54"/>
  <c r="O18" i="55" s="1"/>
  <c r="F6" i="41" s="1"/>
  <c r="V15" i="54"/>
  <c r="V15" i="55" s="1"/>
  <c r="M3" i="41" s="1"/>
  <c r="G19" i="54"/>
  <c r="G19" i="55" s="1"/>
  <c r="N16" i="54"/>
  <c r="N16" i="55" s="1"/>
  <c r="E4" i="41" s="1"/>
  <c r="AT19" i="54"/>
  <c r="AT19" i="55" s="1"/>
  <c r="AK7" i="41" s="1"/>
  <c r="H17" i="54"/>
  <c r="H17" i="55" s="1"/>
  <c r="W14" i="54"/>
  <c r="W14" i="55" s="1"/>
  <c r="N2" i="41" s="1"/>
  <c r="AT18" i="54"/>
  <c r="AT18" i="55" s="1"/>
  <c r="AK6" i="41" s="1"/>
  <c r="AA17" i="54"/>
  <c r="AA17" i="55" s="1"/>
  <c r="R5" i="41" s="1"/>
  <c r="H16" i="54"/>
  <c r="H16" i="55" s="1"/>
  <c r="AH14" i="54"/>
  <c r="AH14" i="55" s="1"/>
  <c r="Y2" i="41" s="1"/>
  <c r="L19" i="54"/>
  <c r="L19" i="55" s="1"/>
  <c r="C7" i="41" s="1"/>
  <c r="AL17" i="54"/>
  <c r="AL17" i="55" s="1"/>
  <c r="AC5" i="41" s="1"/>
  <c r="S16" i="54"/>
  <c r="S16" i="55" s="1"/>
  <c r="J4" i="41" s="1"/>
  <c r="AS14" i="54"/>
  <c r="AS14" i="55" s="1"/>
  <c r="AJ2" i="41" s="1"/>
  <c r="U17" i="54"/>
  <c r="U17" i="55" s="1"/>
  <c r="L5" i="41" s="1"/>
  <c r="AF14" i="54"/>
  <c r="AF14" i="55" s="1"/>
  <c r="W2" i="41" s="1"/>
  <c r="G18" i="54"/>
  <c r="G18" i="55" s="1"/>
  <c r="N15" i="54"/>
  <c r="N15" i="55" s="1"/>
  <c r="E3" i="41" s="1"/>
  <c r="AR18" i="54"/>
  <c r="AR18" i="55" s="1"/>
  <c r="AI6" i="41" s="1"/>
  <c r="F16" i="54"/>
  <c r="F16" i="55" s="1"/>
  <c r="AL19" i="54"/>
  <c r="AL19" i="55" s="1"/>
  <c r="AC7" i="41" s="1"/>
  <c r="AS16" i="54"/>
  <c r="AS16" i="55" s="1"/>
  <c r="AJ4" i="41" s="1"/>
  <c r="Q14" i="54"/>
  <c r="Q14" i="55" s="1"/>
  <c r="H2" i="41" s="1"/>
  <c r="AL18" i="54"/>
  <c r="AL18" i="55" s="1"/>
  <c r="AC6" i="41" s="1"/>
  <c r="S17" i="54"/>
  <c r="S17" i="55" s="1"/>
  <c r="J5" i="41" s="1"/>
  <c r="AS15" i="54"/>
  <c r="AS15" i="55" s="1"/>
  <c r="AJ3" i="41" s="1"/>
  <c r="Z14" i="54"/>
  <c r="Z14" i="55" s="1"/>
  <c r="Q2" i="41" s="1"/>
  <c r="D19" i="54"/>
  <c r="D19" i="55" s="1"/>
  <c r="AD17" i="54"/>
  <c r="AD17" i="55" s="1"/>
  <c r="U5" i="41" s="1"/>
  <c r="K16" i="54"/>
  <c r="K16" i="55" s="1"/>
  <c r="B4" i="41" s="1"/>
  <c r="AQ19" i="54"/>
  <c r="AQ19" i="55" s="1"/>
  <c r="AH7" i="41" s="1"/>
  <c r="E17" i="54"/>
  <c r="E17" i="55" s="1"/>
  <c r="U14" i="54"/>
  <c r="U14" i="55" s="1"/>
  <c r="L2" i="41" s="1"/>
  <c r="AJ17" i="54"/>
  <c r="AJ17" i="55" s="1"/>
  <c r="AA5" i="41" s="1"/>
  <c r="AQ14" i="54"/>
  <c r="AQ14" i="55" s="1"/>
  <c r="AH2" i="41" s="1"/>
  <c r="AB18" i="54"/>
  <c r="AB18" i="55" s="1"/>
  <c r="S6" i="41" s="1"/>
  <c r="AI15" i="54"/>
  <c r="AI15" i="55" s="1"/>
  <c r="Z3" i="41" s="1"/>
  <c r="V19" i="54"/>
  <c r="V19" i="55" s="1"/>
  <c r="M7" i="41" s="1"/>
  <c r="AC16" i="54"/>
  <c r="AC16" i="55" s="1"/>
  <c r="T4" i="41" s="1"/>
  <c r="G14" i="54"/>
  <c r="G14" i="55" s="1"/>
  <c r="AP18" i="54"/>
  <c r="AP18" i="55" s="1"/>
  <c r="AG6" i="41" s="1"/>
  <c r="W17" i="54"/>
  <c r="W17" i="55" s="1"/>
  <c r="N5" i="41" s="1"/>
  <c r="D16" i="54"/>
  <c r="D16" i="55" s="1"/>
  <c r="AD14" i="54"/>
  <c r="AD14" i="55" s="1"/>
  <c r="U2" i="41" s="1"/>
  <c r="H19" i="54"/>
  <c r="H19" i="55" s="1"/>
  <c r="AH17" i="54"/>
  <c r="AH17" i="55" s="1"/>
  <c r="Y5" i="41" s="1"/>
  <c r="O16" i="54"/>
  <c r="O16" i="55" s="1"/>
  <c r="F4" i="41" s="1"/>
  <c r="AO14" i="54"/>
  <c r="AO14" i="55" s="1"/>
  <c r="AF2" i="41" s="1"/>
  <c r="M17" i="54"/>
  <c r="M17" i="55" s="1"/>
  <c r="D5" i="41" s="1"/>
  <c r="AA14" i="54"/>
  <c r="AA14" i="55" s="1"/>
  <c r="R2" i="41" s="1"/>
  <c r="AR17" i="54"/>
  <c r="AR17" i="55" s="1"/>
  <c r="AI5" i="41" s="1"/>
  <c r="F15" i="54"/>
  <c r="F15" i="55" s="1"/>
  <c r="AJ18" i="54"/>
  <c r="AJ18" i="55" s="1"/>
  <c r="AA6" i="41" s="1"/>
  <c r="AQ15" i="54"/>
  <c r="AQ15" i="55" s="1"/>
  <c r="AH3" i="41" s="1"/>
  <c r="AD19" i="54"/>
  <c r="AD19" i="55" s="1"/>
  <c r="U7" i="41" s="1"/>
  <c r="AK16" i="54"/>
  <c r="AK16" i="55" s="1"/>
  <c r="AB4" i="41" s="1"/>
  <c r="L14" i="54"/>
  <c r="L14" i="55" s="1"/>
  <c r="C2" i="41" s="1"/>
  <c r="AH18" i="54"/>
  <c r="AH18" i="55" s="1"/>
  <c r="Y6" i="41" s="1"/>
  <c r="O17" i="54"/>
  <c r="O17" i="55" s="1"/>
  <c r="F5" i="41" s="1"/>
  <c r="AO15" i="54"/>
  <c r="AO15" i="55" s="1"/>
  <c r="AF3" i="41" s="1"/>
  <c r="V14" i="54"/>
  <c r="V14" i="55" s="1"/>
  <c r="M2" i="41" s="1"/>
  <c r="AS18" i="54"/>
  <c r="AS18" i="55" s="1"/>
  <c r="AJ6" i="41" s="1"/>
  <c r="Z17" i="54"/>
  <c r="Z17" i="55" s="1"/>
  <c r="Q5" i="41" s="1"/>
  <c r="G16" i="54"/>
  <c r="G16" i="55" s="1"/>
  <c r="AI19" i="54"/>
  <c r="AI19" i="55" s="1"/>
  <c r="Z7" i="41" s="1"/>
  <c r="AP16" i="54"/>
  <c r="AP16" i="55" s="1"/>
  <c r="AG4" i="41" s="1"/>
  <c r="P14" i="54"/>
  <c r="P14" i="55" s="1"/>
  <c r="G2" i="41" s="1"/>
  <c r="AB17" i="54"/>
  <c r="AB17" i="55" s="1"/>
  <c r="S5" i="41" s="1"/>
  <c r="AJ14" i="54"/>
  <c r="AJ14" i="55" s="1"/>
  <c r="AA2" i="41" s="1"/>
  <c r="T18" i="54"/>
  <c r="T18" i="55" s="1"/>
  <c r="K6" i="41" s="1"/>
  <c r="AA15" i="54"/>
  <c r="AA15" i="55" s="1"/>
  <c r="R3" i="41" s="1"/>
  <c r="N19" i="54"/>
  <c r="N19" i="55" s="1"/>
  <c r="E7" i="41" s="1"/>
  <c r="U16" i="54"/>
  <c r="U16" i="55" s="1"/>
  <c r="L4" i="41" s="1"/>
  <c r="AD18" i="54"/>
  <c r="AD18" i="55" s="1"/>
  <c r="U6" i="41" s="1"/>
  <c r="K17" i="54"/>
  <c r="K17" i="55" s="1"/>
  <c r="B5" i="41" s="1"/>
  <c r="AK15" i="54"/>
  <c r="AK15" i="55" s="1"/>
  <c r="AB3" i="41" s="1"/>
  <c r="R14" i="54"/>
  <c r="R14" i="55" s="1"/>
  <c r="I2" i="41" s="1"/>
  <c r="AO18" i="54"/>
  <c r="AO18" i="55" s="1"/>
  <c r="AF6" i="41" s="1"/>
  <c r="V17" i="54"/>
  <c r="V17" i="55" s="1"/>
  <c r="M5" i="41" s="1"/>
  <c r="C16" i="54"/>
  <c r="C16" i="55" s="1"/>
  <c r="AA19" i="54"/>
  <c r="AA19" i="55" s="1"/>
  <c r="R7" i="41" s="1"/>
  <c r="AH16" i="54"/>
  <c r="AH16" i="55" s="1"/>
  <c r="Y4" i="41" s="1"/>
  <c r="K14" i="54"/>
  <c r="K14" i="55" s="1"/>
  <c r="B2" i="41" s="1"/>
  <c r="T17" i="54"/>
  <c r="T17" i="55" s="1"/>
  <c r="K5" i="41" s="1"/>
  <c r="AE14" i="54"/>
  <c r="AE14" i="55" s="1"/>
  <c r="V2" i="41" s="1"/>
  <c r="L18" i="54"/>
  <c r="L18" i="55" s="1"/>
  <c r="C6" i="41" s="1"/>
  <c r="S15" i="54"/>
  <c r="S15" i="55" s="1"/>
  <c r="J3" i="41" s="1"/>
  <c r="F19" i="54"/>
  <c r="F19" i="55" s="1"/>
  <c r="M16" i="54"/>
  <c r="M16" i="55" s="1"/>
  <c r="D4" i="41" s="1"/>
  <c r="AO19" i="54"/>
  <c r="AO19" i="55" s="1"/>
  <c r="AF7" i="41" s="1"/>
  <c r="V18" i="54"/>
  <c r="V18" i="55" s="1"/>
  <c r="M6" i="41" s="1"/>
  <c r="C17" i="54"/>
  <c r="C17" i="55" s="1"/>
  <c r="AC15" i="54"/>
  <c r="AC15" i="55" s="1"/>
  <c r="T3" i="41" s="1"/>
  <c r="J14" i="54"/>
  <c r="J14" i="55" s="1"/>
  <c r="AG18" i="54"/>
  <c r="AG18" i="55" s="1"/>
  <c r="X6" i="41" s="1"/>
  <c r="N17" i="54"/>
  <c r="N17" i="55" s="1"/>
  <c r="E5" i="41" s="1"/>
  <c r="AN15" i="54"/>
  <c r="AN15" i="55" s="1"/>
  <c r="AE3" i="41" s="1"/>
  <c r="K19" i="54"/>
  <c r="K19" i="55" s="1"/>
  <c r="B7" i="41" s="1"/>
  <c r="R16" i="54"/>
  <c r="R16" i="55" s="1"/>
  <c r="I4" i="41" s="1"/>
  <c r="AP19" i="54"/>
  <c r="AP19" i="55" s="1"/>
  <c r="AG7" i="41" s="1"/>
  <c r="D17" i="54"/>
  <c r="D17" i="55" s="1"/>
  <c r="T14" i="54"/>
  <c r="T14" i="55" s="1"/>
  <c r="K2" i="41" s="1"/>
  <c r="AO17" i="54"/>
  <c r="AO17" i="55" s="1"/>
  <c r="AF5" i="41" s="1"/>
  <c r="C15" i="54"/>
  <c r="C15" i="55" s="1"/>
  <c r="AI18" i="54"/>
  <c r="AI18" i="55" s="1"/>
  <c r="Z6" i="41" s="1"/>
  <c r="AP15" i="54"/>
  <c r="AP15" i="55" s="1"/>
  <c r="AG3" i="41" s="1"/>
  <c r="AS19" i="54"/>
  <c r="AS19" i="55" s="1"/>
  <c r="AJ7" i="41" s="1"/>
  <c r="Z18" i="54"/>
  <c r="Z18" i="55" s="1"/>
  <c r="Q6" i="41" s="1"/>
  <c r="G17" i="54"/>
  <c r="G17" i="55" s="1"/>
  <c r="AG15" i="54"/>
  <c r="AG15" i="55" s="1"/>
  <c r="X3" i="41" s="1"/>
  <c r="N14" i="54"/>
  <c r="N14" i="55" s="1"/>
  <c r="E2" i="41" s="1"/>
  <c r="AK18" i="54"/>
  <c r="AK18" i="55" s="1"/>
  <c r="AB6" i="41" s="1"/>
  <c r="R17" i="54"/>
  <c r="R17" i="55" s="1"/>
  <c r="I5" i="41" s="1"/>
  <c r="AR15" i="54"/>
  <c r="AR15" i="55" s="1"/>
  <c r="AI3" i="41" s="1"/>
  <c r="S19" i="54"/>
  <c r="S19" i="55" s="1"/>
  <c r="J7" i="41" s="1"/>
  <c r="Z16" i="54"/>
  <c r="Z16" i="55" s="1"/>
  <c r="Q4" i="41" s="1"/>
  <c r="E14" i="54"/>
  <c r="E14" i="55" s="1"/>
  <c r="L17" i="54"/>
  <c r="L17" i="55" s="1"/>
  <c r="C5" i="41" s="1"/>
  <c r="Y14" i="54"/>
  <c r="Y14" i="55" s="1"/>
  <c r="P2" i="41" s="1"/>
  <c r="D18" i="54"/>
  <c r="D18" i="55" s="1"/>
  <c r="K15" i="54"/>
  <c r="K15" i="55" s="1"/>
  <c r="B3" i="41" s="1"/>
  <c r="AQ18" i="54"/>
  <c r="AQ18" i="55" s="1"/>
  <c r="AH6" i="41" s="1"/>
  <c r="E16" i="54"/>
  <c r="E16" i="55" s="1"/>
  <c r="AK19" i="54"/>
  <c r="AK19" i="55" s="1"/>
  <c r="AB7" i="41" s="1"/>
  <c r="R18" i="54"/>
  <c r="R18" i="55" s="1"/>
  <c r="I6" i="41" s="1"/>
  <c r="AR16" i="54"/>
  <c r="AR16" i="55" s="1"/>
  <c r="AI4" i="41" s="1"/>
  <c r="Y15" i="54"/>
  <c r="Y15" i="55" s="1"/>
  <c r="P3" i="41" s="1"/>
  <c r="F14" i="54"/>
  <c r="F14" i="55" s="1"/>
  <c r="AC18" i="54"/>
  <c r="AC18" i="55" s="1"/>
  <c r="T6" i="41" s="1"/>
  <c r="J17" i="54"/>
  <c r="J17" i="55" s="1"/>
  <c r="AJ15" i="54"/>
  <c r="AJ15" i="55" s="1"/>
  <c r="AA3" i="41" s="1"/>
  <c r="C19" i="54"/>
  <c r="C19" i="55" s="1"/>
  <c r="J16" i="54"/>
  <c r="J16" i="55" s="1"/>
  <c r="AH19" i="54"/>
  <c r="AH19" i="55" s="1"/>
  <c r="Y7" i="41" s="1"/>
  <c r="AO16" i="54"/>
  <c r="AO16" i="55" s="1"/>
  <c r="AF4" i="41" s="1"/>
  <c r="O14" i="54"/>
  <c r="O14" i="55" s="1"/>
  <c r="F2" i="41" s="1"/>
  <c r="AG17" i="54"/>
  <c r="AG17" i="55" s="1"/>
  <c r="X5" i="41" s="1"/>
  <c r="AN14" i="54"/>
  <c r="AN14" i="55" s="1"/>
  <c r="AE2" i="41" s="1"/>
  <c r="AA18" i="54"/>
  <c r="AA18" i="55" s="1"/>
  <c r="R6" i="41" s="1"/>
  <c r="AH15" i="54"/>
  <c r="AH15" i="55" s="1"/>
  <c r="Y3" i="41" s="1"/>
  <c r="AG19" i="54"/>
  <c r="AG19" i="55" s="1"/>
  <c r="X7" i="41" s="1"/>
  <c r="N18" i="54"/>
  <c r="N18" i="55" s="1"/>
  <c r="E6" i="41" s="1"/>
  <c r="AN16" i="54"/>
  <c r="AN16" i="55" s="1"/>
  <c r="AE4" i="41" s="1"/>
  <c r="U15" i="54"/>
  <c r="U15" i="55" s="1"/>
  <c r="L3" i="41" s="1"/>
  <c r="AR19" i="54"/>
  <c r="AR19" i="55" s="1"/>
  <c r="AI7" i="41" s="1"/>
  <c r="Y18" i="54"/>
  <c r="Y18" i="55" s="1"/>
  <c r="P6" i="41" s="1"/>
  <c r="F17" i="54"/>
  <c r="F17" i="55" s="1"/>
  <c r="AF15" i="54"/>
  <c r="AF15" i="55" s="1"/>
  <c r="W3" i="41" s="1"/>
  <c r="AN18" i="54"/>
  <c r="AN18" i="55" s="1"/>
  <c r="AE6" i="41" s="1"/>
  <c r="AU15" i="54"/>
  <c r="AU15" i="55" s="1"/>
  <c r="AL3" i="41" s="1"/>
  <c r="Z19" i="54"/>
  <c r="Z19" i="55" s="1"/>
  <c r="Q7" i="41" s="1"/>
  <c r="AG16" i="54"/>
  <c r="AG16" i="55" s="1"/>
  <c r="X4" i="41" s="1"/>
  <c r="I14" i="54"/>
  <c r="I14" i="55" s="1"/>
  <c r="Y17" i="54"/>
  <c r="Y17" i="55" s="1"/>
  <c r="P5" i="41" s="1"/>
  <c r="AI14" i="54"/>
  <c r="AI14" i="55" s="1"/>
  <c r="Z2" i="41" s="1"/>
  <c r="S18" i="54"/>
  <c r="S18" i="55" s="1"/>
  <c r="J6" i="41" s="1"/>
  <c r="Z15" i="54"/>
  <c r="Z15" i="55" s="1"/>
  <c r="Q3" i="41" s="1"/>
  <c r="Y19" i="54"/>
  <c r="Y19" i="55" s="1"/>
  <c r="P7" i="41" s="1"/>
  <c r="F18" i="54"/>
  <c r="F18" i="55" s="1"/>
  <c r="AF16" i="54"/>
  <c r="AF16" i="55" s="1"/>
  <c r="W4" i="41" s="1"/>
  <c r="M15" i="54"/>
  <c r="M15" i="55" s="1"/>
  <c r="D3" i="41" s="1"/>
  <c r="AJ19" i="54"/>
  <c r="AJ19" i="55" s="1"/>
  <c r="AA7" i="41" s="1"/>
  <c r="Q18" i="54"/>
  <c r="Q18" i="55" s="1"/>
  <c r="H6" i="41" s="1"/>
  <c r="AQ16" i="54"/>
  <c r="AQ16" i="55" s="1"/>
  <c r="AH4" i="41" s="1"/>
  <c r="X15" i="54"/>
  <c r="X15" i="55" s="1"/>
  <c r="O3" i="41" s="1"/>
  <c r="X18" i="54"/>
  <c r="X18" i="55" s="1"/>
  <c r="O6" i="41" s="1"/>
  <c r="AE15" i="54"/>
  <c r="AE15" i="55" s="1"/>
  <c r="V3" i="41" s="1"/>
  <c r="J19" i="54"/>
  <c r="J19" i="55" s="1"/>
  <c r="Q16" i="54"/>
  <c r="Q16" i="55" s="1"/>
  <c r="H4" i="41" s="1"/>
  <c r="AU19" i="54"/>
  <c r="AU19" i="55" s="1"/>
  <c r="AL7" i="41" s="1"/>
  <c r="I17" i="54"/>
  <c r="I17" i="55" s="1"/>
  <c r="X14" i="54"/>
  <c r="X14" i="55" s="1"/>
  <c r="O2" i="41" s="1"/>
  <c r="C18" i="54"/>
  <c r="C18" i="55" s="1"/>
  <c r="J15" i="54"/>
  <c r="J15" i="55" s="1"/>
  <c r="AC19" i="54"/>
  <c r="AC19" i="55" s="1"/>
  <c r="T7" i="41" s="1"/>
  <c r="J18" i="54"/>
  <c r="J18" i="55" s="1"/>
  <c r="AJ16" i="54"/>
  <c r="AJ16" i="55" s="1"/>
  <c r="AA4" i="41" s="1"/>
  <c r="Q15" i="54"/>
  <c r="Q15" i="55" s="1"/>
  <c r="H3" i="41" s="1"/>
  <c r="AN19" i="54"/>
  <c r="AN19" i="55" s="1"/>
  <c r="AE7" i="41" s="1"/>
  <c r="U18" i="54"/>
  <c r="U18" i="55" s="1"/>
  <c r="L6" i="41" s="1"/>
  <c r="AU16" i="54"/>
  <c r="AU16" i="55" s="1"/>
  <c r="AL4" i="41" s="1"/>
  <c r="AB15" i="54"/>
  <c r="AB15" i="55" s="1"/>
  <c r="S3" i="41" s="1"/>
  <c r="AF18" i="54"/>
  <c r="AF18" i="55" s="1"/>
  <c r="W6" i="41" s="1"/>
  <c r="AM15" i="54"/>
  <c r="AM15" i="55" s="1"/>
  <c r="AD3" i="41" s="1"/>
  <c r="R19" i="54"/>
  <c r="R19" i="55" s="1"/>
  <c r="I7" i="41" s="1"/>
  <c r="Y16" i="54"/>
  <c r="Y16" i="55" s="1"/>
  <c r="P4" i="41" s="1"/>
  <c r="D14" i="54"/>
  <c r="D14" i="55" s="1"/>
  <c r="Q17" i="54"/>
  <c r="Q17" i="55" s="1"/>
  <c r="H5" i="41" s="1"/>
  <c r="AC14" i="54"/>
  <c r="AC14" i="55" s="1"/>
  <c r="T2" i="41" s="1"/>
  <c r="K18" i="54"/>
  <c r="K18" i="55" s="1"/>
  <c r="B6" i="41" s="1"/>
  <c r="R15" i="54"/>
  <c r="R15" i="55" s="1"/>
  <c r="I3" i="41" s="1"/>
  <c r="U19" i="54"/>
  <c r="U19" i="55" s="1"/>
  <c r="L7" i="41" s="1"/>
  <c r="AU17" i="54"/>
  <c r="AU17" i="55" s="1"/>
  <c r="AL5" i="41" s="1"/>
  <c r="AB16" i="54"/>
  <c r="AB16" i="55" s="1"/>
  <c r="S4" i="41" s="1"/>
  <c r="I15" i="54"/>
  <c r="I15" i="55" s="1"/>
  <c r="AF19" i="54"/>
  <c r="AF19" i="55" s="1"/>
  <c r="W7" i="41" s="1"/>
  <c r="M18" i="54"/>
  <c r="M18" i="55" s="1"/>
  <c r="D6" i="41" s="1"/>
  <c r="AM16" i="54"/>
  <c r="AM16" i="55" s="1"/>
  <c r="AD4" i="41" s="1"/>
  <c r="T15" i="54"/>
  <c r="T15" i="55" s="1"/>
  <c r="K3" i="41" s="1"/>
  <c r="P18" i="54"/>
  <c r="P18" i="55" s="1"/>
  <c r="G6" i="41" s="1"/>
  <c r="W15" i="54"/>
  <c r="W15" i="55" s="1"/>
  <c r="N3" i="41" s="1"/>
  <c r="AU18" i="54"/>
  <c r="AU18" i="55" s="1"/>
  <c r="AL6" i="41" s="1"/>
  <c r="I16" i="54"/>
  <c r="I16" i="55" s="1"/>
  <c r="AM19" i="54"/>
  <c r="AM19" i="55" s="1"/>
  <c r="AD7" i="41" s="1"/>
  <c r="AT16" i="54"/>
  <c r="AT16" i="55" s="1"/>
  <c r="AK4" i="41" s="1"/>
  <c r="S14" i="54"/>
  <c r="S14" i="55" s="1"/>
  <c r="J2" i="41" s="1"/>
  <c r="AN17" i="54"/>
  <c r="AN17" i="55" s="1"/>
  <c r="AE5" i="41" s="1"/>
  <c r="AU14" i="54"/>
  <c r="AU14" i="55" s="1"/>
  <c r="AL2" i="41" s="1"/>
  <c r="D52" i="23"/>
  <c r="N52" i="23"/>
  <c r="AR52" i="23"/>
  <c r="H51" i="10"/>
  <c r="C53" i="23"/>
  <c r="E53" i="23" s="1"/>
  <c r="AH53" i="23"/>
  <c r="C32" i="7" a="1"/>
  <c r="S37" i="7" s="1"/>
  <c r="R50" i="54" l="1"/>
  <c r="R5" i="55"/>
  <c r="I2" i="42" s="1"/>
  <c r="Q55" i="54"/>
  <c r="Q10" i="55"/>
  <c r="H7" i="42" s="1"/>
  <c r="U53" i="54"/>
  <c r="U8" i="55"/>
  <c r="L5" i="42" s="1"/>
  <c r="AK51" i="54"/>
  <c r="AK6" i="55"/>
  <c r="AB3" i="42" s="1"/>
  <c r="AB10" i="55"/>
  <c r="S7" i="42" s="1"/>
  <c r="AB55" i="54"/>
  <c r="AO5" i="55"/>
  <c r="AF2" i="42" s="1"/>
  <c r="AO50" i="54"/>
  <c r="K7" i="55"/>
  <c r="B4" i="42" s="1"/>
  <c r="K52" i="54"/>
  <c r="AO8" i="55"/>
  <c r="AF5" i="42" s="1"/>
  <c r="AO53" i="54"/>
  <c r="V5" i="55"/>
  <c r="M2" i="42" s="1"/>
  <c r="V50" i="54"/>
  <c r="E6" i="55"/>
  <c r="E51" i="54"/>
  <c r="T7" i="55"/>
  <c r="K4" i="42" s="1"/>
  <c r="T52" i="54"/>
  <c r="H9" i="55"/>
  <c r="H54" i="54"/>
  <c r="X5" i="55"/>
  <c r="O2" i="42" s="1"/>
  <c r="X50" i="54"/>
  <c r="AL10" i="55"/>
  <c r="AC7" i="42" s="1"/>
  <c r="AL55" i="54"/>
  <c r="J6" i="55"/>
  <c r="J51" i="54"/>
  <c r="Y7" i="55"/>
  <c r="P4" i="42" s="1"/>
  <c r="Y52" i="54"/>
  <c r="AC7" i="55"/>
  <c r="T4" i="42" s="1"/>
  <c r="AC52" i="54"/>
  <c r="AN10" i="55"/>
  <c r="AE7" i="42" s="1"/>
  <c r="AN55" i="54"/>
  <c r="AB9" i="55"/>
  <c r="S6" i="42" s="1"/>
  <c r="AB54" i="54"/>
  <c r="AG7" i="55"/>
  <c r="X4" i="42" s="1"/>
  <c r="AG52" i="54"/>
  <c r="L6" i="55"/>
  <c r="C3" i="42" s="1"/>
  <c r="L51" i="54"/>
  <c r="I9" i="55"/>
  <c r="I54" i="54"/>
  <c r="X10" i="55"/>
  <c r="O7" i="42" s="1"/>
  <c r="X55" i="54"/>
  <c r="AK5" i="55"/>
  <c r="AB2" i="42" s="1"/>
  <c r="AK50" i="54"/>
  <c r="G7" i="55"/>
  <c r="G52" i="54"/>
  <c r="AH9" i="55"/>
  <c r="Y6" i="42" s="1"/>
  <c r="AH54" i="54"/>
  <c r="Z10" i="55"/>
  <c r="Q7" i="42" s="1"/>
  <c r="Z55" i="54"/>
  <c r="AT5" i="55"/>
  <c r="AK2" i="42" s="1"/>
  <c r="AT50" i="54"/>
  <c r="P7" i="55"/>
  <c r="G4" i="42" s="1"/>
  <c r="P52" i="54"/>
  <c r="AQ10" i="55"/>
  <c r="AH7" i="42" s="1"/>
  <c r="AQ55" i="54"/>
  <c r="AQ8" i="55"/>
  <c r="AH5" i="42" s="1"/>
  <c r="AQ53" i="54"/>
  <c r="AG10" i="55"/>
  <c r="X7" i="42" s="1"/>
  <c r="AG55" i="54"/>
  <c r="F6" i="55"/>
  <c r="F51" i="54"/>
  <c r="C7" i="55"/>
  <c r="C52" i="54"/>
  <c r="AP7" i="55"/>
  <c r="AG4" i="42" s="1"/>
  <c r="AP52" i="54"/>
  <c r="U9" i="55"/>
  <c r="L6" i="42" s="1"/>
  <c r="U54" i="54"/>
  <c r="AU7" i="55"/>
  <c r="AL4" i="42" s="1"/>
  <c r="AU52" i="54"/>
  <c r="AL9" i="55"/>
  <c r="AC6" i="42" s="1"/>
  <c r="AL54" i="54"/>
  <c r="AI7" i="55"/>
  <c r="Z4" i="42" s="1"/>
  <c r="AI52" i="54"/>
  <c r="E9" i="55"/>
  <c r="E54" i="54"/>
  <c r="T10" i="55"/>
  <c r="K7" i="42" s="1"/>
  <c r="T55" i="54"/>
  <c r="AG5" i="55"/>
  <c r="X2" i="42" s="1"/>
  <c r="AG50" i="54"/>
  <c r="AO6" i="55"/>
  <c r="AF3" i="42" s="1"/>
  <c r="AO51" i="54"/>
  <c r="AE8" i="55"/>
  <c r="V5" i="42" s="1"/>
  <c r="AE53" i="54"/>
  <c r="U10" i="55"/>
  <c r="L7" i="42" s="1"/>
  <c r="U55" i="54"/>
  <c r="AP5" i="55"/>
  <c r="AG2" i="42" s="1"/>
  <c r="AP50" i="54"/>
  <c r="J10" i="55"/>
  <c r="J55" i="54"/>
  <c r="H7" i="55"/>
  <c r="H52" i="54"/>
  <c r="AK8" i="55"/>
  <c r="AB5" i="42" s="1"/>
  <c r="AK53" i="54"/>
  <c r="AA10" i="55"/>
  <c r="R7" i="42" s="1"/>
  <c r="AA55" i="54"/>
  <c r="Y10" i="55"/>
  <c r="P7" i="42" s="1"/>
  <c r="Y55" i="54"/>
  <c r="M7" i="55"/>
  <c r="D4" i="42" s="1"/>
  <c r="M52" i="54"/>
  <c r="F5" i="55"/>
  <c r="F50" i="54"/>
  <c r="P10" i="55"/>
  <c r="G7" i="42" s="1"/>
  <c r="P55" i="54"/>
  <c r="N7" i="55"/>
  <c r="E4" i="42" s="1"/>
  <c r="N52" i="54"/>
  <c r="AS7" i="55"/>
  <c r="AJ4" i="42" s="1"/>
  <c r="AS52" i="54"/>
  <c r="AI9" i="55"/>
  <c r="Z6" i="42" s="1"/>
  <c r="AI54" i="54"/>
  <c r="S5" i="55"/>
  <c r="J2" i="42" s="1"/>
  <c r="S50" i="54"/>
  <c r="AS9" i="55"/>
  <c r="AJ6" i="42" s="1"/>
  <c r="AS54" i="54"/>
  <c r="L8" i="55"/>
  <c r="C5" i="42" s="1"/>
  <c r="L53" i="54"/>
  <c r="AU9" i="55"/>
  <c r="AL6" i="42" s="1"/>
  <c r="AU54" i="54"/>
  <c r="AB5" i="55"/>
  <c r="S2" i="42" s="1"/>
  <c r="AB50" i="54"/>
  <c r="AT10" i="55"/>
  <c r="AK7" i="42" s="1"/>
  <c r="AT55" i="54"/>
  <c r="AM6" i="55"/>
  <c r="AD3" i="42" s="1"/>
  <c r="AM51" i="54"/>
  <c r="S8" i="55"/>
  <c r="J5" i="42" s="1"/>
  <c r="S53" i="54"/>
  <c r="I10" i="55"/>
  <c r="I55" i="54"/>
  <c r="E7" i="55"/>
  <c r="E52" i="54"/>
  <c r="AG6" i="55"/>
  <c r="X3" i="42" s="1"/>
  <c r="AG51" i="54"/>
  <c r="AM5" i="55"/>
  <c r="AD2" i="42" s="1"/>
  <c r="AM50" i="54"/>
  <c r="K10" i="55"/>
  <c r="B7" i="42" s="1"/>
  <c r="K55" i="54"/>
  <c r="P8" i="55"/>
  <c r="G5" i="42" s="1"/>
  <c r="P53" i="54"/>
  <c r="Z7" i="55"/>
  <c r="Q4" i="42" s="1"/>
  <c r="Z52" i="54"/>
  <c r="P9" i="55"/>
  <c r="G6" i="42" s="1"/>
  <c r="P54" i="54"/>
  <c r="AA7" i="55"/>
  <c r="R4" i="42" s="1"/>
  <c r="AA52" i="54"/>
  <c r="AH10" i="55"/>
  <c r="Y7" i="42" s="1"/>
  <c r="AH55" i="54"/>
  <c r="L10" i="55"/>
  <c r="C7" i="42" s="1"/>
  <c r="L55" i="54"/>
  <c r="Y5" i="55"/>
  <c r="P2" i="42" s="1"/>
  <c r="Y50" i="54"/>
  <c r="AN6" i="55"/>
  <c r="AE3" i="42" s="1"/>
  <c r="AN51" i="54"/>
  <c r="T8" i="55"/>
  <c r="K5" i="42" s="1"/>
  <c r="T53" i="54"/>
  <c r="J8" i="55"/>
  <c r="J53" i="54"/>
  <c r="E10" i="55"/>
  <c r="E55" i="54"/>
  <c r="AD5" i="55"/>
  <c r="U2" i="42" s="1"/>
  <c r="AD50" i="54"/>
  <c r="AS6" i="55"/>
  <c r="AJ3" i="42" s="1"/>
  <c r="AS51" i="54"/>
  <c r="C9" i="55"/>
  <c r="C54" i="54"/>
  <c r="H6" i="55"/>
  <c r="H51" i="54"/>
  <c r="N5" i="55"/>
  <c r="E2" i="42" s="1"/>
  <c r="N50" i="54"/>
  <c r="W9" i="55"/>
  <c r="N6" i="42" s="1"/>
  <c r="W54" i="54"/>
  <c r="AB7" i="55"/>
  <c r="S4" i="42" s="1"/>
  <c r="AB52" i="54"/>
  <c r="G6" i="55"/>
  <c r="G51" i="54"/>
  <c r="V7" i="55"/>
  <c r="M4" i="42" s="1"/>
  <c r="V52" i="54"/>
  <c r="K9" i="55"/>
  <c r="B6" i="42" s="1"/>
  <c r="K54" i="54"/>
  <c r="AT9" i="55"/>
  <c r="AK6" i="42" s="1"/>
  <c r="AT54" i="54"/>
  <c r="AL8" i="55"/>
  <c r="AC5" i="42" s="1"/>
  <c r="AL53" i="54"/>
  <c r="H10" i="55"/>
  <c r="H55" i="54"/>
  <c r="U5" i="55"/>
  <c r="L2" i="42" s="1"/>
  <c r="U50" i="54"/>
  <c r="AJ6" i="55"/>
  <c r="AA3" i="42" s="1"/>
  <c r="AJ51" i="54"/>
  <c r="C10" i="55"/>
  <c r="C55" i="54"/>
  <c r="I8" i="55"/>
  <c r="I53" i="54"/>
  <c r="AR9" i="55"/>
  <c r="AI6" i="42" s="1"/>
  <c r="AR54" i="54"/>
  <c r="Z5" i="55"/>
  <c r="Q2" i="42" s="1"/>
  <c r="Z50" i="54"/>
  <c r="O8" i="55"/>
  <c r="F5" i="42" s="1"/>
  <c r="O53" i="54"/>
  <c r="AF9" i="55"/>
  <c r="W6" i="42" s="1"/>
  <c r="AF54" i="54"/>
  <c r="AJ10" i="55"/>
  <c r="AA7" i="42" s="1"/>
  <c r="AJ55" i="54"/>
  <c r="Q9" i="55"/>
  <c r="H6" i="42" s="1"/>
  <c r="Q54" i="54"/>
  <c r="AQ7" i="55"/>
  <c r="AH4" i="42" s="1"/>
  <c r="AQ52" i="54"/>
  <c r="AC10" i="55"/>
  <c r="T7" i="42" s="1"/>
  <c r="AC55" i="54"/>
  <c r="C6" i="55"/>
  <c r="C51" i="54"/>
  <c r="R7" i="55"/>
  <c r="I4" i="42" s="1"/>
  <c r="R52" i="54"/>
  <c r="L9" i="55"/>
  <c r="C6" i="42" s="1"/>
  <c r="L54" i="54"/>
  <c r="AO10" i="55"/>
  <c r="AF7" i="42" s="1"/>
  <c r="AO55" i="54"/>
  <c r="AH8" i="55"/>
  <c r="Y5" i="42" s="1"/>
  <c r="AH53" i="54"/>
  <c r="D10" i="55"/>
  <c r="D55" i="54"/>
  <c r="Q5" i="55"/>
  <c r="H2" i="42" s="1"/>
  <c r="Q50" i="54"/>
  <c r="AA8" i="55"/>
  <c r="R5" i="42" s="1"/>
  <c r="AA53" i="54"/>
  <c r="AB6" i="55"/>
  <c r="S3" i="42" s="1"/>
  <c r="AB51" i="54"/>
  <c r="D8" i="55"/>
  <c r="D53" i="54"/>
  <c r="AM9" i="55"/>
  <c r="AD6" i="42" s="1"/>
  <c r="AM54" i="54"/>
  <c r="AA6" i="55"/>
  <c r="R3" i="42" s="1"/>
  <c r="AA51" i="54"/>
  <c r="AH6" i="55"/>
  <c r="Y3" i="42" s="1"/>
  <c r="AH51" i="54"/>
  <c r="J9" i="55"/>
  <c r="J54" i="54"/>
  <c r="Q7" i="55"/>
  <c r="H4" i="42" s="1"/>
  <c r="Q52" i="54"/>
  <c r="O9" i="55"/>
  <c r="F6" i="42" s="1"/>
  <c r="O54" i="54"/>
  <c r="O7" i="55"/>
  <c r="F4" i="42" s="1"/>
  <c r="O52" i="54"/>
  <c r="AU8" i="55"/>
  <c r="AL5" i="42" s="1"/>
  <c r="AU53" i="54"/>
  <c r="AK10" i="55"/>
  <c r="AB7" i="42" s="1"/>
  <c r="AK55" i="54"/>
  <c r="M5" i="55"/>
  <c r="D2" i="42" s="1"/>
  <c r="M50" i="54"/>
  <c r="X7" i="55"/>
  <c r="O4" i="42" s="1"/>
  <c r="X52" i="54"/>
  <c r="N54" i="54"/>
  <c r="N9" i="55"/>
  <c r="E6" i="42" s="1"/>
  <c r="C50" i="54"/>
  <c r="C5" i="55"/>
  <c r="Z8" i="55"/>
  <c r="Q5" i="42" s="1"/>
  <c r="Z53" i="54"/>
  <c r="N51" i="54"/>
  <c r="N6" i="55"/>
  <c r="E3" i="42" s="1"/>
  <c r="AD7" i="55"/>
  <c r="U4" i="42" s="1"/>
  <c r="AD52" i="54"/>
  <c r="T54" i="54"/>
  <c r="T9" i="55"/>
  <c r="K6" i="42" s="1"/>
  <c r="Q53" i="54"/>
  <c r="Q8" i="55"/>
  <c r="H5" i="42" s="1"/>
  <c r="AR8" i="55"/>
  <c r="AI5" i="42" s="1"/>
  <c r="AR53" i="54"/>
  <c r="K8" i="55"/>
  <c r="B5" i="42" s="1"/>
  <c r="K53" i="54"/>
  <c r="I7" i="55"/>
  <c r="I52" i="54"/>
  <c r="AI5" i="55"/>
  <c r="Z2" i="42" s="1"/>
  <c r="AI50" i="54"/>
  <c r="F10" i="55"/>
  <c r="F55" i="54"/>
  <c r="AT6" i="55"/>
  <c r="AK3" i="42" s="1"/>
  <c r="AT51" i="54"/>
  <c r="AB8" i="55"/>
  <c r="S5" i="42" s="1"/>
  <c r="AB53" i="54"/>
  <c r="R10" i="55"/>
  <c r="I7" i="42" s="1"/>
  <c r="R55" i="54"/>
  <c r="AN5" i="55"/>
  <c r="AE2" i="42" s="1"/>
  <c r="AN50" i="54"/>
  <c r="J7" i="55"/>
  <c r="J52" i="54"/>
  <c r="AN8" i="55"/>
  <c r="AE5" i="42" s="1"/>
  <c r="AN53" i="54"/>
  <c r="AD10" i="55"/>
  <c r="U7" i="42" s="1"/>
  <c r="AD55" i="54"/>
  <c r="AM8" i="55"/>
  <c r="AD5" i="42" s="1"/>
  <c r="AM53" i="54"/>
  <c r="V8" i="55"/>
  <c r="M5" i="42" s="1"/>
  <c r="V53" i="54"/>
  <c r="AK9" i="55"/>
  <c r="AB6" i="42" s="1"/>
  <c r="AK54" i="54"/>
  <c r="E5" i="55"/>
  <c r="E50" i="54"/>
  <c r="T6" i="55"/>
  <c r="K3" i="42" s="1"/>
  <c r="T51" i="54"/>
  <c r="AL7" i="55"/>
  <c r="AC4" i="42" s="1"/>
  <c r="AL52" i="54"/>
  <c r="W7" i="55"/>
  <c r="N4" i="42" s="1"/>
  <c r="W52" i="54"/>
  <c r="AC6" i="55"/>
  <c r="T3" i="42" s="1"/>
  <c r="AC51" i="54"/>
  <c r="J5" i="55"/>
  <c r="J50" i="54"/>
  <c r="R9" i="55"/>
  <c r="I6" i="42" s="1"/>
  <c r="R54" i="54"/>
  <c r="AA5" i="55"/>
  <c r="R2" i="42" s="1"/>
  <c r="AA50" i="54"/>
  <c r="AP6" i="55"/>
  <c r="AG3" i="42" s="1"/>
  <c r="AP51" i="54"/>
  <c r="W8" i="55"/>
  <c r="N5" i="42" s="1"/>
  <c r="W53" i="54"/>
  <c r="O5" i="55"/>
  <c r="F2" i="42" s="1"/>
  <c r="O50" i="54"/>
  <c r="AJ5" i="55"/>
  <c r="AA2" i="42" s="1"/>
  <c r="AJ50" i="54"/>
  <c r="F7" i="55"/>
  <c r="F52" i="54"/>
  <c r="AI8" i="55"/>
  <c r="Z5" i="42" s="1"/>
  <c r="AI53" i="54"/>
  <c r="E8" i="55"/>
  <c r="E53" i="54"/>
  <c r="S10" i="55"/>
  <c r="J7" i="42" s="1"/>
  <c r="S55" i="54"/>
  <c r="R8" i="55"/>
  <c r="I5" i="42" s="1"/>
  <c r="R53" i="54"/>
  <c r="AG9" i="55"/>
  <c r="X6" i="42" s="1"/>
  <c r="AG54" i="54"/>
  <c r="AF10" i="55"/>
  <c r="W7" i="42" s="1"/>
  <c r="AF55" i="54"/>
  <c r="P6" i="55"/>
  <c r="G3" i="42" s="1"/>
  <c r="P51" i="54"/>
  <c r="AE5" i="55"/>
  <c r="V2" i="42" s="1"/>
  <c r="AE50" i="54"/>
  <c r="D6" i="55"/>
  <c r="D51" i="54"/>
  <c r="M9" i="55"/>
  <c r="D6" i="42" s="1"/>
  <c r="M54" i="54"/>
  <c r="K6" i="55"/>
  <c r="B3" i="42" s="1"/>
  <c r="K51" i="54"/>
  <c r="AN9" i="55"/>
  <c r="AE6" i="42" s="1"/>
  <c r="AN54" i="54"/>
  <c r="W5" i="55"/>
  <c r="N2" i="42" s="1"/>
  <c r="W50" i="54"/>
  <c r="AL6" i="55"/>
  <c r="AC3" i="42" s="1"/>
  <c r="AL51" i="54"/>
  <c r="AE10" i="55"/>
  <c r="V7" i="42" s="1"/>
  <c r="AE55" i="54"/>
  <c r="G10" i="55"/>
  <c r="G55" i="54"/>
  <c r="AF5" i="55"/>
  <c r="W2" i="42" s="1"/>
  <c r="AF50" i="54"/>
  <c r="AU6" i="55"/>
  <c r="AL3" i="42" s="1"/>
  <c r="AU51" i="54"/>
  <c r="S7" i="55"/>
  <c r="J4" i="42" s="1"/>
  <c r="S52" i="54"/>
  <c r="X8" i="55"/>
  <c r="O5" i="42" s="1"/>
  <c r="X53" i="54"/>
  <c r="N10" i="55"/>
  <c r="E7" i="42" s="1"/>
  <c r="N55" i="54"/>
  <c r="N8" i="55"/>
  <c r="E5" i="42" s="1"/>
  <c r="N53" i="54"/>
  <c r="AF7" i="55"/>
  <c r="W4" i="42" s="1"/>
  <c r="AF52" i="54"/>
  <c r="AR10" i="55"/>
  <c r="AI7" i="42" s="1"/>
  <c r="AR55" i="54"/>
  <c r="D5" i="55"/>
  <c r="D50" i="54"/>
  <c r="AS10" i="55"/>
  <c r="AJ7" i="42" s="1"/>
  <c r="AS55" i="54"/>
  <c r="D9" i="55"/>
  <c r="D54" i="54"/>
  <c r="V9" i="55"/>
  <c r="M6" i="42" s="1"/>
  <c r="V54" i="54"/>
  <c r="AE7" i="55"/>
  <c r="V4" i="42" s="1"/>
  <c r="AE52" i="54"/>
  <c r="AT8" i="55"/>
  <c r="AK5" i="42" s="1"/>
  <c r="AT53" i="54"/>
  <c r="AM7" i="55"/>
  <c r="AD4" i="42" s="1"/>
  <c r="AM52" i="54"/>
  <c r="U7" i="55"/>
  <c r="L4" i="42" s="1"/>
  <c r="U52" i="54"/>
  <c r="AR6" i="55"/>
  <c r="AI3" i="42" s="1"/>
  <c r="AR51" i="54"/>
  <c r="Y8" i="55"/>
  <c r="P5" i="42" s="1"/>
  <c r="Y53" i="54"/>
  <c r="O10" i="55"/>
  <c r="F7" i="42" s="1"/>
  <c r="O55" i="54"/>
  <c r="AC9" i="55"/>
  <c r="T6" i="42" s="1"/>
  <c r="AC54" i="54"/>
  <c r="AH5" i="55"/>
  <c r="Y2" i="42" s="1"/>
  <c r="AH50" i="54"/>
  <c r="D7" i="55"/>
  <c r="D52" i="54"/>
  <c r="AF8" i="55"/>
  <c r="W5" i="42" s="1"/>
  <c r="AF53" i="54"/>
  <c r="AJ9" i="55"/>
  <c r="AA6" i="42" s="1"/>
  <c r="AJ54" i="54"/>
  <c r="AK7" i="55"/>
  <c r="AB4" i="42" s="1"/>
  <c r="AK52" i="54"/>
  <c r="AO7" i="55"/>
  <c r="AF4" i="42" s="1"/>
  <c r="AO52" i="54"/>
  <c r="I6" i="55"/>
  <c r="I51" i="54"/>
  <c r="AC5" i="55"/>
  <c r="T2" i="42" s="1"/>
  <c r="AC50" i="54"/>
  <c r="AC8" i="55"/>
  <c r="T5" i="42" s="1"/>
  <c r="AC53" i="54"/>
  <c r="U6" i="55"/>
  <c r="L3" i="42" s="1"/>
  <c r="U51" i="54"/>
  <c r="AN7" i="55"/>
  <c r="AE4" i="42" s="1"/>
  <c r="AN52" i="54"/>
  <c r="AD9" i="55"/>
  <c r="U6" i="42" s="1"/>
  <c r="AD54" i="54"/>
  <c r="AQ6" i="55"/>
  <c r="AH3" i="42" s="1"/>
  <c r="AQ51" i="54"/>
  <c r="AD6" i="55"/>
  <c r="U3" i="42" s="1"/>
  <c r="AD51" i="54"/>
  <c r="G8" i="55"/>
  <c r="G53" i="54"/>
  <c r="AP9" i="55"/>
  <c r="AG6" i="42" s="1"/>
  <c r="AP54" i="54"/>
  <c r="M10" i="55"/>
  <c r="D7" i="42" s="1"/>
  <c r="M55" i="54"/>
  <c r="T5" i="55"/>
  <c r="K2" i="42" s="1"/>
  <c r="T50" i="54"/>
  <c r="AI6" i="55"/>
  <c r="Z3" i="42" s="1"/>
  <c r="AI51" i="54"/>
  <c r="M8" i="55"/>
  <c r="D5" i="42" s="1"/>
  <c r="M53" i="54"/>
  <c r="Y6" i="55"/>
  <c r="P3" i="42" s="1"/>
  <c r="Y51" i="54"/>
  <c r="Y9" i="55"/>
  <c r="P6" i="42" s="1"/>
  <c r="Y54" i="54"/>
  <c r="V10" i="55"/>
  <c r="M7" i="42" s="1"/>
  <c r="V55" i="54"/>
  <c r="L7" i="55"/>
  <c r="C4" i="42" s="1"/>
  <c r="L52" i="54"/>
  <c r="AF6" i="55"/>
  <c r="W3" i="42" s="1"/>
  <c r="AF51" i="54"/>
  <c r="AU5" i="55"/>
  <c r="AL2" i="42" s="1"/>
  <c r="AU50" i="54"/>
  <c r="AU10" i="55"/>
  <c r="AL7" i="42" s="1"/>
  <c r="AU55" i="54"/>
  <c r="Q6" i="55"/>
  <c r="H3" i="42" s="1"/>
  <c r="Q51" i="54"/>
  <c r="AH7" i="55"/>
  <c r="Y4" i="42" s="1"/>
  <c r="AH52" i="54"/>
  <c r="R51" i="54"/>
  <c r="R6" i="55"/>
  <c r="I3" i="42" s="1"/>
  <c r="K5" i="55"/>
  <c r="B2" i="42" s="1"/>
  <c r="K50" i="54"/>
  <c r="Z6" i="55"/>
  <c r="Q3" i="42" s="1"/>
  <c r="Z51" i="54"/>
  <c r="AT7" i="55"/>
  <c r="AK4" i="42" s="1"/>
  <c r="AT52" i="54"/>
  <c r="X9" i="55"/>
  <c r="O6" i="42" s="1"/>
  <c r="X54" i="54"/>
  <c r="AE9" i="55"/>
  <c r="V6" i="42" s="1"/>
  <c r="AE54" i="54"/>
  <c r="P5" i="55"/>
  <c r="G2" i="42" s="1"/>
  <c r="P50" i="54"/>
  <c r="AE6" i="55"/>
  <c r="V3" i="42" s="1"/>
  <c r="AE51" i="54"/>
  <c r="AS5" i="55"/>
  <c r="AJ2" i="42" s="1"/>
  <c r="AS50" i="54"/>
  <c r="W6" i="55"/>
  <c r="N3" i="42" s="1"/>
  <c r="W51" i="54"/>
  <c r="F8" i="55"/>
  <c r="F53" i="54"/>
  <c r="AQ9" i="55"/>
  <c r="AH6" i="42" s="1"/>
  <c r="AQ54" i="54"/>
  <c r="C8" i="55"/>
  <c r="C53" i="54"/>
  <c r="H8" i="55"/>
  <c r="H53" i="54"/>
  <c r="G9" i="55"/>
  <c r="G54" i="54"/>
  <c r="AP10" i="55"/>
  <c r="AG7" i="42" s="1"/>
  <c r="AP55" i="54"/>
  <c r="M6" i="55"/>
  <c r="D3" i="42" s="1"/>
  <c r="M51" i="54"/>
  <c r="AL5" i="55"/>
  <c r="AC2" i="42" s="1"/>
  <c r="AL50" i="54"/>
  <c r="S9" i="55"/>
  <c r="J6" i="42" s="1"/>
  <c r="S54" i="54"/>
  <c r="G5" i="55"/>
  <c r="G50" i="54"/>
  <c r="V6" i="55"/>
  <c r="M3" i="42" s="1"/>
  <c r="V51" i="54"/>
  <c r="AJ8" i="55"/>
  <c r="AA5" i="42" s="1"/>
  <c r="AJ53" i="54"/>
  <c r="AJ7" i="55"/>
  <c r="AA4" i="42" s="1"/>
  <c r="AJ52" i="54"/>
  <c r="Z9" i="55"/>
  <c r="Q6" i="42" s="1"/>
  <c r="Z54" i="54"/>
  <c r="L5" i="55"/>
  <c r="C2" i="42" s="1"/>
  <c r="L50" i="54"/>
  <c r="F9" i="55"/>
  <c r="F54" i="54"/>
  <c r="AQ5" i="55"/>
  <c r="AH2" i="42" s="1"/>
  <c r="AQ50" i="54"/>
  <c r="S6" i="55"/>
  <c r="J3" i="42" s="1"/>
  <c r="S51" i="54"/>
  <c r="O6" i="55"/>
  <c r="F3" i="42" s="1"/>
  <c r="O51" i="54"/>
  <c r="AM10" i="55"/>
  <c r="AD7" i="42" s="1"/>
  <c r="AM55" i="54"/>
  <c r="AG53" i="54"/>
  <c r="AG8" i="55"/>
  <c r="X5" i="42" s="1"/>
  <c r="W10" i="55"/>
  <c r="N7" i="42" s="1"/>
  <c r="W55" i="54"/>
  <c r="AR5" i="55"/>
  <c r="AI2" i="42" s="1"/>
  <c r="AR50" i="54"/>
  <c r="AP53" i="54"/>
  <c r="AP8" i="55"/>
  <c r="AG5" i="42" s="1"/>
  <c r="AS53" i="54"/>
  <c r="AS8" i="55"/>
  <c r="AJ5" i="42" s="1"/>
  <c r="AI10" i="55"/>
  <c r="Z7" i="42" s="1"/>
  <c r="AI55" i="54"/>
  <c r="AD8" i="55"/>
  <c r="U5" i="42" s="1"/>
  <c r="AD53" i="54"/>
  <c r="AA9" i="55"/>
  <c r="R6" i="42" s="1"/>
  <c r="AA54" i="54"/>
  <c r="AO54" i="54"/>
  <c r="AO9" i="55"/>
  <c r="AF6" i="42" s="1"/>
  <c r="I5" i="55"/>
  <c r="I50" i="54"/>
  <c r="X51" i="54"/>
  <c r="X6" i="55"/>
  <c r="O3" i="42" s="1"/>
  <c r="AR7" i="55"/>
  <c r="AI4" i="42" s="1"/>
  <c r="AR52" i="54"/>
  <c r="H5" i="55"/>
  <c r="H50" i="54"/>
  <c r="D53" i="23"/>
  <c r="C5" i="7" s="1" a="1"/>
  <c r="AD6" i="7" s="1"/>
  <c r="N53" i="23"/>
  <c r="AR53" i="23"/>
  <c r="C41" i="7" s="1" a="1"/>
  <c r="AH46" i="7" s="1"/>
  <c r="AH46" i="25" s="1"/>
  <c r="Y7" i="39" s="1"/>
  <c r="C14" i="7" a="1"/>
  <c r="AM6" i="7"/>
  <c r="AQ10" i="7"/>
  <c r="AQ10" i="25" s="1"/>
  <c r="AH7" i="32" s="1"/>
  <c r="AH5" i="7"/>
  <c r="AA7" i="7"/>
  <c r="J7" i="7"/>
  <c r="O9" i="7"/>
  <c r="AM8" i="7"/>
  <c r="AM8" i="25" s="1"/>
  <c r="AD5" i="32" s="1"/>
  <c r="AT8" i="7"/>
  <c r="P6" i="7"/>
  <c r="K9" i="7"/>
  <c r="AF8" i="7"/>
  <c r="M6" i="7"/>
  <c r="M6" i="25" s="1"/>
  <c r="D3" i="32" s="1"/>
  <c r="AS9" i="7"/>
  <c r="G8" i="7"/>
  <c r="Y9" i="7"/>
  <c r="AL6" i="7"/>
  <c r="AL6" i="25" s="1"/>
  <c r="AC3" i="32" s="1"/>
  <c r="AJ5" i="7"/>
  <c r="AS7" i="7"/>
  <c r="H8" i="7"/>
  <c r="AA6" i="7"/>
  <c r="AA6" i="25" s="1"/>
  <c r="R3" i="32" s="1"/>
  <c r="D5" i="7"/>
  <c r="V9" i="7"/>
  <c r="V9" i="25" s="1"/>
  <c r="M6" i="32" s="1"/>
  <c r="AP5" i="7"/>
  <c r="X6" i="7"/>
  <c r="I5" i="7"/>
  <c r="S7" i="7"/>
  <c r="AQ8" i="7"/>
  <c r="AP7" i="7"/>
  <c r="AP7" i="25" s="1"/>
  <c r="AG4" i="32" s="1"/>
  <c r="V5" i="7"/>
  <c r="AH7" i="7"/>
  <c r="AI6" i="7"/>
  <c r="AM9" i="7"/>
  <c r="H7" i="7"/>
  <c r="E6" i="7"/>
  <c r="H6" i="7"/>
  <c r="M5" i="7"/>
  <c r="K7" i="7"/>
  <c r="AJ10" i="7"/>
  <c r="AU8" i="7"/>
  <c r="W8" i="7"/>
  <c r="AI7" i="7"/>
  <c r="AI7" i="25" s="1"/>
  <c r="Z4" i="32" s="1"/>
  <c r="AL7" i="7"/>
  <c r="Q7" i="7"/>
  <c r="Q7" i="25" s="1"/>
  <c r="H4" i="32" s="1"/>
  <c r="AR10" i="7"/>
  <c r="AA5" i="7"/>
  <c r="AO9" i="7"/>
  <c r="AF5" i="7"/>
  <c r="AO6" i="7"/>
  <c r="AO6" i="25" s="1"/>
  <c r="AF3" i="32" s="1"/>
  <c r="Q8" i="7"/>
  <c r="AK6" i="7"/>
  <c r="I6" i="7"/>
  <c r="AA9" i="7"/>
  <c r="AA9" i="25" s="1"/>
  <c r="R6" i="32" s="1"/>
  <c r="AN5" i="7"/>
  <c r="AN7" i="7"/>
  <c r="AD5" i="7"/>
  <c r="AD5" i="25" s="1"/>
  <c r="U2" i="32" s="1"/>
  <c r="AG7" i="7"/>
  <c r="J5" i="7"/>
  <c r="AP8" i="7"/>
  <c r="O5" i="7"/>
  <c r="Y6" i="7"/>
  <c r="AU5" i="7"/>
  <c r="D7" i="7"/>
  <c r="AQ5" i="7"/>
  <c r="AM7" i="7"/>
  <c r="V7" i="7"/>
  <c r="AD10" i="7"/>
  <c r="AU7" i="7"/>
  <c r="AU7" i="25" s="1"/>
  <c r="AL4" i="32" s="1"/>
  <c r="AO8" i="7"/>
  <c r="AK8" i="7"/>
  <c r="AB8" i="7"/>
  <c r="AH32" i="7"/>
  <c r="AC35" i="7"/>
  <c r="AG35" i="7"/>
  <c r="AG35" i="25" s="1"/>
  <c r="X5" i="38" s="1"/>
  <c r="E33" i="7"/>
  <c r="E33" i="25" s="1"/>
  <c r="AM32" i="7"/>
  <c r="X32" i="7"/>
  <c r="M34" i="7"/>
  <c r="F32" i="7"/>
  <c r="F32" i="25" s="1"/>
  <c r="L34" i="7"/>
  <c r="L34" i="25" s="1"/>
  <c r="C4" i="38" s="1"/>
  <c r="AH34" i="7"/>
  <c r="AK36" i="7"/>
  <c r="N35" i="7"/>
  <c r="E34" i="7"/>
  <c r="AJ32" i="7"/>
  <c r="AF34" i="7"/>
  <c r="AP32" i="7"/>
  <c r="AG32" i="7"/>
  <c r="J34" i="7"/>
  <c r="T36" i="7"/>
  <c r="AO32" i="7"/>
  <c r="AO32" i="25" s="1"/>
  <c r="AF2" i="38" s="1"/>
  <c r="Q36" i="7"/>
  <c r="AE33" i="7"/>
  <c r="U33" i="7"/>
  <c r="AJ34" i="7"/>
  <c r="AI33" i="7"/>
  <c r="J35" i="7"/>
  <c r="J35" i="25" s="1"/>
  <c r="P34" i="7"/>
  <c r="R36" i="7"/>
  <c r="R36" i="25" s="1"/>
  <c r="I6" i="38" s="1"/>
  <c r="AR35" i="7"/>
  <c r="N37" i="7"/>
  <c r="AF35" i="7"/>
  <c r="AF35" i="25" s="1"/>
  <c r="W5" i="38" s="1"/>
  <c r="AN36" i="7"/>
  <c r="AN36" i="25" s="1"/>
  <c r="AE6" i="38" s="1"/>
  <c r="AI34" i="7"/>
  <c r="AS37" i="7"/>
  <c r="P7" i="7"/>
  <c r="AR7" i="7"/>
  <c r="AO10" i="7"/>
  <c r="AO10" i="25" s="1"/>
  <c r="AF7" i="32" s="1"/>
  <c r="AU10" i="7"/>
  <c r="AU10" i="25" s="1"/>
  <c r="AL7" i="32" s="1"/>
  <c r="AM10" i="7"/>
  <c r="C9" i="7"/>
  <c r="AC8" i="7"/>
  <c r="D6" i="7"/>
  <c r="AT9" i="7"/>
  <c r="C7" i="7"/>
  <c r="AT6" i="7"/>
  <c r="O7" i="7"/>
  <c r="O6" i="7"/>
  <c r="N6" i="7"/>
  <c r="L6" i="7"/>
  <c r="AU6" i="7"/>
  <c r="AH6" i="7"/>
  <c r="AH6" i="25" s="1"/>
  <c r="Y3" i="32" s="1"/>
  <c r="N8" i="7"/>
  <c r="J9" i="7"/>
  <c r="V6" i="7"/>
  <c r="D8" i="7"/>
  <c r="H5" i="7"/>
  <c r="H5" i="25" s="1"/>
  <c r="T9" i="7"/>
  <c r="W7" i="7"/>
  <c r="AG5" i="7"/>
  <c r="T6" i="7"/>
  <c r="E7" i="7"/>
  <c r="E7" i="25" s="1"/>
  <c r="AI5" i="7"/>
  <c r="AF7" i="7"/>
  <c r="AF7" i="25" s="1"/>
  <c r="W4" i="32" s="1"/>
  <c r="AM33" i="7"/>
  <c r="Y32" i="7"/>
  <c r="Q32" i="7"/>
  <c r="X34" i="7"/>
  <c r="K37" i="7"/>
  <c r="P36" i="7"/>
  <c r="AU36" i="7"/>
  <c r="X35" i="7"/>
  <c r="X35" i="25" s="1"/>
  <c r="O5" i="38" s="1"/>
  <c r="AT32" i="7"/>
  <c r="AT32" i="25" s="1"/>
  <c r="AK2" i="38" s="1"/>
  <c r="AP35" i="7"/>
  <c r="AP35" i="25" s="1"/>
  <c r="AG5" i="38" s="1"/>
  <c r="K33" i="7"/>
  <c r="AS34" i="7"/>
  <c r="L37" i="7"/>
  <c r="L37" i="25" s="1"/>
  <c r="C7" i="38" s="1"/>
  <c r="AB10" i="7"/>
  <c r="I9" i="7"/>
  <c r="AA8" i="7"/>
  <c r="T10" i="7"/>
  <c r="M10" i="7"/>
  <c r="AQ7" i="7"/>
  <c r="R9" i="7"/>
  <c r="X10" i="7"/>
  <c r="P10" i="7"/>
  <c r="C8" i="7"/>
  <c r="C8" i="25" s="1"/>
  <c r="AH10" i="7"/>
  <c r="X9" i="7"/>
  <c r="AH8" i="7"/>
  <c r="L8" i="7"/>
  <c r="L8" i="25" s="1"/>
  <c r="C5" i="32" s="1"/>
  <c r="N7" i="7"/>
  <c r="F6" i="7"/>
  <c r="AL5" i="7"/>
  <c r="AL5" i="25" s="1"/>
  <c r="AC2" i="32" s="1"/>
  <c r="J8" i="7"/>
  <c r="F9" i="7"/>
  <c r="AF9" i="7"/>
  <c r="AI10" i="7"/>
  <c r="AK5" i="7"/>
  <c r="AB6" i="7"/>
  <c r="AB6" i="25" s="1"/>
  <c r="S3" i="32" s="1"/>
  <c r="Z7" i="7"/>
  <c r="Z7" i="25" s="1"/>
  <c r="Q4" i="32" s="1"/>
  <c r="AG10" i="7"/>
  <c r="F8" i="7"/>
  <c r="F8" i="25" s="1"/>
  <c r="I8" i="7"/>
  <c r="AJ37" i="7"/>
  <c r="AU35" i="7"/>
  <c r="U32" i="7"/>
  <c r="AB34" i="7"/>
  <c r="AB34" i="25" s="1"/>
  <c r="S4" i="38" s="1"/>
  <c r="V33" i="7"/>
  <c r="N33" i="7"/>
  <c r="N33" i="25" s="1"/>
  <c r="E3" i="38" s="1"/>
  <c r="L33" i="7"/>
  <c r="L33" i="25" s="1"/>
  <c r="C3" i="38" s="1"/>
  <c r="G36" i="7"/>
  <c r="G36" i="25" s="1"/>
  <c r="F34" i="7"/>
  <c r="AL34" i="7"/>
  <c r="H35" i="7"/>
  <c r="AK35" i="7"/>
  <c r="AK35" i="25" s="1"/>
  <c r="AB5" i="38" s="1"/>
  <c r="C33" i="7"/>
  <c r="C33" i="25" s="1"/>
  <c r="D37" i="7"/>
  <c r="AT35" i="7"/>
  <c r="AI32" i="7"/>
  <c r="P32" i="7"/>
  <c r="P32" i="25" s="1"/>
  <c r="G2" i="38" s="1"/>
  <c r="AJ35" i="7"/>
  <c r="AT37" i="7"/>
  <c r="AT37" i="25" s="1"/>
  <c r="AK7" i="38" s="1"/>
  <c r="AM37" i="7"/>
  <c r="Z37" i="7"/>
  <c r="E37" i="7"/>
  <c r="AD37" i="7"/>
  <c r="Y10" i="7"/>
  <c r="AA10" i="7"/>
  <c r="AH9" i="7"/>
  <c r="AE10" i="7"/>
  <c r="M9" i="7"/>
  <c r="M9" i="25" s="1"/>
  <c r="D6" i="32" s="1"/>
  <c r="E10" i="7"/>
  <c r="E10" i="25" s="1"/>
  <c r="U9" i="7"/>
  <c r="Q10" i="7"/>
  <c r="L7" i="7"/>
  <c r="P8" i="7"/>
  <c r="P8" i="25" s="1"/>
  <c r="G5" i="32" s="1"/>
  <c r="AQ6" i="7"/>
  <c r="AP33" i="7"/>
  <c r="AG34" i="7"/>
  <c r="C37" i="7"/>
  <c r="W37" i="7"/>
  <c r="W37" i="25" s="1"/>
  <c r="N7" i="38" s="1"/>
  <c r="C32" i="7"/>
  <c r="I36" i="7"/>
  <c r="AQ34" i="7"/>
  <c r="Y35" i="7"/>
  <c r="F35" i="7"/>
  <c r="D36" i="7"/>
  <c r="U37" i="7"/>
  <c r="U37" i="25" s="1"/>
  <c r="L7" i="38" s="1"/>
  <c r="M35" i="7"/>
  <c r="AO36" i="7"/>
  <c r="AI35" i="7"/>
  <c r="T32" i="7"/>
  <c r="AG36" i="7"/>
  <c r="AE32" i="7"/>
  <c r="L32" i="7"/>
  <c r="L32" i="25" s="1"/>
  <c r="C2" i="38" s="1"/>
  <c r="G33" i="7"/>
  <c r="G33" i="25" s="1"/>
  <c r="M33" i="7"/>
  <c r="M33" i="25" s="1"/>
  <c r="D3" i="38" s="1"/>
  <c r="E32" i="7"/>
  <c r="E32" i="25" s="1"/>
  <c r="K36" i="7"/>
  <c r="X33" i="7"/>
  <c r="X33" i="25" s="1"/>
  <c r="O3" i="38" s="1"/>
  <c r="AE35" i="7"/>
  <c r="AE35" i="25" s="1"/>
  <c r="V5" i="38" s="1"/>
  <c r="I33" i="7"/>
  <c r="V34" i="7"/>
  <c r="V34" i="25" s="1"/>
  <c r="M4" i="38" s="1"/>
  <c r="V37" i="7"/>
  <c r="AC37" i="7"/>
  <c r="AC37" i="25" s="1"/>
  <c r="T7" i="38" s="1"/>
  <c r="AP36" i="7"/>
  <c r="AP36" i="25" s="1"/>
  <c r="AG6" i="38" s="1"/>
  <c r="R37" i="7"/>
  <c r="R37" i="25" s="1"/>
  <c r="I7" i="38" s="1"/>
  <c r="AF43" i="7"/>
  <c r="W43" i="7"/>
  <c r="G43" i="7"/>
  <c r="Z42" i="7"/>
  <c r="K46" i="7"/>
  <c r="S42" i="7"/>
  <c r="AK42" i="7"/>
  <c r="W45" i="7"/>
  <c r="AQ46" i="7"/>
  <c r="AQ46" i="25" s="1"/>
  <c r="AH7" i="39" s="1"/>
  <c r="Z44" i="7"/>
  <c r="M46" i="7"/>
  <c r="M46" i="25" s="1"/>
  <c r="D7" i="39" s="1"/>
  <c r="T46" i="7"/>
  <c r="AS46" i="7"/>
  <c r="U42" i="7"/>
  <c r="U42" i="25" s="1"/>
  <c r="L3" i="39" s="1"/>
  <c r="H45" i="7"/>
  <c r="AN43" i="7"/>
  <c r="AQ41" i="7"/>
  <c r="AA42" i="7"/>
  <c r="AO45" i="7"/>
  <c r="J44" i="7"/>
  <c r="AJ43" i="7"/>
  <c r="R42" i="7"/>
  <c r="N43" i="7"/>
  <c r="AK44" i="7"/>
  <c r="AK44" i="25" s="1"/>
  <c r="AB5" i="39" s="1"/>
  <c r="AJ42" i="7"/>
  <c r="C43" i="7"/>
  <c r="AI41" i="7"/>
  <c r="V41" i="7"/>
  <c r="H43" i="7"/>
  <c r="P46" i="7"/>
  <c r="P46" i="25" s="1"/>
  <c r="G7" i="39" s="1"/>
  <c r="V42" i="7"/>
  <c r="L43" i="7"/>
  <c r="L43" i="25" s="1"/>
  <c r="C4" i="39" s="1"/>
  <c r="AE45" i="7"/>
  <c r="X46" i="7"/>
  <c r="X46" i="25" s="1"/>
  <c r="O7" i="39" s="1"/>
  <c r="S44" i="7"/>
  <c r="L45" i="7"/>
  <c r="J43" i="7"/>
  <c r="Q42" i="7"/>
  <c r="J41" i="7"/>
  <c r="P42" i="7"/>
  <c r="AJ46" i="7"/>
  <c r="K43" i="7"/>
  <c r="AR43" i="7"/>
  <c r="AO42" i="7"/>
  <c r="D42" i="7"/>
  <c r="AH42" i="7"/>
  <c r="AE44" i="7"/>
  <c r="AC41" i="7"/>
  <c r="AF41" i="7"/>
  <c r="Y45" i="7"/>
  <c r="AU44" i="7"/>
  <c r="M42" i="7"/>
  <c r="K41" i="7"/>
  <c r="AS41" i="7"/>
  <c r="AJ44" i="7"/>
  <c r="S41" i="7"/>
  <c r="AC45" i="7"/>
  <c r="AG46" i="7"/>
  <c r="U44" i="7"/>
  <c r="H46" i="7"/>
  <c r="AI44" i="7"/>
  <c r="Y44" i="7"/>
  <c r="AC42" i="7"/>
  <c r="AM45" i="7"/>
  <c r="AM46" i="7"/>
  <c r="AM46" i="25" s="1"/>
  <c r="AD7" i="39" s="1"/>
  <c r="AF42" i="7"/>
  <c r="W44" i="7"/>
  <c r="W44" i="25" s="1"/>
  <c r="N5" i="39" s="1"/>
  <c r="AA43" i="7"/>
  <c r="F44" i="7"/>
  <c r="F44" i="25" s="1"/>
  <c r="G41" i="7"/>
  <c r="G41" i="25" s="1"/>
  <c r="AK41" i="7"/>
  <c r="AF44" i="7"/>
  <c r="X42" i="7"/>
  <c r="AK45" i="7"/>
  <c r="AO41" i="7"/>
  <c r="M43" i="7"/>
  <c r="I43" i="7"/>
  <c r="C46" i="7"/>
  <c r="AB46" i="7"/>
  <c r="G32" i="7"/>
  <c r="AB35" i="7"/>
  <c r="S32" i="7"/>
  <c r="R35" i="7"/>
  <c r="AB36" i="7"/>
  <c r="AT33" i="7"/>
  <c r="X37" i="7"/>
  <c r="W34" i="7"/>
  <c r="H32" i="7"/>
  <c r="H32" i="25" s="1"/>
  <c r="S35" i="7"/>
  <c r="AU32" i="7"/>
  <c r="AU32" i="25" s="1"/>
  <c r="AL2" i="38" s="1"/>
  <c r="V32" i="7"/>
  <c r="AR36" i="7"/>
  <c r="T35" i="7"/>
  <c r="AE34" i="7"/>
  <c r="AE34" i="25" s="1"/>
  <c r="V4" i="38" s="1"/>
  <c r="AS33" i="7"/>
  <c r="AH35" i="7"/>
  <c r="U34" i="7"/>
  <c r="AQ33" i="7"/>
  <c r="Y33" i="7"/>
  <c r="AC33" i="7"/>
  <c r="AC33" i="25" s="1"/>
  <c r="T3" i="38" s="1"/>
  <c r="AK34" i="7"/>
  <c r="AS32" i="7"/>
  <c r="AR34" i="7"/>
  <c r="AR34" i="25" s="1"/>
  <c r="AI4" i="38" s="1"/>
  <c r="D32" i="7"/>
  <c r="G34" i="7"/>
  <c r="E36" i="7"/>
  <c r="E36" i="25" s="1"/>
  <c r="AN33" i="7"/>
  <c r="AN33" i="25" s="1"/>
  <c r="AE3" i="38" s="1"/>
  <c r="F36" i="7"/>
  <c r="F36" i="25" s="1"/>
  <c r="H33" i="7"/>
  <c r="AA36" i="7"/>
  <c r="AD32" i="7"/>
  <c r="W33" i="7"/>
  <c r="R33" i="7"/>
  <c r="AF32" i="7"/>
  <c r="AR32" i="7"/>
  <c r="AR32" i="25" s="1"/>
  <c r="AI2" i="38" s="1"/>
  <c r="I34" i="7"/>
  <c r="Z33" i="7"/>
  <c r="V36" i="7"/>
  <c r="K32" i="7"/>
  <c r="W32" i="7"/>
  <c r="AA34" i="7"/>
  <c r="AK32" i="7"/>
  <c r="L35" i="7"/>
  <c r="AC36" i="7"/>
  <c r="AC36" i="25" s="1"/>
  <c r="T6" i="38" s="1"/>
  <c r="Q37" i="7"/>
  <c r="AD36" i="7"/>
  <c r="K35" i="7"/>
  <c r="C35" i="7"/>
  <c r="AK37" i="7"/>
  <c r="Q35" i="7"/>
  <c r="Q35" i="25" s="1"/>
  <c r="H5" i="38" s="1"/>
  <c r="AJ33" i="7"/>
  <c r="AJ33" i="25" s="1"/>
  <c r="AA3" i="38" s="1"/>
  <c r="S33" i="7"/>
  <c r="Y34" i="7"/>
  <c r="U36" i="7"/>
  <c r="U36" i="25" s="1"/>
  <c r="L6" i="38" s="1"/>
  <c r="S34" i="7"/>
  <c r="AS36" i="7"/>
  <c r="C34" i="7"/>
  <c r="AH33" i="7"/>
  <c r="AN35" i="7"/>
  <c r="T33" i="7"/>
  <c r="AF37" i="7"/>
  <c r="R34" i="7"/>
  <c r="AD34" i="7"/>
  <c r="I32" i="7"/>
  <c r="T34" i="7"/>
  <c r="AL33" i="7"/>
  <c r="AL33" i="25" s="1"/>
  <c r="AC3" i="38" s="1"/>
  <c r="AL32" i="7"/>
  <c r="I37" i="7"/>
  <c r="AL36" i="7"/>
  <c r="AR37" i="7"/>
  <c r="AR37" i="25" s="1"/>
  <c r="AI7" i="38" s="1"/>
  <c r="AQ35" i="7"/>
  <c r="AI37" i="7"/>
  <c r="AI37" i="25" s="1"/>
  <c r="Z7" i="38" s="1"/>
  <c r="AL37" i="7"/>
  <c r="X36" i="7"/>
  <c r="X36" i="25" s="1"/>
  <c r="O6" i="38" s="1"/>
  <c r="U35" i="7"/>
  <c r="AB33" i="7"/>
  <c r="AS35" i="7"/>
  <c r="AM36" i="7"/>
  <c r="G37" i="7"/>
  <c r="G37" i="25" s="1"/>
  <c r="AP37" i="7"/>
  <c r="W36" i="7"/>
  <c r="W36" i="25" s="1"/>
  <c r="N6" i="38" s="1"/>
  <c r="Z36" i="7"/>
  <c r="H34" i="7"/>
  <c r="AB32" i="7"/>
  <c r="AE36" i="7"/>
  <c r="O37" i="7"/>
  <c r="M37" i="7"/>
  <c r="AO35" i="7"/>
  <c r="AB37" i="7"/>
  <c r="N34" i="7"/>
  <c r="N34" i="25" s="1"/>
  <c r="E4" i="38" s="1"/>
  <c r="AN37" i="7"/>
  <c r="AN37" i="25" s="1"/>
  <c r="AE7" i="38" s="1"/>
  <c r="Q34" i="7"/>
  <c r="I35" i="7"/>
  <c r="AP34" i="7"/>
  <c r="Q33" i="7"/>
  <c r="Q33" i="25" s="1"/>
  <c r="H3" i="38" s="1"/>
  <c r="AE37" i="7"/>
  <c r="AQ37" i="7"/>
  <c r="J36" i="7"/>
  <c r="H36" i="7"/>
  <c r="H36" i="25" s="1"/>
  <c r="D34" i="7"/>
  <c r="Z32" i="7"/>
  <c r="P37" i="7"/>
  <c r="P37" i="25" s="1"/>
  <c r="G7" i="38" s="1"/>
  <c r="M32" i="7"/>
  <c r="AD35" i="7"/>
  <c r="AF36" i="7"/>
  <c r="AG33" i="7"/>
  <c r="AT34" i="7"/>
  <c r="O35" i="7"/>
  <c r="AN32" i="7"/>
  <c r="AI36" i="7"/>
  <c r="V35" i="7"/>
  <c r="L36" i="7"/>
  <c r="L36" i="25" s="1"/>
  <c r="C6" i="38" s="1"/>
  <c r="P33" i="7"/>
  <c r="P33" i="25" s="1"/>
  <c r="G3" i="38" s="1"/>
  <c r="T37" i="7"/>
  <c r="AJ36" i="7"/>
  <c r="AR33" i="7"/>
  <c r="S36" i="7"/>
  <c r="AQ36" i="7"/>
  <c r="N36" i="7"/>
  <c r="AN34" i="7"/>
  <c r="Y36" i="7"/>
  <c r="Y36" i="25" s="1"/>
  <c r="P6" i="38" s="1"/>
  <c r="AA32" i="7"/>
  <c r="AA33" i="7"/>
  <c r="AI42" i="7"/>
  <c r="AI42" i="25" s="1"/>
  <c r="Z3" i="39" s="1"/>
  <c r="AA44" i="7"/>
  <c r="AA46" i="7"/>
  <c r="W42" i="7"/>
  <c r="AQ43" i="7"/>
  <c r="R43" i="7"/>
  <c r="AB43" i="7"/>
  <c r="N44" i="7"/>
  <c r="N46" i="7"/>
  <c r="AP43" i="7"/>
  <c r="AP43" i="25" s="1"/>
  <c r="AG4" i="39" s="1"/>
  <c r="K42" i="7"/>
  <c r="K42" i="25" s="1"/>
  <c r="B3" i="39" s="1"/>
  <c r="K45" i="7"/>
  <c r="K45" i="25" s="1"/>
  <c r="B6" i="39" s="1"/>
  <c r="I45" i="7"/>
  <c r="R41" i="7"/>
  <c r="N41" i="7"/>
  <c r="W46" i="7"/>
  <c r="AJ41" i="7"/>
  <c r="AJ41" i="25" s="1"/>
  <c r="AA2" i="39" s="1"/>
  <c r="AL45" i="7"/>
  <c r="T42" i="7"/>
  <c r="AA37" i="7"/>
  <c r="J33" i="7"/>
  <c r="F37" i="7"/>
  <c r="F37" i="25" s="1"/>
  <c r="O32" i="7"/>
  <c r="W35" i="7"/>
  <c r="AF33" i="7"/>
  <c r="AU37" i="7"/>
  <c r="E35" i="7"/>
  <c r="J32" i="7"/>
  <c r="J32" i="25" s="1"/>
  <c r="R32" i="7"/>
  <c r="AC32" i="7"/>
  <c r="C36" i="7"/>
  <c r="AO37" i="7"/>
  <c r="AO37" i="25" s="1"/>
  <c r="AF7" i="38" s="1"/>
  <c r="O33" i="7"/>
  <c r="AM34" i="7"/>
  <c r="AD33" i="7"/>
  <c r="AD33" i="25" s="1"/>
  <c r="U3" i="38" s="1"/>
  <c r="O36" i="7"/>
  <c r="H37" i="7"/>
  <c r="H37" i="25" s="1"/>
  <c r="Z34" i="7"/>
  <c r="AK33" i="7"/>
  <c r="AU34" i="7"/>
  <c r="P35" i="7"/>
  <c r="AQ32" i="7"/>
  <c r="AH36" i="7"/>
  <c r="D35" i="7"/>
  <c r="J37" i="7"/>
  <c r="AG37" i="7"/>
  <c r="AO34" i="7"/>
  <c r="AH37" i="7"/>
  <c r="AH37" i="25" s="1"/>
  <c r="Y7" i="38" s="1"/>
  <c r="AC34" i="7"/>
  <c r="Y37" i="7"/>
  <c r="N32" i="7"/>
  <c r="AO33" i="7"/>
  <c r="AO33" i="25" s="1"/>
  <c r="AF3" i="38" s="1"/>
  <c r="Z35" i="7"/>
  <c r="O34" i="7"/>
  <c r="O34" i="25" s="1"/>
  <c r="F4" i="38" s="1"/>
  <c r="M36" i="7"/>
  <c r="K34" i="7"/>
  <c r="K34" i="25" s="1"/>
  <c r="B4" i="38" s="1"/>
  <c r="G35" i="7"/>
  <c r="D33" i="7"/>
  <c r="AM35" i="7"/>
  <c r="AU33" i="7"/>
  <c r="AT36" i="7"/>
  <c r="AL35" i="7"/>
  <c r="AL35" i="25" s="1"/>
  <c r="AC5" i="38" s="1"/>
  <c r="F33" i="7"/>
  <c r="AA35" i="7"/>
  <c r="C45" i="7"/>
  <c r="AM42" i="7"/>
  <c r="P44" i="7"/>
  <c r="AS42" i="7"/>
  <c r="O44" i="7"/>
  <c r="J45" i="7"/>
  <c r="AB42" i="7"/>
  <c r="AB42" i="25" s="1"/>
  <c r="S3" i="39" s="1"/>
  <c r="G44" i="7"/>
  <c r="G44" i="25" s="1"/>
  <c r="Z43" i="7"/>
  <c r="F42" i="7"/>
  <c r="AA45" i="7"/>
  <c r="U45" i="7"/>
  <c r="F46" i="7"/>
  <c r="F46" i="25" s="1"/>
  <c r="AP42" i="7"/>
  <c r="Q43" i="7"/>
  <c r="U46" i="7"/>
  <c r="AS44" i="7"/>
  <c r="AB41" i="7"/>
  <c r="AQ45" i="7"/>
  <c r="AC46" i="7"/>
  <c r="AP45" i="7"/>
  <c r="AN46" i="7"/>
  <c r="AG45" i="7"/>
  <c r="AR46" i="7"/>
  <c r="V44" i="7"/>
  <c r="C44" i="7"/>
  <c r="N45" i="7"/>
  <c r="AM44" i="7"/>
  <c r="Z46" i="7"/>
  <c r="AT44" i="7"/>
  <c r="AO43" i="7"/>
  <c r="M44" i="7"/>
  <c r="AN42" i="7"/>
  <c r="L41" i="7"/>
  <c r="J34" i="25"/>
  <c r="AG7" i="25"/>
  <c r="X4" i="32" s="1"/>
  <c r="P6" i="25"/>
  <c r="G3" i="32" s="1"/>
  <c r="I5" i="25"/>
  <c r="V5" i="25"/>
  <c r="M2" i="32" s="1"/>
  <c r="AA5" i="25"/>
  <c r="R2" i="32" s="1"/>
  <c r="AA10" i="25"/>
  <c r="R7" i="32" s="1"/>
  <c r="Q10" i="25"/>
  <c r="H7" i="32" s="1"/>
  <c r="AQ6" i="25"/>
  <c r="AH3" i="32" s="1"/>
  <c r="AD6" i="25"/>
  <c r="U3" i="32" s="1"/>
  <c r="AS7" i="25"/>
  <c r="AJ4" i="32" s="1"/>
  <c r="AH5" i="25"/>
  <c r="Y2" i="32" s="1"/>
  <c r="O7" i="25"/>
  <c r="F4" i="32" s="1"/>
  <c r="AG10" i="25"/>
  <c r="X7" i="32" s="1"/>
  <c r="AT9" i="25"/>
  <c r="AK6" i="32" s="1"/>
  <c r="AH8" i="25"/>
  <c r="Y5" i="32" s="1"/>
  <c r="V7" i="25"/>
  <c r="M4" i="32" s="1"/>
  <c r="V6" i="25"/>
  <c r="M3" i="32" s="1"/>
  <c r="AB8" i="25"/>
  <c r="S5" i="32" s="1"/>
  <c r="M5" i="25"/>
  <c r="D2" i="32" s="1"/>
  <c r="AJ32" i="25"/>
  <c r="AA2" i="38" s="1"/>
  <c r="AC8" i="25"/>
  <c r="T5" i="32" s="1"/>
  <c r="AQ5" i="25"/>
  <c r="AH2" i="32" s="1"/>
  <c r="F6" i="25"/>
  <c r="T9" i="25"/>
  <c r="K6" i="32" s="1"/>
  <c r="E6" i="25"/>
  <c r="AK5" i="25"/>
  <c r="AB2" i="32" s="1"/>
  <c r="R34" i="25"/>
  <c r="I4" i="38" s="1"/>
  <c r="AF5" i="25"/>
  <c r="W2" i="32" s="1"/>
  <c r="O9" i="25"/>
  <c r="F6" i="32" s="1"/>
  <c r="AJ10" i="25"/>
  <c r="AA7" i="32" s="1"/>
  <c r="AR7" i="25"/>
  <c r="AI4" i="32" s="1"/>
  <c r="AN7" i="25"/>
  <c r="AE4" i="32" s="1"/>
  <c r="AU5" i="25"/>
  <c r="AL2" i="32" s="1"/>
  <c r="AQ8" i="25"/>
  <c r="AH5" i="32" s="1"/>
  <c r="L6" i="25"/>
  <c r="C3" i="32" s="1"/>
  <c r="N8" i="25"/>
  <c r="E5" i="32" s="1"/>
  <c r="F9" i="25"/>
  <c r="T6" i="25"/>
  <c r="K3" i="32" s="1"/>
  <c r="AQ34" i="25"/>
  <c r="AH4" i="38" s="1"/>
  <c r="AU36" i="25"/>
  <c r="AL6" i="38" s="1"/>
  <c r="S37" i="25"/>
  <c r="J7" i="38" s="1"/>
  <c r="I7" i="7" l="1"/>
  <c r="I7" i="25" s="1"/>
  <c r="R5" i="7"/>
  <c r="H10" i="7"/>
  <c r="H10" i="25" s="1"/>
  <c r="M8" i="7"/>
  <c r="S5" i="7"/>
  <c r="AM5" i="7"/>
  <c r="AM5" i="25" s="1"/>
  <c r="AD2" i="32" s="1"/>
  <c r="Q6" i="7"/>
  <c r="Q6" i="25" s="1"/>
  <c r="H3" i="32" s="1"/>
  <c r="W9" i="7"/>
  <c r="W9" i="25" s="1"/>
  <c r="N6" i="32" s="1"/>
  <c r="AB7" i="7"/>
  <c r="AB7" i="25" s="1"/>
  <c r="S4" i="32" s="1"/>
  <c r="AE6" i="7"/>
  <c r="U7" i="7"/>
  <c r="J6" i="7"/>
  <c r="J6" i="25" s="1"/>
  <c r="T7" i="7"/>
  <c r="I10" i="7"/>
  <c r="W6" i="7"/>
  <c r="W6" i="25" s="1"/>
  <c r="N3" i="32" s="1"/>
  <c r="AJ6" i="7"/>
  <c r="K8" i="7"/>
  <c r="K8" i="25" s="1"/>
  <c r="B5" i="32" s="1"/>
  <c r="O8" i="7"/>
  <c r="O8" i="25" s="1"/>
  <c r="F5" i="32" s="1"/>
  <c r="H9" i="7"/>
  <c r="O10" i="7"/>
  <c r="F5" i="7"/>
  <c r="F5" i="25" s="1"/>
  <c r="D10" i="7"/>
  <c r="Q5" i="7"/>
  <c r="AK10" i="7"/>
  <c r="AK10" i="25" s="1"/>
  <c r="AB7" i="32" s="1"/>
  <c r="E5" i="7"/>
  <c r="L10" i="7"/>
  <c r="U8" i="7"/>
  <c r="U8" i="25" s="1"/>
  <c r="L5" i="32" s="1"/>
  <c r="AJ8" i="7"/>
  <c r="Z10" i="7"/>
  <c r="L9" i="7"/>
  <c r="AE7" i="7"/>
  <c r="U6" i="7"/>
  <c r="AN9" i="7"/>
  <c r="AC7" i="7"/>
  <c r="S8" i="7"/>
  <c r="S8" i="25" s="1"/>
  <c r="J5" i="32" s="1"/>
  <c r="AE9" i="7"/>
  <c r="AR8" i="7"/>
  <c r="N10" i="7"/>
  <c r="N10" i="25" s="1"/>
  <c r="E7" i="32" s="1"/>
  <c r="R10" i="7"/>
  <c r="R10" i="25" s="1"/>
  <c r="I7" i="32" s="1"/>
  <c r="T8" i="7"/>
  <c r="G5" i="7"/>
  <c r="X7" i="7"/>
  <c r="AR6" i="7"/>
  <c r="K6" i="7"/>
  <c r="AO5" i="7"/>
  <c r="AO5" i="25" s="1"/>
  <c r="AF2" i="32" s="1"/>
  <c r="AJ7" i="7"/>
  <c r="AJ7" i="25" s="1"/>
  <c r="AA4" i="32" s="1"/>
  <c r="AL8" i="7"/>
  <c r="AI9" i="7"/>
  <c r="AI9" i="25" s="1"/>
  <c r="Z6" i="32" s="1"/>
  <c r="G10" i="7"/>
  <c r="G10" i="25" s="1"/>
  <c r="AO7" i="7"/>
  <c r="Y5" i="7"/>
  <c r="Y5" i="25" s="1"/>
  <c r="P2" i="32" s="1"/>
  <c r="AE5" i="7"/>
  <c r="P9" i="7"/>
  <c r="AB9" i="7"/>
  <c r="AB9" i="25" s="1"/>
  <c r="S6" i="32" s="1"/>
  <c r="Q9" i="7"/>
  <c r="Q9" i="25" s="1"/>
  <c r="H6" i="32" s="1"/>
  <c r="R7" i="7"/>
  <c r="R7" i="25" s="1"/>
  <c r="I4" i="32" s="1"/>
  <c r="AC6" i="7"/>
  <c r="AC6" i="25" s="1"/>
  <c r="T3" i="32" s="1"/>
  <c r="U10" i="7"/>
  <c r="U10" i="25" s="1"/>
  <c r="L7" i="32" s="1"/>
  <c r="Y8" i="7"/>
  <c r="Y8" i="25" s="1"/>
  <c r="P5" i="32" s="1"/>
  <c r="AL9" i="7"/>
  <c r="AL9" i="25" s="1"/>
  <c r="AC6" i="32" s="1"/>
  <c r="AK9" i="7"/>
  <c r="J10" i="7"/>
  <c r="Z8" i="7"/>
  <c r="Z8" i="25" s="1"/>
  <c r="Q5" i="32" s="1"/>
  <c r="AF6" i="7"/>
  <c r="X5" i="7"/>
  <c r="K5" i="7"/>
  <c r="K5" i="25" s="1"/>
  <c r="B2" i="32" s="1"/>
  <c r="AJ9" i="7"/>
  <c r="W5" i="7"/>
  <c r="N5" i="7"/>
  <c r="N5" i="25" s="1"/>
  <c r="E2" i="32" s="1"/>
  <c r="AN10" i="7"/>
  <c r="AC9" i="7"/>
  <c r="G6" i="7"/>
  <c r="G6" i="25" s="1"/>
  <c r="AF10" i="7"/>
  <c r="Z6" i="7"/>
  <c r="L5" i="7"/>
  <c r="L5" i="25" s="1"/>
  <c r="C2" i="32" s="1"/>
  <c r="AT7" i="7"/>
  <c r="AT7" i="25" s="1"/>
  <c r="AK4" i="32" s="1"/>
  <c r="F7" i="7"/>
  <c r="AP10" i="7"/>
  <c r="AP10" i="25" s="1"/>
  <c r="AG7" i="32" s="1"/>
  <c r="D9" i="7"/>
  <c r="W10" i="7"/>
  <c r="W10" i="25" s="1"/>
  <c r="N7" i="32" s="1"/>
  <c r="K10" i="7"/>
  <c r="K10" i="25" s="1"/>
  <c r="B7" i="32" s="1"/>
  <c r="AB5" i="7"/>
  <c r="AB5" i="25" s="1"/>
  <c r="S2" i="32" s="1"/>
  <c r="D17" i="7"/>
  <c r="D17" i="25" s="1"/>
  <c r="AM15" i="7"/>
  <c r="AM15" i="25" s="1"/>
  <c r="AD3" i="33" s="1"/>
  <c r="X16" i="7"/>
  <c r="X16" i="25" s="1"/>
  <c r="O4" i="33" s="1"/>
  <c r="AI14" i="7"/>
  <c r="AI14" i="25" s="1"/>
  <c r="Z2" i="33" s="1"/>
  <c r="AT19" i="7"/>
  <c r="AT19" i="25" s="1"/>
  <c r="AK7" i="33" s="1"/>
  <c r="Q19" i="7"/>
  <c r="Q19" i="25" s="1"/>
  <c r="H7" i="33" s="1"/>
  <c r="J17" i="7"/>
  <c r="J17" i="25" s="1"/>
  <c r="AH19" i="7"/>
  <c r="AH19" i="25" s="1"/>
  <c r="Y7" i="33" s="1"/>
  <c r="AK16" i="7"/>
  <c r="AK16" i="25" s="1"/>
  <c r="AB4" i="33" s="1"/>
  <c r="N15" i="7"/>
  <c r="N15" i="25" s="1"/>
  <c r="E3" i="33" s="1"/>
  <c r="AN16" i="7"/>
  <c r="AN16" i="25" s="1"/>
  <c r="AE4" i="33" s="1"/>
  <c r="X17" i="7"/>
  <c r="X17" i="25" s="1"/>
  <c r="O5" i="33" s="1"/>
  <c r="X18" i="7"/>
  <c r="X18" i="25" s="1"/>
  <c r="O6" i="33" s="1"/>
  <c r="L19" i="7"/>
  <c r="L19" i="25" s="1"/>
  <c r="C7" i="33" s="1"/>
  <c r="M16" i="7"/>
  <c r="M16" i="25" s="1"/>
  <c r="D4" i="33" s="1"/>
  <c r="AK14" i="7"/>
  <c r="AK14" i="25" s="1"/>
  <c r="AB2" i="33" s="1"/>
  <c r="P19" i="7"/>
  <c r="P19" i="25" s="1"/>
  <c r="G7" i="33" s="1"/>
  <c r="AO18" i="7"/>
  <c r="AO18" i="25" s="1"/>
  <c r="AF6" i="33" s="1"/>
  <c r="R14" i="7"/>
  <c r="R14" i="25" s="1"/>
  <c r="I2" i="33" s="1"/>
  <c r="AG17" i="7"/>
  <c r="AG17" i="25" s="1"/>
  <c r="X5" i="33" s="1"/>
  <c r="AH16" i="7"/>
  <c r="AH16" i="25" s="1"/>
  <c r="Y4" i="33" s="1"/>
  <c r="AK19" i="7"/>
  <c r="AK19" i="25" s="1"/>
  <c r="AB7" i="33" s="1"/>
  <c r="I17" i="7"/>
  <c r="I17" i="25" s="1"/>
  <c r="N19" i="7"/>
  <c r="N19" i="25" s="1"/>
  <c r="E7" i="33" s="1"/>
  <c r="F15" i="7"/>
  <c r="F15" i="25" s="1"/>
  <c r="AH17" i="7"/>
  <c r="AH17" i="25" s="1"/>
  <c r="Y5" i="33" s="1"/>
  <c r="W18" i="7"/>
  <c r="W18" i="25" s="1"/>
  <c r="N6" i="33" s="1"/>
  <c r="C17" i="7"/>
  <c r="C17" i="25" s="1"/>
  <c r="I19" i="7"/>
  <c r="I19" i="25" s="1"/>
  <c r="G16" i="7"/>
  <c r="G16" i="25" s="1"/>
  <c r="N14" i="7"/>
  <c r="N14" i="25" s="1"/>
  <c r="E2" i="33" s="1"/>
  <c r="AB18" i="7"/>
  <c r="AB18" i="25" s="1"/>
  <c r="S6" i="33" s="1"/>
  <c r="R19" i="7"/>
  <c r="R19" i="25" s="1"/>
  <c r="I7" i="33" s="1"/>
  <c r="Y16" i="7"/>
  <c r="Y16" i="25" s="1"/>
  <c r="P4" i="33" s="1"/>
  <c r="AL16" i="7"/>
  <c r="AL16" i="25" s="1"/>
  <c r="AC4" i="33" s="1"/>
  <c r="AL15" i="7"/>
  <c r="AL15" i="25" s="1"/>
  <c r="AC3" i="33" s="1"/>
  <c r="AR17" i="7"/>
  <c r="AR17" i="25" s="1"/>
  <c r="AI5" i="33" s="1"/>
  <c r="W19" i="7"/>
  <c r="W19" i="25" s="1"/>
  <c r="N7" i="33" s="1"/>
  <c r="AB16" i="7"/>
  <c r="AB16" i="25" s="1"/>
  <c r="S4" i="33" s="1"/>
  <c r="Y14" i="7"/>
  <c r="Y14" i="25" s="1"/>
  <c r="P2" i="33" s="1"/>
  <c r="E17" i="7"/>
  <c r="E17" i="25" s="1"/>
  <c r="J18" i="7"/>
  <c r="J18" i="25" s="1"/>
  <c r="M14" i="7"/>
  <c r="M14" i="25" s="1"/>
  <c r="D2" i="33" s="1"/>
  <c r="O16" i="7"/>
  <c r="O16" i="25" s="1"/>
  <c r="F4" i="33" s="1"/>
  <c r="AE15" i="7"/>
  <c r="AE15" i="25" s="1"/>
  <c r="V3" i="33" s="1"/>
  <c r="N16" i="7"/>
  <c r="N16" i="25" s="1"/>
  <c r="E4" i="33" s="1"/>
  <c r="AP18" i="7"/>
  <c r="AP18" i="25" s="1"/>
  <c r="AG6" i="33" s="1"/>
  <c r="AK17" i="7"/>
  <c r="AK17" i="25" s="1"/>
  <c r="AB5" i="33" s="1"/>
  <c r="AM17" i="7"/>
  <c r="AM17" i="25" s="1"/>
  <c r="AD5" i="33" s="1"/>
  <c r="AB17" i="7"/>
  <c r="AB17" i="25" s="1"/>
  <c r="S5" i="33" s="1"/>
  <c r="Y17" i="7"/>
  <c r="Y17" i="25" s="1"/>
  <c r="P5" i="33" s="1"/>
  <c r="L15" i="7"/>
  <c r="L15" i="25" s="1"/>
  <c r="C3" i="33" s="1"/>
  <c r="O18" i="7"/>
  <c r="O18" i="25" s="1"/>
  <c r="F6" i="33" s="1"/>
  <c r="AE14" i="7"/>
  <c r="AE14" i="25" s="1"/>
  <c r="V2" i="33" s="1"/>
  <c r="AM18" i="7"/>
  <c r="AM18" i="25" s="1"/>
  <c r="AD6" i="33" s="1"/>
  <c r="C18" i="7"/>
  <c r="C18" i="25" s="1"/>
  <c r="AQ16" i="7"/>
  <c r="AQ16" i="25" s="1"/>
  <c r="AH4" i="33" s="1"/>
  <c r="N18" i="7"/>
  <c r="N18" i="25" s="1"/>
  <c r="E6" i="33" s="1"/>
  <c r="P16" i="7"/>
  <c r="P16" i="25" s="1"/>
  <c r="G4" i="33" s="1"/>
  <c r="AC19" i="7"/>
  <c r="AC19" i="25" s="1"/>
  <c r="T7" i="33" s="1"/>
  <c r="AQ14" i="7"/>
  <c r="AQ14" i="25" s="1"/>
  <c r="AH2" i="33" s="1"/>
  <c r="Q17" i="7"/>
  <c r="Q17" i="25" s="1"/>
  <c r="H5" i="33" s="1"/>
  <c r="G15" i="7"/>
  <c r="G15" i="25" s="1"/>
  <c r="U16" i="7"/>
  <c r="U16" i="25" s="1"/>
  <c r="L4" i="33" s="1"/>
  <c r="AD18" i="7"/>
  <c r="AD18" i="25" s="1"/>
  <c r="U6" i="33" s="1"/>
  <c r="U17" i="7"/>
  <c r="U17" i="25" s="1"/>
  <c r="L5" i="33" s="1"/>
  <c r="AR15" i="7"/>
  <c r="AR15" i="25" s="1"/>
  <c r="AI3" i="33" s="1"/>
  <c r="AQ15" i="7"/>
  <c r="AQ15" i="25" s="1"/>
  <c r="AH3" i="33" s="1"/>
  <c r="K16" i="7"/>
  <c r="K16" i="25" s="1"/>
  <c r="B4" i="33" s="1"/>
  <c r="AB19" i="7"/>
  <c r="AB19" i="25" s="1"/>
  <c r="S7" i="33" s="1"/>
  <c r="G14" i="7"/>
  <c r="G14" i="25" s="1"/>
  <c r="AT17" i="7"/>
  <c r="AT17" i="25" s="1"/>
  <c r="AK5" i="33" s="1"/>
  <c r="T16" i="7"/>
  <c r="T16" i="25" s="1"/>
  <c r="K4" i="33" s="1"/>
  <c r="R16" i="7"/>
  <c r="R16" i="25" s="1"/>
  <c r="I4" i="33" s="1"/>
  <c r="AF15" i="7"/>
  <c r="AF15" i="25" s="1"/>
  <c r="W3" i="33" s="1"/>
  <c r="AS17" i="7"/>
  <c r="AS17" i="25" s="1"/>
  <c r="AJ5" i="33" s="1"/>
  <c r="AJ16" i="7"/>
  <c r="AJ16" i="25" s="1"/>
  <c r="AA4" i="33" s="1"/>
  <c r="AJ17" i="7"/>
  <c r="AJ17" i="25" s="1"/>
  <c r="AA5" i="33" s="1"/>
  <c r="T17" i="7"/>
  <c r="T17" i="25" s="1"/>
  <c r="K5" i="33" s="1"/>
  <c r="AA14" i="7"/>
  <c r="AA14" i="25" s="1"/>
  <c r="R2" i="33" s="1"/>
  <c r="AD16" i="7"/>
  <c r="AD16" i="25" s="1"/>
  <c r="U4" i="33" s="1"/>
  <c r="J19" i="7"/>
  <c r="J19" i="25" s="1"/>
  <c r="Z19" i="7"/>
  <c r="Z19" i="25" s="1"/>
  <c r="Q7" i="33" s="1"/>
  <c r="AP15" i="7"/>
  <c r="AP15" i="25" s="1"/>
  <c r="AG3" i="33" s="1"/>
  <c r="C16" i="7"/>
  <c r="C16" i="25" s="1"/>
  <c r="AK15" i="7"/>
  <c r="AK15" i="25" s="1"/>
  <c r="AB3" i="33" s="1"/>
  <c r="O15" i="7"/>
  <c r="O15" i="25" s="1"/>
  <c r="F3" i="33" s="1"/>
  <c r="AN14" i="7"/>
  <c r="AN14" i="25" s="1"/>
  <c r="AE2" i="33" s="1"/>
  <c r="AF17" i="7"/>
  <c r="AF17" i="25" s="1"/>
  <c r="W5" i="33" s="1"/>
  <c r="AU16" i="7"/>
  <c r="AU16" i="25" s="1"/>
  <c r="AL4" i="33" s="1"/>
  <c r="P18" i="7"/>
  <c r="P18" i="25" s="1"/>
  <c r="G6" i="33" s="1"/>
  <c r="AD15" i="7"/>
  <c r="AD15" i="25" s="1"/>
  <c r="U3" i="33" s="1"/>
  <c r="AT14" i="7"/>
  <c r="AT14" i="25" s="1"/>
  <c r="AK2" i="33" s="1"/>
  <c r="R17" i="7"/>
  <c r="R17" i="25" s="1"/>
  <c r="I5" i="33" s="1"/>
  <c r="AJ18" i="7"/>
  <c r="AJ18" i="25" s="1"/>
  <c r="AA6" i="33" s="1"/>
  <c r="V15" i="7"/>
  <c r="V15" i="25" s="1"/>
  <c r="M3" i="33" s="1"/>
  <c r="AG19" i="7"/>
  <c r="AG19" i="25" s="1"/>
  <c r="X7" i="33" s="1"/>
  <c r="Y19" i="7"/>
  <c r="Y19" i="25" s="1"/>
  <c r="P7" i="33" s="1"/>
  <c r="AF14" i="7"/>
  <c r="AF14" i="25" s="1"/>
  <c r="W2" i="33" s="1"/>
  <c r="AI18" i="7"/>
  <c r="AI18" i="25" s="1"/>
  <c r="Z6" i="33" s="1"/>
  <c r="G19" i="7"/>
  <c r="G19" i="25" s="1"/>
  <c r="AF18" i="7"/>
  <c r="AF18" i="25" s="1"/>
  <c r="W6" i="33" s="1"/>
  <c r="L14" i="7"/>
  <c r="L14" i="25" s="1"/>
  <c r="C2" i="33" s="1"/>
  <c r="D15" i="7"/>
  <c r="D15" i="25" s="1"/>
  <c r="D19" i="7"/>
  <c r="D19" i="25" s="1"/>
  <c r="AC16" i="7"/>
  <c r="AC16" i="25" s="1"/>
  <c r="T4" i="33" s="1"/>
  <c r="AM14" i="7"/>
  <c r="AM14" i="25" s="1"/>
  <c r="AD2" i="33" s="1"/>
  <c r="AE17" i="7"/>
  <c r="AE17" i="25" s="1"/>
  <c r="V5" i="33" s="1"/>
  <c r="AR18" i="7"/>
  <c r="AR18" i="25" s="1"/>
  <c r="AI6" i="33" s="1"/>
  <c r="AQ18" i="7"/>
  <c r="AQ18" i="25" s="1"/>
  <c r="AH6" i="33" s="1"/>
  <c r="AC18" i="7"/>
  <c r="AC18" i="25" s="1"/>
  <c r="T6" i="33" s="1"/>
  <c r="M19" i="7"/>
  <c r="M19" i="25" s="1"/>
  <c r="D7" i="33" s="1"/>
  <c r="L17" i="7"/>
  <c r="L17" i="25" s="1"/>
  <c r="C5" i="33" s="1"/>
  <c r="AS18" i="7"/>
  <c r="AS18" i="25" s="1"/>
  <c r="AJ6" i="33" s="1"/>
  <c r="U18" i="7"/>
  <c r="U18" i="25" s="1"/>
  <c r="L6" i="33" s="1"/>
  <c r="W16" i="7"/>
  <c r="W16" i="25" s="1"/>
  <c r="N4" i="33" s="1"/>
  <c r="F19" i="7"/>
  <c r="F19" i="25" s="1"/>
  <c r="E14" i="7"/>
  <c r="E14" i="25" s="1"/>
  <c r="K19" i="7"/>
  <c r="K19" i="25" s="1"/>
  <c r="B7" i="33" s="1"/>
  <c r="K15" i="7"/>
  <c r="K15" i="25" s="1"/>
  <c r="B3" i="33" s="1"/>
  <c r="AU14" i="7"/>
  <c r="AU14" i="25" s="1"/>
  <c r="AL2" i="33" s="1"/>
  <c r="S16" i="7"/>
  <c r="S16" i="25" s="1"/>
  <c r="J4" i="33" s="1"/>
  <c r="V17" i="7"/>
  <c r="V17" i="25" s="1"/>
  <c r="M5" i="33" s="1"/>
  <c r="AQ17" i="7"/>
  <c r="AQ17" i="25" s="1"/>
  <c r="AH5" i="33" s="1"/>
  <c r="AP16" i="7"/>
  <c r="AP16" i="25" s="1"/>
  <c r="AG4" i="33" s="1"/>
  <c r="I14" i="7"/>
  <c r="I14" i="25" s="1"/>
  <c r="F16" i="7"/>
  <c r="F16" i="25" s="1"/>
  <c r="AS15" i="7"/>
  <c r="AS15" i="25" s="1"/>
  <c r="AJ3" i="33" s="1"/>
  <c r="AO15" i="7"/>
  <c r="AO15" i="25" s="1"/>
  <c r="AF3" i="33" s="1"/>
  <c r="AL18" i="7"/>
  <c r="AL18" i="25" s="1"/>
  <c r="AC6" i="33" s="1"/>
  <c r="AA15" i="7"/>
  <c r="AA15" i="25" s="1"/>
  <c r="R3" i="33" s="1"/>
  <c r="X14" i="7"/>
  <c r="X14" i="25" s="1"/>
  <c r="O2" i="33" s="1"/>
  <c r="AN15" i="7"/>
  <c r="AN15" i="25" s="1"/>
  <c r="AE3" i="33" s="1"/>
  <c r="AO19" i="7"/>
  <c r="AO19" i="25" s="1"/>
  <c r="AF7" i="33" s="1"/>
  <c r="AP14" i="7"/>
  <c r="AP14" i="25" s="1"/>
  <c r="AG2" i="33" s="1"/>
  <c r="M18" i="7"/>
  <c r="M18" i="25" s="1"/>
  <c r="D6" i="33" s="1"/>
  <c r="E15" i="7"/>
  <c r="E15" i="25" s="1"/>
  <c r="C19" i="7"/>
  <c r="C19" i="25" s="1"/>
  <c r="AJ19" i="7"/>
  <c r="AJ19" i="25" s="1"/>
  <c r="AA7" i="33" s="1"/>
  <c r="AS16" i="7"/>
  <c r="AS16" i="25" s="1"/>
  <c r="AJ4" i="33" s="1"/>
  <c r="Z18" i="7"/>
  <c r="Z18" i="25" s="1"/>
  <c r="Q6" i="33" s="1"/>
  <c r="K17" i="7"/>
  <c r="K17" i="25" s="1"/>
  <c r="B5" i="33" s="1"/>
  <c r="E19" i="7"/>
  <c r="E19" i="25" s="1"/>
  <c r="N17" i="7"/>
  <c r="N17" i="25" s="1"/>
  <c r="E5" i="33" s="1"/>
  <c r="AP17" i="7"/>
  <c r="AP17" i="25" s="1"/>
  <c r="AG5" i="33" s="1"/>
  <c r="AU15" i="7"/>
  <c r="AU15" i="25" s="1"/>
  <c r="AL3" i="33" s="1"/>
  <c r="V18" i="7"/>
  <c r="V18" i="25" s="1"/>
  <c r="M6" i="33" s="1"/>
  <c r="I16" i="7"/>
  <c r="I16" i="25" s="1"/>
  <c r="AF16" i="7"/>
  <c r="AF16" i="25" s="1"/>
  <c r="W4" i="33" s="1"/>
  <c r="AC15" i="7"/>
  <c r="AC15" i="25" s="1"/>
  <c r="T3" i="33" s="1"/>
  <c r="D14" i="7"/>
  <c r="D14" i="25" s="1"/>
  <c r="X15" i="7"/>
  <c r="X15" i="25" s="1"/>
  <c r="O3" i="33" s="1"/>
  <c r="U14" i="7"/>
  <c r="U14" i="25" s="1"/>
  <c r="L2" i="33" s="1"/>
  <c r="AP19" i="7"/>
  <c r="AP19" i="25" s="1"/>
  <c r="AG7" i="33" s="1"/>
  <c r="AE16" i="7"/>
  <c r="AE16" i="25" s="1"/>
  <c r="V4" i="33" s="1"/>
  <c r="C14" i="7"/>
  <c r="C14" i="25" s="1"/>
  <c r="AL17" i="7"/>
  <c r="AL17" i="25" s="1"/>
  <c r="AC5" i="33" s="1"/>
  <c r="S17" i="7"/>
  <c r="S17" i="25" s="1"/>
  <c r="J5" i="33" s="1"/>
  <c r="AD19" i="7"/>
  <c r="AD19" i="25" s="1"/>
  <c r="U7" i="33" s="1"/>
  <c r="AA19" i="7"/>
  <c r="AA19" i="25" s="1"/>
  <c r="R7" i="33" s="1"/>
  <c r="E18" i="7"/>
  <c r="E18" i="25" s="1"/>
  <c r="V19" i="7"/>
  <c r="V19" i="25" s="1"/>
  <c r="M7" i="33" s="1"/>
  <c r="AQ19" i="7"/>
  <c r="AQ19" i="25" s="1"/>
  <c r="AH7" i="33" s="1"/>
  <c r="J15" i="7"/>
  <c r="J15" i="25" s="1"/>
  <c r="AM19" i="7"/>
  <c r="AM19" i="25" s="1"/>
  <c r="AD7" i="33" s="1"/>
  <c r="T14" i="7"/>
  <c r="T14" i="25" s="1"/>
  <c r="K2" i="33" s="1"/>
  <c r="AC14" i="7"/>
  <c r="AC14" i="25" s="1"/>
  <c r="T2" i="33" s="1"/>
  <c r="AI19" i="7"/>
  <c r="AI19" i="25" s="1"/>
  <c r="Z7" i="33" s="1"/>
  <c r="W14" i="7"/>
  <c r="W14" i="25" s="1"/>
  <c r="N2" i="33" s="1"/>
  <c r="AI16" i="7"/>
  <c r="AI16" i="25" s="1"/>
  <c r="Z4" i="33" s="1"/>
  <c r="T19" i="7"/>
  <c r="T19" i="25" s="1"/>
  <c r="K7" i="33" s="1"/>
  <c r="P14" i="7"/>
  <c r="P14" i="25" s="1"/>
  <c r="G2" i="33" s="1"/>
  <c r="Z15" i="7"/>
  <c r="Z15" i="25" s="1"/>
  <c r="Q3" i="33" s="1"/>
  <c r="AC17" i="7"/>
  <c r="AC17" i="25" s="1"/>
  <c r="T5" i="33" s="1"/>
  <c r="AN17" i="7"/>
  <c r="AN17" i="25" s="1"/>
  <c r="AE5" i="33" s="1"/>
  <c r="U15" i="7"/>
  <c r="U15" i="25" s="1"/>
  <c r="L3" i="33" s="1"/>
  <c r="S15" i="7"/>
  <c r="S15" i="25" s="1"/>
  <c r="J3" i="33" s="1"/>
  <c r="AR14" i="7"/>
  <c r="AR14" i="25" s="1"/>
  <c r="AI2" i="33" s="1"/>
  <c r="AJ14" i="7"/>
  <c r="AJ14" i="25" s="1"/>
  <c r="AA2" i="33" s="1"/>
  <c r="Q16" i="7"/>
  <c r="Q16" i="25" s="1"/>
  <c r="H4" i="33" s="1"/>
  <c r="AB15" i="7"/>
  <c r="AB15" i="25" s="1"/>
  <c r="S3" i="33" s="1"/>
  <c r="AT18" i="7"/>
  <c r="AT18" i="25" s="1"/>
  <c r="AK6" i="33" s="1"/>
  <c r="H16" i="7"/>
  <c r="H16" i="25" s="1"/>
  <c r="AA18" i="7"/>
  <c r="AA18" i="25" s="1"/>
  <c r="R6" i="33" s="1"/>
  <c r="AR16" i="7"/>
  <c r="AR16" i="25" s="1"/>
  <c r="AI4" i="33" s="1"/>
  <c r="Q15" i="7"/>
  <c r="Q15" i="25" s="1"/>
  <c r="H3" i="33" s="1"/>
  <c r="H14" i="7"/>
  <c r="H14" i="25" s="1"/>
  <c r="W17" i="7"/>
  <c r="W17" i="25" s="1"/>
  <c r="N5" i="33" s="1"/>
  <c r="U19" i="7"/>
  <c r="U19" i="25" s="1"/>
  <c r="L7" i="33" s="1"/>
  <c r="AI17" i="7"/>
  <c r="AI17" i="25" s="1"/>
  <c r="Z5" i="33" s="1"/>
  <c r="AE18" i="7"/>
  <c r="AE18" i="25" s="1"/>
  <c r="V6" i="33" s="1"/>
  <c r="R15" i="7"/>
  <c r="R15" i="25" s="1"/>
  <c r="I3" i="33" s="1"/>
  <c r="H15" i="7"/>
  <c r="H15" i="25" s="1"/>
  <c r="D16" i="7"/>
  <c r="D16" i="25" s="1"/>
  <c r="W15" i="7"/>
  <c r="W15" i="25" s="1"/>
  <c r="N3" i="33" s="1"/>
  <c r="P15" i="7"/>
  <c r="P15" i="25" s="1"/>
  <c r="G3" i="33" s="1"/>
  <c r="AA17" i="7"/>
  <c r="AA17" i="25" s="1"/>
  <c r="R5" i="33" s="1"/>
  <c r="O17" i="7"/>
  <c r="O17" i="25" s="1"/>
  <c r="F5" i="33" s="1"/>
  <c r="K14" i="7"/>
  <c r="K14" i="25" s="1"/>
  <c r="B2" i="33" s="1"/>
  <c r="AK18" i="7"/>
  <c r="AK18" i="25" s="1"/>
  <c r="AB6" i="33" s="1"/>
  <c r="S19" i="7"/>
  <c r="S19" i="25" s="1"/>
  <c r="J7" i="33" s="1"/>
  <c r="J16" i="7"/>
  <c r="J16" i="25" s="1"/>
  <c r="AG14" i="7"/>
  <c r="AG14" i="25" s="1"/>
  <c r="X2" i="33" s="1"/>
  <c r="F14" i="7"/>
  <c r="F14" i="25" s="1"/>
  <c r="I18" i="7"/>
  <c r="I18" i="25" s="1"/>
  <c r="X19" i="7"/>
  <c r="X19" i="25" s="1"/>
  <c r="O7" i="33" s="1"/>
  <c r="J14" i="7"/>
  <c r="J14" i="25" s="1"/>
  <c r="AO14" i="7"/>
  <c r="AO14" i="25" s="1"/>
  <c r="AF2" i="33" s="1"/>
  <c r="M17" i="7"/>
  <c r="M17" i="25" s="1"/>
  <c r="D5" i="33" s="1"/>
  <c r="T18" i="7"/>
  <c r="T18" i="25" s="1"/>
  <c r="K6" i="33" s="1"/>
  <c r="AN18" i="7"/>
  <c r="AN18" i="25" s="1"/>
  <c r="AE6" i="33" s="1"/>
  <c r="Y18" i="7"/>
  <c r="Y18" i="25" s="1"/>
  <c r="P6" i="33" s="1"/>
  <c r="AL14" i="7"/>
  <c r="AL14" i="25" s="1"/>
  <c r="AC2" i="33" s="1"/>
  <c r="V14" i="7"/>
  <c r="V14" i="25" s="1"/>
  <c r="M2" i="33" s="1"/>
  <c r="AU17" i="7"/>
  <c r="AU17" i="25" s="1"/>
  <c r="AL5" i="33" s="1"/>
  <c r="T15" i="7"/>
  <c r="T15" i="25" s="1"/>
  <c r="K3" i="33" s="1"/>
  <c r="AH14" i="7"/>
  <c r="AH14" i="25" s="1"/>
  <c r="Y2" i="33" s="1"/>
  <c r="G17" i="7"/>
  <c r="G17" i="25" s="1"/>
  <c r="R18" i="7"/>
  <c r="R18" i="25" s="1"/>
  <c r="I6" i="33" s="1"/>
  <c r="O19" i="7"/>
  <c r="O19" i="25" s="1"/>
  <c r="F7" i="33" s="1"/>
  <c r="Y15" i="7"/>
  <c r="Y15" i="25" s="1"/>
  <c r="P3" i="33" s="1"/>
  <c r="AH15" i="7"/>
  <c r="AH15" i="25" s="1"/>
  <c r="Y3" i="33" s="1"/>
  <c r="AN19" i="7"/>
  <c r="AN19" i="25" s="1"/>
  <c r="AE7" i="33" s="1"/>
  <c r="AM16" i="7"/>
  <c r="AM16" i="25" s="1"/>
  <c r="AD4" i="33" s="1"/>
  <c r="AS14" i="7"/>
  <c r="AS14" i="25" s="1"/>
  <c r="AJ2" i="33" s="1"/>
  <c r="AA16" i="7"/>
  <c r="AA16" i="25" s="1"/>
  <c r="R4" i="33" s="1"/>
  <c r="O14" i="7"/>
  <c r="O14" i="25" s="1"/>
  <c r="F2" i="33" s="1"/>
  <c r="AU18" i="7"/>
  <c r="AU18" i="25" s="1"/>
  <c r="AL6" i="33" s="1"/>
  <c r="H17" i="7"/>
  <c r="H17" i="25" s="1"/>
  <c r="AG16" i="7"/>
  <c r="AG16" i="25" s="1"/>
  <c r="X4" i="33" s="1"/>
  <c r="AJ15" i="7"/>
  <c r="AJ15" i="25" s="1"/>
  <c r="AA3" i="33" s="1"/>
  <c r="F18" i="7"/>
  <c r="F18" i="25" s="1"/>
  <c r="AO16" i="7"/>
  <c r="AO16" i="25" s="1"/>
  <c r="AF4" i="33" s="1"/>
  <c r="M15" i="7"/>
  <c r="M15" i="25" s="1"/>
  <c r="D3" i="33" s="1"/>
  <c r="AB14" i="7"/>
  <c r="AB14" i="25" s="1"/>
  <c r="S2" i="33" s="1"/>
  <c r="L16" i="7"/>
  <c r="L16" i="25" s="1"/>
  <c r="C4" i="33" s="1"/>
  <c r="P17" i="7"/>
  <c r="P17" i="25" s="1"/>
  <c r="G5" i="33" s="1"/>
  <c r="H19" i="7"/>
  <c r="H19" i="25" s="1"/>
  <c r="AD14" i="7"/>
  <c r="AD14" i="25" s="1"/>
  <c r="U2" i="33" s="1"/>
  <c r="AH18" i="7"/>
  <c r="AH18" i="25" s="1"/>
  <c r="Y6" i="33" s="1"/>
  <c r="Q14" i="7"/>
  <c r="Q14" i="25" s="1"/>
  <c r="H2" i="33" s="1"/>
  <c r="F17" i="7"/>
  <c r="F17" i="25" s="1"/>
  <c r="AD17" i="7"/>
  <c r="AD17" i="25" s="1"/>
  <c r="U5" i="33" s="1"/>
  <c r="AG15" i="7"/>
  <c r="AG15" i="25" s="1"/>
  <c r="X3" i="33" s="1"/>
  <c r="Q18" i="7"/>
  <c r="Q18" i="25" s="1"/>
  <c r="H6" i="33" s="1"/>
  <c r="AS19" i="7"/>
  <c r="AS19" i="25" s="1"/>
  <c r="AJ7" i="33" s="1"/>
  <c r="D18" i="7"/>
  <c r="D18" i="25" s="1"/>
  <c r="AL19" i="7"/>
  <c r="AL19" i="25" s="1"/>
  <c r="AC7" i="33" s="1"/>
  <c r="AR19" i="7"/>
  <c r="AR19" i="25" s="1"/>
  <c r="AI7" i="33" s="1"/>
  <c r="AT15" i="7"/>
  <c r="AT15" i="25" s="1"/>
  <c r="AK3" i="33" s="1"/>
  <c r="AU19" i="7"/>
  <c r="AU19" i="25" s="1"/>
  <c r="AL7" i="33" s="1"/>
  <c r="S14" i="7"/>
  <c r="S14" i="25" s="1"/>
  <c r="J2" i="33" s="1"/>
  <c r="I15" i="7"/>
  <c r="I15" i="25" s="1"/>
  <c r="C15" i="7"/>
  <c r="C15" i="25" s="1"/>
  <c r="AE19" i="7"/>
  <c r="AE19" i="25" s="1"/>
  <c r="V7" i="33" s="1"/>
  <c r="Z16" i="7"/>
  <c r="Z16" i="25" s="1"/>
  <c r="Q4" i="33" s="1"/>
  <c r="AG18" i="7"/>
  <c r="AG18" i="25" s="1"/>
  <c r="X6" i="33" s="1"/>
  <c r="S18" i="7"/>
  <c r="S18" i="25" s="1"/>
  <c r="J6" i="33" s="1"/>
  <c r="H18" i="7"/>
  <c r="H18" i="25" s="1"/>
  <c r="Z14" i="7"/>
  <c r="Z14" i="25" s="1"/>
  <c r="Q2" i="33" s="1"/>
  <c r="K18" i="7"/>
  <c r="K18" i="25" s="1"/>
  <c r="B6" i="33" s="1"/>
  <c r="Z17" i="7"/>
  <c r="Z17" i="25" s="1"/>
  <c r="Q5" i="33" s="1"/>
  <c r="E16" i="7"/>
  <c r="E16" i="25" s="1"/>
  <c r="AF19" i="7"/>
  <c r="AF19" i="25" s="1"/>
  <c r="W7" i="33" s="1"/>
  <c r="AO17" i="7"/>
  <c r="AO17" i="25" s="1"/>
  <c r="AF5" i="33" s="1"/>
  <c r="AI15" i="7"/>
  <c r="AI15" i="25" s="1"/>
  <c r="Z3" i="33" s="1"/>
  <c r="V16" i="7"/>
  <c r="V16" i="25" s="1"/>
  <c r="M4" i="33" s="1"/>
  <c r="G18" i="7"/>
  <c r="G18" i="25" s="1"/>
  <c r="AT16" i="7"/>
  <c r="AT16" i="25" s="1"/>
  <c r="AK4" i="33" s="1"/>
  <c r="L18" i="7"/>
  <c r="L18" i="25" s="1"/>
  <c r="C6" i="33" s="1"/>
  <c r="AU41" i="7"/>
  <c r="AU41" i="25" s="1"/>
  <c r="AL2" i="39" s="1"/>
  <c r="AH44" i="7"/>
  <c r="AH44" i="25" s="1"/>
  <c r="Y5" i="39" s="1"/>
  <c r="AD43" i="7"/>
  <c r="G46" i="7"/>
  <c r="Y46" i="7"/>
  <c r="Y46" i="25" s="1"/>
  <c r="P7" i="39" s="1"/>
  <c r="AC44" i="7"/>
  <c r="AC53" i="7" s="1"/>
  <c r="AQ44" i="7"/>
  <c r="I46" i="7"/>
  <c r="AE46" i="7"/>
  <c r="AE46" i="25" s="1"/>
  <c r="V7" i="39" s="1"/>
  <c r="S46" i="7"/>
  <c r="S46" i="25" s="1"/>
  <c r="J7" i="39" s="1"/>
  <c r="C41" i="7"/>
  <c r="Q46" i="7"/>
  <c r="AP46" i="7"/>
  <c r="R46" i="7"/>
  <c r="R46" i="25" s="1"/>
  <c r="I7" i="39" s="1"/>
  <c r="F45" i="7"/>
  <c r="AD41" i="7"/>
  <c r="AT41" i="7"/>
  <c r="AT41" i="25" s="1"/>
  <c r="AK2" i="39" s="1"/>
  <c r="P43" i="7"/>
  <c r="P43" i="25" s="1"/>
  <c r="G4" i="39" s="1"/>
  <c r="AL43" i="7"/>
  <c r="AL43" i="25" s="1"/>
  <c r="AC4" i="39" s="1"/>
  <c r="AT46" i="7"/>
  <c r="Z45" i="7"/>
  <c r="Z45" i="25" s="1"/>
  <c r="Q6" i="39" s="1"/>
  <c r="X43" i="7"/>
  <c r="X43" i="25" s="1"/>
  <c r="O4" i="39" s="1"/>
  <c r="D44" i="7"/>
  <c r="Y43" i="7"/>
  <c r="E41" i="7"/>
  <c r="E41" i="25" s="1"/>
  <c r="AF46" i="7"/>
  <c r="AF46" i="25" s="1"/>
  <c r="W7" i="39" s="1"/>
  <c r="T45" i="7"/>
  <c r="AG41" i="7"/>
  <c r="T41" i="7"/>
  <c r="Q45" i="7"/>
  <c r="Q45" i="25" s="1"/>
  <c r="H6" i="39" s="1"/>
  <c r="Q44" i="7"/>
  <c r="AH45" i="7"/>
  <c r="AG44" i="7"/>
  <c r="J46" i="7"/>
  <c r="J55" i="7" s="1"/>
  <c r="V45" i="7"/>
  <c r="V45" i="25" s="1"/>
  <c r="M6" i="39" s="1"/>
  <c r="AH43" i="7"/>
  <c r="AK46" i="7"/>
  <c r="G45" i="7"/>
  <c r="G45" i="25" s="1"/>
  <c r="P41" i="7"/>
  <c r="C42" i="7"/>
  <c r="C42" i="25" s="1"/>
  <c r="AK43" i="7"/>
  <c r="AB45" i="7"/>
  <c r="AB45" i="25" s="1"/>
  <c r="S6" i="39" s="1"/>
  <c r="Y42" i="7"/>
  <c r="X45" i="7"/>
  <c r="X45" i="25" s="1"/>
  <c r="O6" i="39" s="1"/>
  <c r="AT45" i="7"/>
  <c r="AT54" i="7" s="1"/>
  <c r="G42" i="7"/>
  <c r="G42" i="25" s="1"/>
  <c r="AQ42" i="7"/>
  <c r="AN45" i="7"/>
  <c r="AN45" i="25" s="1"/>
  <c r="AE6" i="39" s="1"/>
  <c r="S45" i="7"/>
  <c r="S45" i="25" s="1"/>
  <c r="J6" i="39" s="1"/>
  <c r="F43" i="7"/>
  <c r="F43" i="25" s="1"/>
  <c r="D41" i="7"/>
  <c r="D41" i="25" s="1"/>
  <c r="AO46" i="7"/>
  <c r="AM43" i="7"/>
  <c r="AM43" i="25" s="1"/>
  <c r="AD4" i="39" s="1"/>
  <c r="F41" i="7"/>
  <c r="F41" i="25" s="1"/>
  <c r="T44" i="7"/>
  <c r="AL42" i="7"/>
  <c r="L44" i="7"/>
  <c r="L44" i="25" s="1"/>
  <c r="C5" i="39" s="1"/>
  <c r="O46" i="7"/>
  <c r="O46" i="25" s="1"/>
  <c r="F7" i="39" s="1"/>
  <c r="O43" i="7"/>
  <c r="O43" i="25" s="1"/>
  <c r="F4" i="39" s="1"/>
  <c r="L42" i="7"/>
  <c r="AR44" i="7"/>
  <c r="AS45" i="7"/>
  <c r="AS45" i="25" s="1"/>
  <c r="AJ6" i="39" s="1"/>
  <c r="J42" i="7"/>
  <c r="U41" i="7"/>
  <c r="AL44" i="7"/>
  <c r="AL53" i="7" s="1"/>
  <c r="E44" i="7"/>
  <c r="E44" i="25" s="1"/>
  <c r="O45" i="7"/>
  <c r="AN44" i="7"/>
  <c r="AC10" i="7"/>
  <c r="AC10" i="25" s="1"/>
  <c r="T7" i="32" s="1"/>
  <c r="AI45" i="7"/>
  <c r="AI45" i="25" s="1"/>
  <c r="Z6" i="39" s="1"/>
  <c r="AI8" i="7"/>
  <c r="AI8" i="25" s="1"/>
  <c r="Z5" i="32" s="1"/>
  <c r="R8" i="7"/>
  <c r="R8" i="25" s="1"/>
  <c r="I5" i="32" s="1"/>
  <c r="E8" i="7"/>
  <c r="E8" i="25" s="1"/>
  <c r="S10" i="7"/>
  <c r="C10" i="7"/>
  <c r="Z9" i="7"/>
  <c r="Z9" i="25" s="1"/>
  <c r="Q6" i="32" s="1"/>
  <c r="AD8" i="7"/>
  <c r="AD8" i="25" s="1"/>
  <c r="U5" i="32" s="1"/>
  <c r="AE8" i="7"/>
  <c r="AE8" i="25" s="1"/>
  <c r="V5" i="32" s="1"/>
  <c r="AG8" i="7"/>
  <c r="AG8" i="25" s="1"/>
  <c r="X5" i="32" s="1"/>
  <c r="P5" i="7"/>
  <c r="V8" i="7"/>
  <c r="V8" i="25" s="1"/>
  <c r="M5" i="32" s="1"/>
  <c r="AG9" i="7"/>
  <c r="AG9" i="25" s="1"/>
  <c r="X6" i="32" s="1"/>
  <c r="AS5" i="7"/>
  <c r="AS5" i="25" s="1"/>
  <c r="AJ2" i="32" s="1"/>
  <c r="AR5" i="7"/>
  <c r="AR5" i="25" s="1"/>
  <c r="AI2" i="32" s="1"/>
  <c r="G7" i="7"/>
  <c r="G7" i="25" s="1"/>
  <c r="E9" i="7"/>
  <c r="E9" i="25" s="1"/>
  <c r="F10" i="7"/>
  <c r="F10" i="25" s="1"/>
  <c r="AR9" i="7"/>
  <c r="AR9" i="25" s="1"/>
  <c r="AI6" i="32" s="1"/>
  <c r="S6" i="7"/>
  <c r="S6" i="25" s="1"/>
  <c r="J3" i="32" s="1"/>
  <c r="R6" i="7"/>
  <c r="R6" i="25" s="1"/>
  <c r="I3" i="32" s="1"/>
  <c r="Z5" i="7"/>
  <c r="Z5" i="25" s="1"/>
  <c r="Q2" i="32" s="1"/>
  <c r="T5" i="7"/>
  <c r="T5" i="25" s="1"/>
  <c r="K2" i="32" s="1"/>
  <c r="AQ9" i="7"/>
  <c r="AQ9" i="25" s="1"/>
  <c r="AH6" i="32" s="1"/>
  <c r="AT5" i="7"/>
  <c r="AT5" i="25" s="1"/>
  <c r="AK2" i="32" s="1"/>
  <c r="AD9" i="7"/>
  <c r="AD9" i="25" s="1"/>
  <c r="U6" i="32" s="1"/>
  <c r="S9" i="7"/>
  <c r="S9" i="25" s="1"/>
  <c r="J6" i="32" s="1"/>
  <c r="AT10" i="7"/>
  <c r="AT10" i="25" s="1"/>
  <c r="AK7" i="32" s="1"/>
  <c r="AN6" i="7"/>
  <c r="AN6" i="25" s="1"/>
  <c r="AE3" i="32" s="1"/>
  <c r="AS10" i="7"/>
  <c r="AS10" i="25" s="1"/>
  <c r="AJ7" i="32" s="1"/>
  <c r="AC5" i="7"/>
  <c r="AC5" i="25" s="1"/>
  <c r="T2" i="32" s="1"/>
  <c r="AU9" i="7"/>
  <c r="AU9" i="25" s="1"/>
  <c r="AL6" i="32" s="1"/>
  <c r="AP6" i="7"/>
  <c r="AP6" i="25" s="1"/>
  <c r="AG3" i="32" s="1"/>
  <c r="AK7" i="7"/>
  <c r="AK7" i="25" s="1"/>
  <c r="AB4" i="32" s="1"/>
  <c r="AN8" i="7"/>
  <c r="AN8" i="25" s="1"/>
  <c r="AE5" i="32" s="1"/>
  <c r="N9" i="7"/>
  <c r="N9" i="25" s="1"/>
  <c r="E6" i="32" s="1"/>
  <c r="AP9" i="7"/>
  <c r="AP9" i="25" s="1"/>
  <c r="AG6" i="32" s="1"/>
  <c r="AG6" i="7"/>
  <c r="AG6" i="25" s="1"/>
  <c r="X3" i="32" s="1"/>
  <c r="U5" i="7"/>
  <c r="U5" i="25" s="1"/>
  <c r="L2" i="32" s="1"/>
  <c r="C6" i="7"/>
  <c r="C6" i="25" s="1"/>
  <c r="G9" i="7"/>
  <c r="G9" i="25" s="1"/>
  <c r="X8" i="7"/>
  <c r="X8" i="25" s="1"/>
  <c r="O5" i="32" s="1"/>
  <c r="Y7" i="7"/>
  <c r="Y7" i="25" s="1"/>
  <c r="P4" i="32" s="1"/>
  <c r="C5" i="7"/>
  <c r="C5" i="25" s="1"/>
  <c r="AS6" i="7"/>
  <c r="AS6" i="25" s="1"/>
  <c r="AJ3" i="32" s="1"/>
  <c r="AL10" i="7"/>
  <c r="AL10" i="25" s="1"/>
  <c r="AC7" i="32" s="1"/>
  <c r="AS8" i="7"/>
  <c r="AS8" i="25" s="1"/>
  <c r="AJ5" i="32" s="1"/>
  <c r="V10" i="7"/>
  <c r="V10" i="25" s="1"/>
  <c r="M7" i="32" s="1"/>
  <c r="AD7" i="7"/>
  <c r="AD7" i="25" s="1"/>
  <c r="U4" i="32" s="1"/>
  <c r="M7" i="7"/>
  <c r="M7" i="25" s="1"/>
  <c r="D4" i="32" s="1"/>
  <c r="U53" i="7"/>
  <c r="AN41" i="7"/>
  <c r="AN41" i="25" s="1"/>
  <c r="AE2" i="39" s="1"/>
  <c r="AD46" i="7"/>
  <c r="AD46" i="25" s="1"/>
  <c r="U7" i="39" s="1"/>
  <c r="AR42" i="7"/>
  <c r="AC43" i="7"/>
  <c r="AD44" i="7"/>
  <c r="AD44" i="25" s="1"/>
  <c r="U5" i="39" s="1"/>
  <c r="AU45" i="7"/>
  <c r="AU45" i="25" s="1"/>
  <c r="AL6" i="39" s="1"/>
  <c r="AJ45" i="7"/>
  <c r="I44" i="7"/>
  <c r="AI46" i="7"/>
  <c r="AI46" i="25" s="1"/>
  <c r="Z7" i="39" s="1"/>
  <c r="D46" i="7"/>
  <c r="D55" i="7" s="1"/>
  <c r="H42" i="7"/>
  <c r="D43" i="7"/>
  <c r="AT43" i="7"/>
  <c r="AT52" i="7" s="1"/>
  <c r="V43" i="7"/>
  <c r="V43" i="25" s="1"/>
  <c r="M4" i="39" s="1"/>
  <c r="AU43" i="7"/>
  <c r="AD42" i="7"/>
  <c r="AA41" i="7"/>
  <c r="E45" i="7"/>
  <c r="E45" i="25" s="1"/>
  <c r="H41" i="7"/>
  <c r="P45" i="7"/>
  <c r="AO44" i="7"/>
  <c r="AO53" i="7" s="1"/>
  <c r="M45" i="7"/>
  <c r="M45" i="25" s="1"/>
  <c r="D6" i="39" s="1"/>
  <c r="AP44" i="7"/>
  <c r="R44" i="7"/>
  <c r="E43" i="7"/>
  <c r="E43" i="25" s="1"/>
  <c r="Y41" i="7"/>
  <c r="Y41" i="25" s="1"/>
  <c r="P2" i="39" s="1"/>
  <c r="U43" i="7"/>
  <c r="Q41" i="7"/>
  <c r="AR41" i="7"/>
  <c r="R45" i="7"/>
  <c r="R45" i="25" s="1"/>
  <c r="I6" i="39" s="1"/>
  <c r="AE43" i="7"/>
  <c r="K44" i="7"/>
  <c r="E42" i="7"/>
  <c r="E42" i="25" s="1"/>
  <c r="O41" i="7"/>
  <c r="O41" i="25" s="1"/>
  <c r="F2" i="39" s="1"/>
  <c r="AF45" i="7"/>
  <c r="X44" i="7"/>
  <c r="AH41" i="7"/>
  <c r="AH50" i="7" s="1"/>
  <c r="H44" i="7"/>
  <c r="H53" i="7" s="1"/>
  <c r="V46" i="7"/>
  <c r="AI43" i="7"/>
  <c r="I42" i="7"/>
  <c r="I51" i="7" s="1"/>
  <c r="AE42" i="7"/>
  <c r="AE51" i="7" s="1"/>
  <c r="AP41" i="7"/>
  <c r="O42" i="7"/>
  <c r="AM41" i="7"/>
  <c r="AM41" i="25" s="1"/>
  <c r="AD2" i="39" s="1"/>
  <c r="AG43" i="7"/>
  <c r="AG43" i="25" s="1"/>
  <c r="X4" i="39" s="1"/>
  <c r="W41" i="7"/>
  <c r="E46" i="7"/>
  <c r="S43" i="7"/>
  <c r="S43" i="25" s="1"/>
  <c r="J4" i="39" s="1"/>
  <c r="I41" i="7"/>
  <c r="I41" i="25" s="1"/>
  <c r="AE41" i="7"/>
  <c r="N42" i="7"/>
  <c r="AS43" i="7"/>
  <c r="AS43" i="25" s="1"/>
  <c r="AJ4" i="39" s="1"/>
  <c r="X41" i="7"/>
  <c r="X41" i="25" s="1"/>
  <c r="O2" i="39" s="1"/>
  <c r="AB44" i="7"/>
  <c r="AB44" i="25" s="1"/>
  <c r="S5" i="39" s="1"/>
  <c r="AD45" i="7"/>
  <c r="L46" i="7"/>
  <c r="L46" i="25" s="1"/>
  <c r="C7" i="39" s="1"/>
  <c r="M41" i="7"/>
  <c r="M41" i="25" s="1"/>
  <c r="D2" i="39" s="1"/>
  <c r="D45" i="7"/>
  <c r="T43" i="7"/>
  <c r="AL46" i="7"/>
  <c r="AG42" i="7"/>
  <c r="AR45" i="7"/>
  <c r="AU42" i="7"/>
  <c r="AU46" i="7"/>
  <c r="AU46" i="25" s="1"/>
  <c r="AL7" i="39" s="1"/>
  <c r="AT42" i="7"/>
  <c r="AT42" i="25" s="1"/>
  <c r="AK3" i="39" s="1"/>
  <c r="AL41" i="7"/>
  <c r="Z41" i="7"/>
  <c r="Z41" i="25"/>
  <c r="Q2" i="39" s="1"/>
  <c r="AE33" i="25"/>
  <c r="V3" i="38" s="1"/>
  <c r="X32" i="25"/>
  <c r="O2" i="38" s="1"/>
  <c r="S32" i="25"/>
  <c r="J2" i="38" s="1"/>
  <c r="M34" i="25"/>
  <c r="D4" i="38" s="1"/>
  <c r="O32" i="25"/>
  <c r="F2" i="38" s="1"/>
  <c r="M36" i="25"/>
  <c r="D6" i="38" s="1"/>
  <c r="AG33" i="25"/>
  <c r="X3" i="38" s="1"/>
  <c r="K35" i="25"/>
  <c r="B5" i="38" s="1"/>
  <c r="K9" i="25"/>
  <c r="B6" i="32" s="1"/>
  <c r="AN35" i="25"/>
  <c r="AE5" i="38" s="1"/>
  <c r="AM35" i="25"/>
  <c r="AD5" i="38" s="1"/>
  <c r="AO34" i="25"/>
  <c r="AF4" i="38" s="1"/>
  <c r="C36" i="25"/>
  <c r="AA32" i="25"/>
  <c r="R2" i="38" s="1"/>
  <c r="O37" i="25"/>
  <c r="F7" i="38" s="1"/>
  <c r="AD54" i="7"/>
  <c r="AK32" i="25"/>
  <c r="AB2" i="38" s="1"/>
  <c r="X37" i="25"/>
  <c r="O7" i="38" s="1"/>
  <c r="AQ42" i="25"/>
  <c r="AH3" i="39" s="1"/>
  <c r="O5" i="25"/>
  <c r="F2" i="32" s="1"/>
  <c r="P5" i="25"/>
  <c r="G2" i="32" s="1"/>
  <c r="F34" i="25"/>
  <c r="R9" i="25"/>
  <c r="I6" i="32" s="1"/>
  <c r="C35" i="25"/>
  <c r="J52" i="7"/>
  <c r="AP50" i="7"/>
  <c r="E34" i="25"/>
  <c r="I37" i="25"/>
  <c r="N7" i="25"/>
  <c r="E4" i="32" s="1"/>
  <c r="V32" i="25"/>
  <c r="M2" i="38" s="1"/>
  <c r="Y33" i="25"/>
  <c r="P3" i="38" s="1"/>
  <c r="S34" i="25"/>
  <c r="J4" i="38" s="1"/>
  <c r="AB33" i="25"/>
  <c r="S3" i="38" s="1"/>
  <c r="AN10" i="25"/>
  <c r="AE7" i="32" s="1"/>
  <c r="AL32" i="25"/>
  <c r="AC2" i="38" s="1"/>
  <c r="AI35" i="25"/>
  <c r="Z5" i="38" s="1"/>
  <c r="Q36" i="25"/>
  <c r="H6" i="38" s="1"/>
  <c r="AG5" i="25"/>
  <c r="X2" i="32" s="1"/>
  <c r="J9" i="25"/>
  <c r="D7" i="25"/>
  <c r="AI5" i="25"/>
  <c r="Z2" i="32" s="1"/>
  <c r="AM9" i="25"/>
  <c r="AD6" i="32" s="1"/>
  <c r="AJ9" i="25"/>
  <c r="AA6" i="32" s="1"/>
  <c r="AO36" i="25"/>
  <c r="AF6" i="38" s="1"/>
  <c r="S5" i="25"/>
  <c r="J2" i="32" s="1"/>
  <c r="I10" i="25"/>
  <c r="J10" i="25"/>
  <c r="AD35" i="25"/>
  <c r="U5" i="38" s="1"/>
  <c r="P35" i="25"/>
  <c r="G5" i="38" s="1"/>
  <c r="N35" i="25"/>
  <c r="E5" i="38" s="1"/>
  <c r="J8" i="25"/>
  <c r="Z35" i="25"/>
  <c r="Q5" i="38" s="1"/>
  <c r="D36" i="25"/>
  <c r="I36" i="25"/>
  <c r="AE10" i="25"/>
  <c r="V7" i="32" s="1"/>
  <c r="AI10" i="25"/>
  <c r="Z7" i="32" s="1"/>
  <c r="P10" i="25"/>
  <c r="G7" i="32" s="1"/>
  <c r="AQ7" i="25"/>
  <c r="AH4" i="32" s="1"/>
  <c r="T10" i="25"/>
  <c r="K7" i="32" s="1"/>
  <c r="AB10" i="25"/>
  <c r="S7" i="32" s="1"/>
  <c r="P36" i="25"/>
  <c r="G6" i="38" s="1"/>
  <c r="G5" i="25"/>
  <c r="N6" i="25"/>
  <c r="E3" i="32" s="1"/>
  <c r="I6" i="25"/>
  <c r="Q8" i="25"/>
  <c r="H5" i="32" s="1"/>
  <c r="D9" i="25"/>
  <c r="T7" i="25"/>
  <c r="K4" i="32" s="1"/>
  <c r="AQ41" i="25"/>
  <c r="AH2" i="39" s="1"/>
  <c r="H8" i="25"/>
  <c r="Y9" i="25"/>
  <c r="P6" i="32" s="1"/>
  <c r="Z6" i="25"/>
  <c r="Q3" i="32" s="1"/>
  <c r="L10" i="25"/>
  <c r="C7" i="32" s="1"/>
  <c r="AM6" i="25"/>
  <c r="AD3" i="32" s="1"/>
  <c r="AI32" i="25"/>
  <c r="Z2" i="38" s="1"/>
  <c r="AI34" i="25"/>
  <c r="Z4" i="38" s="1"/>
  <c r="AM32" i="25"/>
  <c r="AD2" i="38" s="1"/>
  <c r="AI33" i="25"/>
  <c r="Z3" i="38" s="1"/>
  <c r="AO9" i="25"/>
  <c r="AF6" i="32" s="1"/>
  <c r="AS9" i="25"/>
  <c r="AJ6" i="32" s="1"/>
  <c r="AI6" i="25"/>
  <c r="Z3" i="32" s="1"/>
  <c r="E5" i="25"/>
  <c r="P9" i="25"/>
  <c r="G6" i="32" s="1"/>
  <c r="X6" i="25"/>
  <c r="O3" i="32" s="1"/>
  <c r="F7" i="25"/>
  <c r="J50" i="7"/>
  <c r="D54" i="7"/>
  <c r="K36" i="25"/>
  <c r="B6" i="38" s="1"/>
  <c r="AP5" i="25"/>
  <c r="AG2" i="32" s="1"/>
  <c r="AG32" i="25"/>
  <c r="X2" i="38" s="1"/>
  <c r="AK8" i="25"/>
  <c r="AB5" i="32" s="1"/>
  <c r="O10" i="25"/>
  <c r="F7" i="32" s="1"/>
  <c r="AS46" i="25"/>
  <c r="AJ7" i="39" s="1"/>
  <c r="P42" i="25"/>
  <c r="G3" i="39" s="1"/>
  <c r="Q42" i="25"/>
  <c r="H3" i="39" s="1"/>
  <c r="L45" i="25"/>
  <c r="C6" i="39" s="1"/>
  <c r="Z42" i="25"/>
  <c r="Q3" i="39" s="1"/>
  <c r="L50" i="7"/>
  <c r="U9" i="25"/>
  <c r="L6" i="32" s="1"/>
  <c r="Y10" i="25"/>
  <c r="P7" i="32" s="1"/>
  <c r="AM37" i="25"/>
  <c r="AD7" i="38" s="1"/>
  <c r="AB52" i="7"/>
  <c r="Y32" i="25"/>
  <c r="P2" i="38" s="1"/>
  <c r="X7" i="25"/>
  <c r="O4" i="32" s="1"/>
  <c r="AR6" i="25"/>
  <c r="AI3" i="32" s="1"/>
  <c r="D6" i="25"/>
  <c r="C9" i="25"/>
  <c r="AR35" i="25"/>
  <c r="AI5" i="38" s="1"/>
  <c r="AH32" i="25"/>
  <c r="Y2" i="38" s="1"/>
  <c r="AE5" i="25"/>
  <c r="V2" i="32" s="1"/>
  <c r="AR10" i="25"/>
  <c r="AI7" i="32" s="1"/>
  <c r="W8" i="25"/>
  <c r="N5" i="32" s="1"/>
  <c r="AK9" i="25"/>
  <c r="AB6" i="32" s="1"/>
  <c r="H6" i="25"/>
  <c r="H7" i="25"/>
  <c r="AJ6" i="25"/>
  <c r="AA3" i="32" s="1"/>
  <c r="M8" i="25"/>
  <c r="D5" i="32" s="1"/>
  <c r="AF8" i="25"/>
  <c r="W5" i="32" s="1"/>
  <c r="AF10" i="25"/>
  <c r="W7" i="32" s="1"/>
  <c r="H9" i="25"/>
  <c r="AT8" i="25"/>
  <c r="AK5" i="32" s="1"/>
  <c r="AG34" i="25"/>
  <c r="X4" i="38" s="1"/>
  <c r="T8" i="25"/>
  <c r="K5" i="32" s="1"/>
  <c r="AF6" i="25"/>
  <c r="W3" i="32" s="1"/>
  <c r="AT6" i="25"/>
  <c r="AK3" i="32" s="1"/>
  <c r="AL7" i="25"/>
  <c r="AC4" i="32" s="1"/>
  <c r="Q54" i="7"/>
  <c r="I8" i="25"/>
  <c r="D10" i="25"/>
  <c r="X9" i="25"/>
  <c r="O6" i="32" s="1"/>
  <c r="H45" i="25"/>
  <c r="K46" i="25"/>
  <c r="B7" i="39" s="1"/>
  <c r="F35" i="25"/>
  <c r="L7" i="25"/>
  <c r="C4" i="32" s="1"/>
  <c r="AH9" i="25"/>
  <c r="Y6" i="32" s="1"/>
  <c r="AH10" i="25"/>
  <c r="Y7" i="32" s="1"/>
  <c r="X10" i="25"/>
  <c r="O7" i="32" s="1"/>
  <c r="M10" i="25"/>
  <c r="D7" i="32" s="1"/>
  <c r="AA8" i="25"/>
  <c r="R5" i="32" s="1"/>
  <c r="AM33" i="25"/>
  <c r="AD3" i="38" s="1"/>
  <c r="K6" i="25"/>
  <c r="B3" i="32" s="1"/>
  <c r="AL8" i="25"/>
  <c r="AC5" i="32" s="1"/>
  <c r="AM10" i="25"/>
  <c r="AD7" i="32" s="1"/>
  <c r="AM55" i="7"/>
  <c r="P7" i="25"/>
  <c r="G4" i="32" s="1"/>
  <c r="AO7" i="25"/>
  <c r="AF4" i="32" s="1"/>
  <c r="AO8" i="25"/>
  <c r="AF5" i="32" s="1"/>
  <c r="AD10" i="25"/>
  <c r="U7" i="32" s="1"/>
  <c r="AM7" i="25"/>
  <c r="AD4" i="32" s="1"/>
  <c r="AD50" i="7"/>
  <c r="AH7" i="25"/>
  <c r="Y4" i="32" s="1"/>
  <c r="X5" i="25"/>
  <c r="O2" i="32" s="1"/>
  <c r="D5" i="25"/>
  <c r="W5" i="25"/>
  <c r="N2" i="32" s="1"/>
  <c r="AC9" i="25"/>
  <c r="T6" i="32" s="1"/>
  <c r="Q5" i="25"/>
  <c r="H2" i="32" s="1"/>
  <c r="U7" i="25"/>
  <c r="L4" i="32" s="1"/>
  <c r="J7" i="25"/>
  <c r="J5" i="25"/>
  <c r="AU8" i="25"/>
  <c r="AL5" i="32" s="1"/>
  <c r="AJ5" i="25"/>
  <c r="AA2" i="32" s="1"/>
  <c r="AK6" i="25"/>
  <c r="AB3" i="32" s="1"/>
  <c r="Y51" i="7"/>
  <c r="AB51" i="7"/>
  <c r="AF9" i="25"/>
  <c r="W6" i="32" s="1"/>
  <c r="Y6" i="25"/>
  <c r="P3" i="32" s="1"/>
  <c r="K7" i="25"/>
  <c r="B4" i="32" s="1"/>
  <c r="R5" i="25"/>
  <c r="I2" i="32" s="1"/>
  <c r="AA7" i="25"/>
  <c r="R4" i="32" s="1"/>
  <c r="S7" i="25"/>
  <c r="J4" i="32" s="1"/>
  <c r="AP8" i="25"/>
  <c r="AG5" i="32" s="1"/>
  <c r="G8" i="25"/>
  <c r="AP33" i="25"/>
  <c r="AG3" i="38" s="1"/>
  <c r="AN5" i="25"/>
  <c r="AE2" i="32" s="1"/>
  <c r="AE6" i="25"/>
  <c r="V3" i="32" s="1"/>
  <c r="AQ45" i="25"/>
  <c r="AH6" i="39" s="1"/>
  <c r="N41" i="25"/>
  <c r="E2" i="39" s="1"/>
  <c r="N46" i="25"/>
  <c r="E7" i="39" s="1"/>
  <c r="AN52" i="7"/>
  <c r="AR33" i="25"/>
  <c r="AI3" i="38" s="1"/>
  <c r="AB32" i="25"/>
  <c r="S2" i="38" s="1"/>
  <c r="S33" i="25"/>
  <c r="J3" i="38" s="1"/>
  <c r="AH35" i="25"/>
  <c r="Y5" i="38" s="1"/>
  <c r="AB36" i="25"/>
  <c r="S6" i="38" s="1"/>
  <c r="K52" i="7"/>
  <c r="AO55" i="7"/>
  <c r="M55" i="7"/>
  <c r="AK51" i="7"/>
  <c r="X54" i="7"/>
  <c r="Q53" i="7"/>
  <c r="AS55" i="7"/>
  <c r="AS37" i="25"/>
  <c r="AJ7" i="38" s="1"/>
  <c r="T32" i="25"/>
  <c r="K2" i="38" s="1"/>
  <c r="N37" i="25"/>
  <c r="E7" i="38" s="1"/>
  <c r="C37" i="25"/>
  <c r="AR55" i="7"/>
  <c r="F33" i="25"/>
  <c r="G35" i="25"/>
  <c r="N32" i="25"/>
  <c r="E2" i="38" s="1"/>
  <c r="AK33" i="25"/>
  <c r="AB3" i="38" s="1"/>
  <c r="Q32" i="25"/>
  <c r="H2" i="38" s="1"/>
  <c r="AQ54" i="7"/>
  <c r="AQ33" i="25"/>
  <c r="AH3" i="38" s="1"/>
  <c r="V36" i="25"/>
  <c r="M6" i="38" s="1"/>
  <c r="AI36" i="25"/>
  <c r="Z6" i="38" s="1"/>
  <c r="AH34" i="25"/>
  <c r="Y4" i="38" s="1"/>
  <c r="V33" i="25"/>
  <c r="M3" i="38" s="1"/>
  <c r="AJ37" i="25"/>
  <c r="AA7" i="38" s="1"/>
  <c r="AS32" i="25"/>
  <c r="AJ2" i="38" s="1"/>
  <c r="AJ55" i="7"/>
  <c r="N50" i="7"/>
  <c r="AH36" i="25"/>
  <c r="Y6" i="38" s="1"/>
  <c r="E35" i="25"/>
  <c r="AC35" i="25"/>
  <c r="T5" i="38" s="1"/>
  <c r="AA36" i="25"/>
  <c r="R6" i="38" s="1"/>
  <c r="J36" i="25"/>
  <c r="AM36" i="25"/>
  <c r="AD6" i="38" s="1"/>
  <c r="AH33" i="25"/>
  <c r="Y3" i="38" s="1"/>
  <c r="AM53" i="7"/>
  <c r="K33" i="25"/>
  <c r="B3" i="38" s="1"/>
  <c r="AQ36" i="25"/>
  <c r="AH6" i="38" s="1"/>
  <c r="Z37" i="25"/>
  <c r="Q7" i="38" s="1"/>
  <c r="AH53" i="7"/>
  <c r="T54" i="7"/>
  <c r="I33" i="25"/>
  <c r="AT35" i="25"/>
  <c r="AK5" i="38" s="1"/>
  <c r="I32" i="25"/>
  <c r="T33" i="25"/>
  <c r="K3" i="38" s="1"/>
  <c r="U32" i="25"/>
  <c r="L2" i="38" s="1"/>
  <c r="Z53" i="7"/>
  <c r="H35" i="25"/>
  <c r="G32" i="25"/>
  <c r="AT36" i="25"/>
  <c r="AK6" i="38" s="1"/>
  <c r="AF33" i="25"/>
  <c r="W3" i="38" s="1"/>
  <c r="AS36" i="25"/>
  <c r="AJ6" i="38" s="1"/>
  <c r="AC51" i="7"/>
  <c r="AD37" i="25"/>
  <c r="U7" i="38" s="1"/>
  <c r="D32" i="25"/>
  <c r="O35" i="25"/>
  <c r="F5" i="38" s="1"/>
  <c r="AJ34" i="25"/>
  <c r="AA4" i="38" s="1"/>
  <c r="C32" i="25"/>
  <c r="AR36" i="25"/>
  <c r="AI6" i="38" s="1"/>
  <c r="G50" i="7"/>
  <c r="AM51" i="7"/>
  <c r="N53" i="7"/>
  <c r="I55" i="7"/>
  <c r="AC34" i="25"/>
  <c r="T4" i="38" s="1"/>
  <c r="J37" i="25"/>
  <c r="O33" i="25"/>
  <c r="F3" i="38" s="1"/>
  <c r="R32" i="25"/>
  <c r="I2" i="38" s="1"/>
  <c r="J33" i="25"/>
  <c r="K37" i="25"/>
  <c r="B7" i="38" s="1"/>
  <c r="AE32" i="25"/>
  <c r="V2" i="38" s="1"/>
  <c r="AN34" i="25"/>
  <c r="AE4" i="38" s="1"/>
  <c r="D34" i="25"/>
  <c r="AP32" i="25"/>
  <c r="AG2" i="38" s="1"/>
  <c r="AT53" i="7"/>
  <c r="AE37" i="25"/>
  <c r="V7" i="38" s="1"/>
  <c r="Q34" i="25"/>
  <c r="H4" i="38" s="1"/>
  <c r="AO35" i="25"/>
  <c r="AF5" i="38" s="1"/>
  <c r="AP37" i="25"/>
  <c r="AG7" i="38" s="1"/>
  <c r="AA53" i="7"/>
  <c r="AS34" i="25"/>
  <c r="AJ4" i="38" s="1"/>
  <c r="T36" i="25"/>
  <c r="K6" i="38" s="1"/>
  <c r="AD34" i="25"/>
  <c r="U4" i="38" s="1"/>
  <c r="U33" i="25"/>
  <c r="L3" i="38" s="1"/>
  <c r="C7" i="25"/>
  <c r="V50" i="7"/>
  <c r="R35" i="25"/>
  <c r="I5" i="38" s="1"/>
  <c r="AD32" i="25"/>
  <c r="U2" i="38" s="1"/>
  <c r="AU33" i="25"/>
  <c r="AL3" i="38" s="1"/>
  <c r="O36" i="25"/>
  <c r="F6" i="38" s="1"/>
  <c r="U54" i="7"/>
  <c r="W34" i="25"/>
  <c r="N4" i="38" s="1"/>
  <c r="AQ35" i="25"/>
  <c r="AH5" i="38" s="1"/>
  <c r="M50" i="7"/>
  <c r="AI53" i="7"/>
  <c r="AT45" i="25"/>
  <c r="AK6" i="39" s="1"/>
  <c r="Y44" i="25"/>
  <c r="P5" i="39" s="1"/>
  <c r="P53" i="7"/>
  <c r="H55" i="7"/>
  <c r="R50" i="7"/>
  <c r="AF51" i="7"/>
  <c r="AK36" i="25"/>
  <c r="AB6" i="38" s="1"/>
  <c r="H54" i="7"/>
  <c r="AS33" i="25"/>
  <c r="AJ3" i="38" s="1"/>
  <c r="K32" i="25"/>
  <c r="B2" i="38" s="1"/>
  <c r="AA35" i="25"/>
  <c r="R5" i="38" s="1"/>
  <c r="D35" i="25"/>
  <c r="AU34" i="25"/>
  <c r="AL4" i="38" s="1"/>
  <c r="W35" i="25"/>
  <c r="N5" i="38" s="1"/>
  <c r="AA37" i="25"/>
  <c r="R7" i="38" s="1"/>
  <c r="AF34" i="25"/>
  <c r="W4" i="38" s="1"/>
  <c r="AE7" i="25"/>
  <c r="V4" i="32" s="1"/>
  <c r="W51" i="7"/>
  <c r="P34" i="25"/>
  <c r="G4" i="38" s="1"/>
  <c r="AA33" i="25"/>
  <c r="R3" i="38" s="1"/>
  <c r="V35" i="25"/>
  <c r="M5" i="38" s="1"/>
  <c r="M32" i="25"/>
  <c r="D2" i="38" s="1"/>
  <c r="T44" i="25"/>
  <c r="K5" i="39" s="1"/>
  <c r="I43" i="25"/>
  <c r="J54" i="7"/>
  <c r="J45" i="25"/>
  <c r="C51" i="7"/>
  <c r="AF52" i="7"/>
  <c r="U35" i="25"/>
  <c r="L5" i="38" s="1"/>
  <c r="K54" i="7"/>
  <c r="L35" i="25"/>
  <c r="C5" i="38" s="1"/>
  <c r="AP52" i="7"/>
  <c r="AT55" i="7"/>
  <c r="AL42" i="25"/>
  <c r="AC3" i="39" s="1"/>
  <c r="AI51" i="7"/>
  <c r="AF44" i="25"/>
  <c r="W5" i="39" s="1"/>
  <c r="U45" i="25"/>
  <c r="L6" i="39" s="1"/>
  <c r="AL54" i="7"/>
  <c r="H51" i="7"/>
  <c r="M53" i="7"/>
  <c r="AF53" i="7"/>
  <c r="AQ52" i="7"/>
  <c r="L42" i="25"/>
  <c r="C3" i="39" s="1"/>
  <c r="Y53" i="7"/>
  <c r="AJ8" i="25"/>
  <c r="AA5" i="32" s="1"/>
  <c r="Z10" i="25"/>
  <c r="Q7" i="32" s="1"/>
  <c r="L9" i="25"/>
  <c r="C6" i="32" s="1"/>
  <c r="AU35" i="25"/>
  <c r="AL5" i="38" s="1"/>
  <c r="AR53" i="7"/>
  <c r="AR8" i="25"/>
  <c r="AI5" i="32" s="1"/>
  <c r="I9" i="25"/>
  <c r="W7" i="25"/>
  <c r="N4" i="32" s="1"/>
  <c r="D8" i="25"/>
  <c r="D53" i="7"/>
  <c r="AU6" i="25"/>
  <c r="AL3" i="32" s="1"/>
  <c r="O51" i="7"/>
  <c r="O6" i="25"/>
  <c r="F3" i="32" s="1"/>
  <c r="AJ35" i="25"/>
  <c r="AA5" i="38" s="1"/>
  <c r="D37" i="25"/>
  <c r="AG36" i="25"/>
  <c r="X6" i="38" s="1"/>
  <c r="AL34" i="25"/>
  <c r="AC4" i="38" s="1"/>
  <c r="E37" i="25"/>
  <c r="V37" i="25"/>
  <c r="M7" i="38" s="1"/>
  <c r="AC7" i="25"/>
  <c r="T4" i="32" s="1"/>
  <c r="AF45" i="25"/>
  <c r="W6" i="39" s="1"/>
  <c r="AR44" i="25"/>
  <c r="AI5" i="39" s="1"/>
  <c r="U50" i="7"/>
  <c r="AL44" i="25"/>
  <c r="AC5" i="39" s="1"/>
  <c r="AE9" i="25"/>
  <c r="V6" i="32" s="1"/>
  <c r="X34" i="25"/>
  <c r="O4" i="38" s="1"/>
  <c r="C10" i="25"/>
  <c r="M35" i="25"/>
  <c r="D5" i="38" s="1"/>
  <c r="Y35" i="25"/>
  <c r="P5" i="38" s="1"/>
  <c r="C55" i="7"/>
  <c r="W55" i="7"/>
  <c r="AU53" i="7"/>
  <c r="AF50" i="7"/>
  <c r="AF41" i="25"/>
  <c r="W2" i="39" s="1"/>
  <c r="AR43" i="25"/>
  <c r="AI4" i="39" s="1"/>
  <c r="AR52" i="7"/>
  <c r="AE45" i="25"/>
  <c r="V6" i="39" s="1"/>
  <c r="AJ43" i="25"/>
  <c r="AA4" i="39" s="1"/>
  <c r="AJ52" i="7"/>
  <c r="S10" i="25"/>
  <c r="J7" i="32" s="1"/>
  <c r="AN9" i="25"/>
  <c r="AE6" i="32" s="1"/>
  <c r="I54" i="7"/>
  <c r="U6" i="25"/>
  <c r="L3" i="32" s="1"/>
  <c r="AN44" i="25"/>
  <c r="AE5" i="39" s="1"/>
  <c r="AO46" i="25"/>
  <c r="AF7" i="39" s="1"/>
  <c r="W33" i="25"/>
  <c r="N3" i="38" s="1"/>
  <c r="I34" i="25"/>
  <c r="W32" i="25"/>
  <c r="N2" i="38" s="1"/>
  <c r="AQ43" i="25"/>
  <c r="AH4" i="39" s="1"/>
  <c r="AR51" i="7"/>
  <c r="O54" i="7"/>
  <c r="AL50" i="7"/>
  <c r="C46" i="25"/>
  <c r="I45" i="25"/>
  <c r="AA43" i="25"/>
  <c r="R4" i="39" s="1"/>
  <c r="M43" i="25"/>
  <c r="D4" i="39" s="1"/>
  <c r="AC55" i="7"/>
  <c r="AM45" i="25"/>
  <c r="AD6" i="39" s="1"/>
  <c r="AL51" i="7"/>
  <c r="C45" i="25"/>
  <c r="D52" i="7"/>
  <c r="Q43" i="25"/>
  <c r="H4" i="39" s="1"/>
  <c r="AL41" i="25"/>
  <c r="AC2" i="39" s="1"/>
  <c r="J44" i="25"/>
  <c r="J53" i="7"/>
  <c r="AA42" i="25"/>
  <c r="R3" i="39" s="1"/>
  <c r="AN43" i="25"/>
  <c r="AE4" i="39" s="1"/>
  <c r="AL46" i="25"/>
  <c r="AC7" i="39" s="1"/>
  <c r="AR45" i="25"/>
  <c r="AI6" i="39" s="1"/>
  <c r="M42" i="25"/>
  <c r="D3" i="39" s="1"/>
  <c r="AH42" i="25"/>
  <c r="Y3" i="39" s="1"/>
  <c r="AG42" i="25"/>
  <c r="X3" i="39" s="1"/>
  <c r="T46" i="25"/>
  <c r="K7" i="39" s="1"/>
  <c r="Z44" i="25"/>
  <c r="Q5" i="39" s="1"/>
  <c r="W45" i="25"/>
  <c r="N6" i="39" s="1"/>
  <c r="S42" i="25"/>
  <c r="J3" i="39" s="1"/>
  <c r="L54" i="7"/>
  <c r="Q51" i="7"/>
  <c r="AG51" i="7"/>
  <c r="U46" i="25"/>
  <c r="L7" i="39" s="1"/>
  <c r="U55" i="7"/>
  <c r="AP42" i="25"/>
  <c r="AG3" i="39" s="1"/>
  <c r="F42" i="25"/>
  <c r="G53" i="7"/>
  <c r="AS42" i="25"/>
  <c r="AJ3" i="39" s="1"/>
  <c r="AU51" i="7"/>
  <c r="AO51" i="7"/>
  <c r="AL45" i="25"/>
  <c r="AC6" i="39" s="1"/>
  <c r="W46" i="25"/>
  <c r="N7" i="39" s="1"/>
  <c r="N44" i="25"/>
  <c r="E5" i="39" s="1"/>
  <c r="W42" i="25"/>
  <c r="N3" i="39" s="1"/>
  <c r="N36" i="25"/>
  <c r="E6" i="38" s="1"/>
  <c r="AJ36" i="25"/>
  <c r="AA6" i="38" s="1"/>
  <c r="AT34" i="25"/>
  <c r="AK4" i="38" s="1"/>
  <c r="AN55" i="7"/>
  <c r="M37" i="25"/>
  <c r="D7" i="38" s="1"/>
  <c r="H34" i="25"/>
  <c r="AB46" i="25"/>
  <c r="S7" i="39" s="1"/>
  <c r="X42" i="25"/>
  <c r="O3" i="39" s="1"/>
  <c r="F53" i="7"/>
  <c r="AJ44" i="25"/>
  <c r="AA5" i="39" s="1"/>
  <c r="AJ53" i="7"/>
  <c r="K41" i="25"/>
  <c r="B2" i="39" s="1"/>
  <c r="AE44" i="25"/>
  <c r="V5" i="39" s="1"/>
  <c r="J41" i="25"/>
  <c r="J43" i="25"/>
  <c r="S44" i="25"/>
  <c r="J5" i="39" s="1"/>
  <c r="V42" i="25"/>
  <c r="M3" i="39" s="1"/>
  <c r="H43" i="25"/>
  <c r="AR54" i="7"/>
  <c r="AS41" i="25"/>
  <c r="AJ2" i="39" s="1"/>
  <c r="AC41" i="25"/>
  <c r="T2" i="39" s="1"/>
  <c r="K43" i="25"/>
  <c r="B4" i="39" s="1"/>
  <c r="R42" i="25"/>
  <c r="I3" i="39" s="1"/>
  <c r="AO45" i="25"/>
  <c r="AF6" i="39" s="1"/>
  <c r="AO54" i="7"/>
  <c r="X55" i="7"/>
  <c r="AS50" i="7"/>
  <c r="W43" i="25"/>
  <c r="N4" i="39" s="1"/>
  <c r="V41" i="25"/>
  <c r="M2" i="39" s="1"/>
  <c r="AH51" i="7"/>
  <c r="AU42" i="25"/>
  <c r="AL3" i="39" s="1"/>
  <c r="S51" i="7"/>
  <c r="T43" i="25"/>
  <c r="K4" i="39" s="1"/>
  <c r="AE55" i="7"/>
  <c r="S55" i="7"/>
  <c r="C41" i="25"/>
  <c r="Q46" i="25"/>
  <c r="H7" i="39" s="1"/>
  <c r="AP55" i="7"/>
  <c r="F45" i="25"/>
  <c r="AD41" i="25"/>
  <c r="U2" i="39" s="1"/>
  <c r="F51" i="7"/>
  <c r="D44" i="25"/>
  <c r="T45" i="25"/>
  <c r="K6" i="39" s="1"/>
  <c r="T37" i="25"/>
  <c r="K7" i="38" s="1"/>
  <c r="P55" i="7"/>
  <c r="AP34" i="25"/>
  <c r="AG4" i="38" s="1"/>
  <c r="N52" i="7"/>
  <c r="Z36" i="25"/>
  <c r="Q6" i="38" s="1"/>
  <c r="R52" i="7"/>
  <c r="AD36" i="25"/>
  <c r="U6" i="38" s="1"/>
  <c r="AF32" i="25"/>
  <c r="W2" i="38" s="1"/>
  <c r="AG41" i="25"/>
  <c r="X2" i="39" s="1"/>
  <c r="AG50" i="7"/>
  <c r="AC42" i="25"/>
  <c r="T3" i="39" s="1"/>
  <c r="AI44" i="25"/>
  <c r="Z5" i="39" s="1"/>
  <c r="U44" i="25"/>
  <c r="L5" i="39" s="1"/>
  <c r="AC45" i="25"/>
  <c r="T6" i="39" s="1"/>
  <c r="AA50" i="7"/>
  <c r="R53" i="7"/>
  <c r="AK42" i="25"/>
  <c r="AB3" i="39" s="1"/>
  <c r="G43" i="25"/>
  <c r="AF43" i="25"/>
  <c r="W4" i="39" s="1"/>
  <c r="O53" i="7"/>
  <c r="D45" i="25"/>
  <c r="J42" i="25"/>
  <c r="U41" i="25"/>
  <c r="L2" i="39" s="1"/>
  <c r="O45" i="25"/>
  <c r="F6" i="39" s="1"/>
  <c r="J46" i="25"/>
  <c r="AH43" i="25"/>
  <c r="Y4" i="39" s="1"/>
  <c r="AH52" i="7"/>
  <c r="AK46" i="25"/>
  <c r="AB7" i="39" s="1"/>
  <c r="P41" i="25"/>
  <c r="G2" i="39" s="1"/>
  <c r="I44" i="25"/>
  <c r="D46" i="25"/>
  <c r="V52" i="7"/>
  <c r="Y37" i="25"/>
  <c r="P7" i="38" s="1"/>
  <c r="AG55" i="7"/>
  <c r="AG37" i="25"/>
  <c r="X7" i="38" s="1"/>
  <c r="AQ32" i="25"/>
  <c r="AH2" i="38" s="1"/>
  <c r="AQ50" i="7"/>
  <c r="Z34" i="25"/>
  <c r="Q4" i="38" s="1"/>
  <c r="AM34" i="25"/>
  <c r="AD4" i="38" s="1"/>
  <c r="AM52" i="7"/>
  <c r="AC32" i="25"/>
  <c r="T2" i="38" s="1"/>
  <c r="AU37" i="25"/>
  <c r="AL7" i="38" s="1"/>
  <c r="F55" i="7"/>
  <c r="H50" i="7"/>
  <c r="P54" i="7"/>
  <c r="AP44" i="25"/>
  <c r="AG5" i="39" s="1"/>
  <c r="AP53" i="7"/>
  <c r="E52" i="7"/>
  <c r="Y50" i="7"/>
  <c r="U43" i="25"/>
  <c r="L4" i="39" s="1"/>
  <c r="P51" i="7"/>
  <c r="AF36" i="25"/>
  <c r="W6" i="38" s="1"/>
  <c r="AF54" i="7"/>
  <c r="Z50" i="7"/>
  <c r="Z32" i="25"/>
  <c r="Q2" i="38" s="1"/>
  <c r="AQ37" i="25"/>
  <c r="AH7" i="38" s="1"/>
  <c r="I53" i="7"/>
  <c r="I35" i="25"/>
  <c r="AB55" i="7"/>
  <c r="AB37" i="25"/>
  <c r="S7" i="38" s="1"/>
  <c r="AE54" i="7"/>
  <c r="AE36" i="25"/>
  <c r="V6" i="38" s="1"/>
  <c r="AS35" i="25"/>
  <c r="AJ5" i="38" s="1"/>
  <c r="AL37" i="25"/>
  <c r="AC7" i="38" s="1"/>
  <c r="AL36" i="25"/>
  <c r="AC6" i="38" s="1"/>
  <c r="T52" i="7"/>
  <c r="T34" i="25"/>
  <c r="K4" i="38" s="1"/>
  <c r="AF37" i="25"/>
  <c r="W7" i="38" s="1"/>
  <c r="C34" i="25"/>
  <c r="Y34" i="25"/>
  <c r="P4" i="38" s="1"/>
  <c r="AK37" i="25"/>
  <c r="AB7" i="38" s="1"/>
  <c r="Q55" i="7"/>
  <c r="Q37" i="25"/>
  <c r="H7" i="38" s="1"/>
  <c r="AA34" i="25"/>
  <c r="R4" i="38" s="1"/>
  <c r="Z33" i="25"/>
  <c r="Q3" i="38" s="1"/>
  <c r="Z51" i="7"/>
  <c r="R33" i="25"/>
  <c r="I3" i="38" s="1"/>
  <c r="H33" i="25"/>
  <c r="G34" i="25"/>
  <c r="AK52" i="7"/>
  <c r="U52" i="7"/>
  <c r="U34" i="25"/>
  <c r="L4" i="38" s="1"/>
  <c r="T35" i="25"/>
  <c r="K5" i="38" s="1"/>
  <c r="S53" i="7"/>
  <c r="S35" i="25"/>
  <c r="J5" i="38" s="1"/>
  <c r="Q50" i="7"/>
  <c r="AR41" i="25"/>
  <c r="AI2" i="39" s="1"/>
  <c r="AR50" i="7"/>
  <c r="AE43" i="25"/>
  <c r="V4" i="39" s="1"/>
  <c r="K44" i="25"/>
  <c r="B5" i="39" s="1"/>
  <c r="K53" i="7"/>
  <c r="E51" i="7"/>
  <c r="D33" i="25"/>
  <c r="AC50" i="7"/>
  <c r="R51" i="7"/>
  <c r="AB35" i="25"/>
  <c r="S5" i="38" s="1"/>
  <c r="AK34" i="25"/>
  <c r="AB4" i="38" s="1"/>
  <c r="AK55" i="7"/>
  <c r="T53" i="7"/>
  <c r="V46" i="25"/>
  <c r="M7" i="39" s="1"/>
  <c r="AI43" i="25"/>
  <c r="Z4" i="39" s="1"/>
  <c r="AI52" i="7"/>
  <c r="I42" i="25"/>
  <c r="AP41" i="25"/>
  <c r="AG2" i="39" s="1"/>
  <c r="O42" i="25"/>
  <c r="F3" i="39" s="1"/>
  <c r="AG52" i="7"/>
  <c r="W41" i="25"/>
  <c r="N2" i="39" s="1"/>
  <c r="W50" i="7"/>
  <c r="E46" i="25"/>
  <c r="E55" i="7"/>
  <c r="I50" i="7"/>
  <c r="AE41" i="25"/>
  <c r="V2" i="39" s="1"/>
  <c r="AE50" i="7"/>
  <c r="N51" i="7"/>
  <c r="N42" i="25"/>
  <c r="E3" i="39" s="1"/>
  <c r="X50" i="7"/>
  <c r="AD45" i="25"/>
  <c r="U6" i="39" s="1"/>
  <c r="L55" i="7"/>
  <c r="C52" i="7"/>
  <c r="AA52" i="7"/>
  <c r="AT33" i="25"/>
  <c r="AK3" i="38" s="1"/>
  <c r="S36" i="25"/>
  <c r="J6" i="38" s="1"/>
  <c r="AN32" i="25"/>
  <c r="AE2" i="38" s="1"/>
  <c r="AB53" i="7"/>
  <c r="Q41" i="25"/>
  <c r="H2" i="39" s="1"/>
  <c r="AK45" i="25"/>
  <c r="AB6" i="39" s="1"/>
  <c r="X44" i="25"/>
  <c r="O5" i="39" s="1"/>
  <c r="S41" i="25"/>
  <c r="J2" i="39" s="1"/>
  <c r="Y45" i="25"/>
  <c r="P6" i="39" s="1"/>
  <c r="AO42" i="25"/>
  <c r="AF3" i="39" s="1"/>
  <c r="C43" i="25"/>
  <c r="AC52" i="7"/>
  <c r="AA45" i="25"/>
  <c r="R6" i="39" s="1"/>
  <c r="Z43" i="25"/>
  <c r="Q4" i="39" s="1"/>
  <c r="O44" i="25"/>
  <c r="F5" i="39" s="1"/>
  <c r="AU52" i="7"/>
  <c r="AO41" i="25"/>
  <c r="AF2" i="39" s="1"/>
  <c r="AK41" i="25"/>
  <c r="AB2" i="39" s="1"/>
  <c r="AF42" i="25"/>
  <c r="W3" i="39" s="1"/>
  <c r="H46" i="25"/>
  <c r="AG46" i="25"/>
  <c r="X7" i="39" s="1"/>
  <c r="AU44" i="25"/>
  <c r="AL5" i="39" s="1"/>
  <c r="D42" i="25"/>
  <c r="AJ46" i="25"/>
  <c r="AA7" i="39" s="1"/>
  <c r="AI41" i="25"/>
  <c r="Z2" i="39" s="1"/>
  <c r="AJ42" i="25"/>
  <c r="AA3" i="39" s="1"/>
  <c r="N43" i="25"/>
  <c r="E4" i="39" s="1"/>
  <c r="M51" i="7"/>
  <c r="Y52" i="7"/>
  <c r="T41" i="25"/>
  <c r="K2" i="39" s="1"/>
  <c r="Q44" i="25"/>
  <c r="H5" i="39" s="1"/>
  <c r="AH45" i="25"/>
  <c r="Y6" i="39" s="1"/>
  <c r="AG44" i="25"/>
  <c r="X5" i="39" s="1"/>
  <c r="AK43" i="25"/>
  <c r="AB4" i="39" s="1"/>
  <c r="Y42" i="25"/>
  <c r="P3" i="39" s="1"/>
  <c r="AB41" i="25"/>
  <c r="S2" i="39" s="1"/>
  <c r="AM42" i="25"/>
  <c r="AD3" i="39" s="1"/>
  <c r="R41" i="25"/>
  <c r="I2" i="39" s="1"/>
  <c r="R43" i="25"/>
  <c r="I4" i="39" s="1"/>
  <c r="AA44" i="25"/>
  <c r="R5" i="39" s="1"/>
  <c r="I46" i="25"/>
  <c r="AP46" i="25"/>
  <c r="AG7" i="39" s="1"/>
  <c r="AT46" i="25"/>
  <c r="AK7" i="39" s="1"/>
  <c r="Y43" i="25"/>
  <c r="P4" i="39" s="1"/>
  <c r="H42" i="25"/>
  <c r="D43" i="25"/>
  <c r="AT43" i="25"/>
  <c r="AK4" i="39" s="1"/>
  <c r="AU43" i="25"/>
  <c r="AL4" i="39" s="1"/>
  <c r="AD42" i="25"/>
  <c r="U3" i="39" s="1"/>
  <c r="AA41" i="25"/>
  <c r="R2" i="39" s="1"/>
  <c r="H41" i="25"/>
  <c r="P45" i="25"/>
  <c r="G6" i="39" s="1"/>
  <c r="R44" i="25"/>
  <c r="I5" i="39" s="1"/>
  <c r="AS44" i="25"/>
  <c r="AJ5" i="39" s="1"/>
  <c r="P44" i="25"/>
  <c r="G5" i="39" s="1"/>
  <c r="T42" i="25"/>
  <c r="K3" i="39" s="1"/>
  <c r="AB43" i="25"/>
  <c r="S4" i="39" s="1"/>
  <c r="AA46" i="25"/>
  <c r="R7" i="39" s="1"/>
  <c r="AF55" i="7"/>
  <c r="AD43" i="25"/>
  <c r="U4" i="39" s="1"/>
  <c r="G46" i="25"/>
  <c r="AQ44" i="25"/>
  <c r="AH5" i="39" s="1"/>
  <c r="AN42" i="25"/>
  <c r="AE3" i="39" s="1"/>
  <c r="AO43" i="25"/>
  <c r="AF4" i="39" s="1"/>
  <c r="Z46" i="25"/>
  <c r="Q7" i="39" s="1"/>
  <c r="N45" i="25"/>
  <c r="E6" i="39" s="1"/>
  <c r="V44" i="25"/>
  <c r="M5" i="39" s="1"/>
  <c r="AG45" i="25"/>
  <c r="X6" i="39" s="1"/>
  <c r="AP45" i="25"/>
  <c r="AG6" i="39" s="1"/>
  <c r="AU50" i="7"/>
  <c r="AD52" i="7"/>
  <c r="AR42" i="25"/>
  <c r="AI3" i="39" s="1"/>
  <c r="AC43" i="25"/>
  <c r="T4" i="39" s="1"/>
  <c r="AJ45" i="25"/>
  <c r="AA6" i="39" s="1"/>
  <c r="V53" i="7"/>
  <c r="AO52" i="7"/>
  <c r="Y55" i="7"/>
  <c r="L41" i="25"/>
  <c r="C2" i="39" s="1"/>
  <c r="M44" i="25"/>
  <c r="D5" i="39" s="1"/>
  <c r="AT44" i="25"/>
  <c r="AK5" i="39" s="1"/>
  <c r="AM44" i="25"/>
  <c r="AD5" i="39" s="1"/>
  <c r="C44" i="25"/>
  <c r="AR46" i="25"/>
  <c r="AI7" i="39" s="1"/>
  <c r="AN46" i="25"/>
  <c r="AE7" i="39" s="1"/>
  <c r="AC46" i="25"/>
  <c r="T7" i="39" s="1"/>
  <c r="C53" i="7"/>
  <c r="G55" i="7"/>
  <c r="T50" i="7" l="1"/>
  <c r="X51" i="7"/>
  <c r="H44" i="25"/>
  <c r="M54" i="7"/>
  <c r="AI55" i="7"/>
  <c r="AD51" i="7"/>
  <c r="X52" i="7"/>
  <c r="W52" i="7"/>
  <c r="E53" i="7"/>
  <c r="O50" i="7"/>
  <c r="X53" i="7"/>
  <c r="C50" i="7"/>
  <c r="Q52" i="7"/>
  <c r="K51" i="7"/>
  <c r="W53" i="7"/>
  <c r="AP54" i="7"/>
  <c r="AN51" i="7"/>
  <c r="AC44" i="25"/>
  <c r="T5" i="39" s="1"/>
  <c r="AJ50" i="7"/>
  <c r="AH41" i="25"/>
  <c r="Y2" i="39" s="1"/>
  <c r="S54" i="7"/>
  <c r="AS52" i="7"/>
  <c r="S52" i="7"/>
  <c r="AM50" i="7"/>
  <c r="AE42" i="25"/>
  <c r="V3" i="39" s="1"/>
  <c r="AE52" i="7"/>
  <c r="R54" i="7"/>
  <c r="G52" i="7"/>
  <c r="W54" i="7"/>
  <c r="AQ55" i="7"/>
  <c r="E54" i="7"/>
  <c r="AU55" i="7"/>
  <c r="D51" i="7"/>
  <c r="G54" i="7"/>
  <c r="N54" i="7"/>
  <c r="P52" i="7"/>
  <c r="R55" i="7"/>
  <c r="V51" i="7"/>
  <c r="AE53" i="7"/>
  <c r="H52" i="7"/>
  <c r="C54" i="7"/>
  <c r="AJ51" i="7"/>
  <c r="AB50" i="7"/>
  <c r="F50" i="7"/>
  <c r="AA54" i="7"/>
  <c r="J51" i="7"/>
  <c r="L51" i="7"/>
  <c r="AN54" i="7"/>
  <c r="N55" i="7"/>
  <c r="I52" i="7"/>
  <c r="V55" i="7"/>
  <c r="AA51" i="7"/>
  <c r="E50" i="7"/>
  <c r="D50" i="7"/>
  <c r="F54" i="7"/>
  <c r="AD55" i="7"/>
  <c r="AU54" i="7"/>
  <c r="K50" i="7"/>
  <c r="AS51" i="7"/>
  <c r="AC54" i="7"/>
  <c r="AG54" i="7"/>
  <c r="AS53" i="7"/>
  <c r="Y54" i="7"/>
  <c r="O52" i="7"/>
  <c r="P50" i="7"/>
  <c r="AS54" i="7"/>
  <c r="G51" i="7"/>
  <c r="AQ51" i="7"/>
  <c r="AK54" i="7"/>
  <c r="V54" i="7"/>
  <c r="AT51" i="7"/>
  <c r="AL55" i="7"/>
  <c r="AN50" i="7"/>
  <c r="AO44" i="25"/>
  <c r="AF5" i="39" s="1"/>
  <c r="Z52" i="7"/>
  <c r="AA55" i="7"/>
  <c r="AK50" i="7"/>
  <c r="U51" i="7"/>
  <c r="AK53" i="7"/>
  <c r="AJ54" i="7"/>
  <c r="AP51" i="7"/>
  <c r="T55" i="7"/>
  <c r="S50" i="7"/>
  <c r="AM54" i="7"/>
  <c r="AN53" i="7"/>
  <c r="AD53" i="7"/>
  <c r="M52" i="7"/>
  <c r="AI50" i="7"/>
  <c r="Z55" i="7"/>
  <c r="AI54" i="7"/>
  <c r="AL52" i="7"/>
  <c r="AG53" i="7"/>
  <c r="AQ53" i="7"/>
  <c r="AB54" i="7"/>
  <c r="O55" i="7"/>
  <c r="F52" i="7"/>
  <c r="K55" i="7"/>
  <c r="AO50" i="7"/>
  <c r="AH54" i="7"/>
  <c r="Z54" i="7"/>
  <c r="L53" i="7"/>
  <c r="AH55" i="7"/>
  <c r="L52" i="7"/>
  <c r="AT50" i="7"/>
  <c r="T5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2" authorId="0" shapeId="0" xr:uid="{00000000-0006-0000-0800-000001000000}">
      <text>
        <r>
          <rPr>
            <b/>
            <sz val="9"/>
            <color indexed="81"/>
            <rFont val="宋体"/>
            <family val="3"/>
            <charset val="134"/>
          </rPr>
          <t>Author:</t>
        </r>
        <r>
          <rPr>
            <sz val="9"/>
            <color indexed="81"/>
            <rFont val="宋体"/>
            <family val="3"/>
            <charset val="134"/>
          </rPr>
          <t xml:space="preserve">
History data is by nature more self-consistent; prejection data may be not(See sheet"Future Energy Share"</t>
        </r>
      </text>
    </comment>
    <comment ref="S43" authorId="0" shapeId="0" xr:uid="{00000000-0006-0000-0800-000002000000}">
      <text>
        <r>
          <rPr>
            <b/>
            <sz val="9"/>
            <color indexed="81"/>
            <rFont val="宋体"/>
            <family val="3"/>
            <charset val="134"/>
          </rPr>
          <t>WU YZ:</t>
        </r>
        <r>
          <rPr>
            <sz val="9"/>
            <color indexed="81"/>
            <rFont val="宋体"/>
            <family val="3"/>
            <charset val="134"/>
          </rPr>
          <t xml:space="preserve">
should be zero</t>
        </r>
      </text>
    </comment>
    <comment ref="V43" authorId="0" shapeId="0" xr:uid="{00000000-0006-0000-0800-000003000000}">
      <text>
        <r>
          <rPr>
            <b/>
            <sz val="9"/>
            <color indexed="81"/>
            <rFont val="宋体"/>
            <family val="3"/>
            <charset val="134"/>
          </rPr>
          <t>WU YZ:
should be zero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1" authorId="0" shapeId="0" xr:uid="{00000000-0006-0000-0C00-000001000000}">
      <text>
        <r>
          <rPr>
            <b/>
            <sz val="9"/>
            <color indexed="81"/>
            <rFont val="宋体"/>
            <family val="3"/>
            <charset val="134"/>
          </rPr>
          <t>Author:</t>
        </r>
        <r>
          <rPr>
            <sz val="9"/>
            <color indexed="81"/>
            <rFont val="宋体"/>
            <family val="3"/>
            <charset val="134"/>
          </rPr>
          <t xml:space="preserve">
HK 2030 Baseline Review</t>
        </r>
      </text>
    </comment>
    <comment ref="A22" authorId="0" shapeId="0" xr:uid="{00000000-0006-0000-0C00-000002000000}">
      <text>
        <r>
          <rPr>
            <b/>
            <sz val="9"/>
            <color indexed="81"/>
            <rFont val="宋体"/>
            <family val="3"/>
            <charset val="134"/>
          </rPr>
          <t>Author:</t>
        </r>
        <r>
          <rPr>
            <sz val="9"/>
            <color indexed="81"/>
            <rFont val="宋体"/>
            <family val="3"/>
            <charset val="134"/>
          </rPr>
          <t xml:space="preserve">
Transposed from sheet Energy8Sec.
Commercial is the same.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2" authorId="0" shapeId="0" xr:uid="{00000000-0006-0000-0D00-000001000000}">
      <text>
        <r>
          <rPr>
            <b/>
            <sz val="9"/>
            <color indexed="81"/>
            <rFont val="Tahoma"/>
            <family val="2"/>
          </rPr>
          <t>Author:</t>
        </r>
        <r>
          <rPr>
            <sz val="9"/>
            <color indexed="81"/>
            <rFont val="Tahoma"/>
            <family val="2"/>
          </rPr>
          <t xml:space="preserve">
Roman to advise how we can improve on the estimate of energy efficiency change between 2016 and 2050?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D14" authorId="0" shapeId="0" xr:uid="{00000000-0006-0000-0E00-000001000000}">
      <text>
        <r>
          <rPr>
            <b/>
            <sz val="9"/>
            <color indexed="81"/>
            <rFont val="宋体"/>
            <family val="3"/>
            <charset val="134"/>
          </rPr>
          <t>Author:</t>
        </r>
        <r>
          <rPr>
            <sz val="9"/>
            <color indexed="81"/>
            <rFont val="宋体"/>
            <family val="3"/>
            <charset val="134"/>
          </rPr>
          <t xml:space="preserve">
Or maybe:
=TREND($AD$3:$AD$13,$A$3:$A$13,A14)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N16" authorId="0" shapeId="0" xr:uid="{00000000-0006-0000-1200-000001000000}">
      <text>
        <r>
          <rPr>
            <b/>
            <sz val="9"/>
            <color indexed="81"/>
            <rFont val="宋体"/>
            <family val="3"/>
            <charset val="134"/>
          </rPr>
          <t>WU YZ:
I think it should be zero; and the differences between the value and 0 might be an indicator implying whether the estimated energy end-use share is proper and self-consistant.</t>
        </r>
      </text>
    </comment>
    <comment ref="Q16" authorId="0" shapeId="0" xr:uid="{00000000-0006-0000-1200-000002000000}">
      <text>
        <r>
          <rPr>
            <sz val="9"/>
            <color indexed="81"/>
            <rFont val="宋体"/>
            <family val="3"/>
            <charset val="134"/>
          </rPr>
          <t>WU YZ:
I think it should be zero; and the differences between the value and 0 might be an indicator implying whether the estimated energy end-use share is proper and self-consistant.</t>
        </r>
      </text>
    </comment>
    <comment ref="N67" authorId="0" shapeId="0" xr:uid="{00000000-0006-0000-1200-000003000000}">
      <text>
        <r>
          <rPr>
            <b/>
            <sz val="9"/>
            <color indexed="81"/>
            <rFont val="宋体"/>
            <family val="3"/>
            <charset val="134"/>
          </rPr>
          <t>WU YZ:
I think it should be zero; and the differences between the value and 0 might be an indicator implying whether the estimated energy end-use share is proper and self-consistant.</t>
        </r>
      </text>
    </comment>
    <comment ref="Q67" authorId="0" shapeId="0" xr:uid="{00000000-0006-0000-1200-000004000000}">
      <text>
        <r>
          <rPr>
            <sz val="9"/>
            <color indexed="81"/>
            <rFont val="宋体"/>
            <family val="3"/>
            <charset val="134"/>
          </rPr>
          <t>WU YZ:
I think it should be zero; and the differences between the value and 0 might be an indicator implying whether the estimated energy end-use share is proper and self-consistant.</t>
        </r>
      </text>
    </comment>
    <comment ref="Y119" authorId="0" shapeId="0" xr:uid="{00000000-0006-0000-1200-000005000000}">
      <text>
        <r>
          <rPr>
            <b/>
            <sz val="9"/>
            <color indexed="81"/>
            <rFont val="宋体"/>
            <family val="3"/>
            <charset val="134"/>
          </rPr>
          <t>WU YZ:
I think it should be zero; and the differences between the value and 0 might be an indicator implying whether the estimated energy end-use share is proper and self-consistant.</t>
        </r>
      </text>
    </comment>
    <comment ref="AG125" authorId="0" shapeId="0" xr:uid="{00000000-0006-0000-1200-000006000000}">
      <text>
        <r>
          <rPr>
            <b/>
            <sz val="9"/>
            <color indexed="81"/>
            <rFont val="宋体"/>
            <family val="3"/>
            <charset val="134"/>
          </rPr>
          <t>Author:</t>
        </r>
        <r>
          <rPr>
            <sz val="9"/>
            <color indexed="81"/>
            <rFont val="宋体"/>
            <family val="3"/>
            <charset val="134"/>
          </rPr>
          <t xml:space="preserve">
because they don't use energy other than electricity</t>
        </r>
      </text>
    </comment>
    <comment ref="AG128" authorId="0" shapeId="0" xr:uid="{00000000-0006-0000-1200-000007000000}">
      <text>
        <r>
          <rPr>
            <b/>
            <sz val="9"/>
            <color indexed="81"/>
            <rFont val="宋体"/>
            <family val="3"/>
            <charset val="134"/>
          </rPr>
          <t>Author:</t>
        </r>
        <r>
          <rPr>
            <sz val="9"/>
            <color indexed="81"/>
            <rFont val="宋体"/>
            <family val="3"/>
            <charset val="134"/>
          </rPr>
          <t xml:space="preserve">
They don't use energy other than electricity either.</t>
        </r>
      </text>
    </comment>
    <comment ref="Q131" authorId="0" shapeId="0" xr:uid="{00000000-0006-0000-1200-000008000000}">
      <text>
        <r>
          <rPr>
            <b/>
            <sz val="9"/>
            <color indexed="81"/>
            <rFont val="宋体"/>
            <family val="3"/>
            <charset val="134"/>
          </rPr>
          <t>Author:</t>
        </r>
        <r>
          <rPr>
            <sz val="9"/>
            <color indexed="81"/>
            <rFont val="宋体"/>
            <family val="3"/>
            <charset val="134"/>
          </rPr>
          <t xml:space="preserve">
assume it's fixed at 2014 level, to make other energy type</t>
        </r>
      </text>
    </comment>
    <comment ref="R131" authorId="0" shapeId="0" xr:uid="{00000000-0006-0000-1200-000009000000}">
      <text>
        <r>
          <rPr>
            <b/>
            <sz val="9"/>
            <color indexed="81"/>
            <rFont val="宋体"/>
            <family val="3"/>
            <charset val="134"/>
          </rPr>
          <t>Author:</t>
        </r>
        <r>
          <rPr>
            <sz val="9"/>
            <color indexed="81"/>
            <rFont val="宋体"/>
            <family val="3"/>
            <charset val="134"/>
          </rPr>
          <t xml:space="preserve">
Assume it's fixed at 2014 level-"Others"category not below zero</t>
        </r>
      </text>
    </comment>
    <comment ref="AA164" authorId="0" shapeId="0" xr:uid="{00000000-0006-0000-1200-00000A000000}">
      <text>
        <r>
          <rPr>
            <b/>
            <sz val="9"/>
            <color indexed="81"/>
            <rFont val="宋体"/>
            <family val="3"/>
            <charset val="134"/>
          </rPr>
          <t>Author:</t>
        </r>
        <r>
          <rPr>
            <sz val="9"/>
            <color indexed="81"/>
            <rFont val="宋体"/>
            <family val="3"/>
            <charset val="134"/>
          </rPr>
          <t xml:space="preserve">
may be a little bit  too high;but I haven't found a good adjustment for it</t>
        </r>
      </text>
    </comment>
  </commentList>
</comments>
</file>

<file path=xl/sharedStrings.xml><?xml version="1.0" encoding="utf-8"?>
<sst xmlns="http://schemas.openxmlformats.org/spreadsheetml/2006/main" count="2294" uniqueCount="980">
  <si>
    <t>Year</t>
  </si>
  <si>
    <t>Year</t>
    <phoneticPr fontId="3" type="noConversion"/>
  </si>
  <si>
    <t>Unit:Terajoule</t>
    <phoneticPr fontId="3" type="noConversion"/>
  </si>
  <si>
    <t>住宅 Residential</t>
    <phoneticPr fontId="3" type="noConversion"/>
  </si>
  <si>
    <t>商业 Commercial</t>
    <phoneticPr fontId="3" type="noConversion"/>
  </si>
  <si>
    <t>工业 Industrial</t>
    <phoneticPr fontId="3" type="noConversion"/>
  </si>
  <si>
    <t>运输 Transport</t>
    <phoneticPr fontId="3" type="noConversion"/>
  </si>
  <si>
    <t>总计 Total</t>
    <phoneticPr fontId="3" type="noConversion"/>
  </si>
  <si>
    <t>终端能源使用All Energy Consumption By Sectors</t>
    <phoneticPr fontId="3" type="noConversion"/>
  </si>
  <si>
    <t>Sectors Energy Consumption Percentage</t>
    <phoneticPr fontId="3" type="noConversion"/>
  </si>
  <si>
    <t>电力使用 Electricity Consuption By Sectors</t>
    <phoneticPr fontId="3" type="noConversion"/>
  </si>
  <si>
    <t>Sectors Electricity Consumption Percentage</t>
    <phoneticPr fontId="3" type="noConversion"/>
  </si>
  <si>
    <t>P23</t>
    <phoneticPr fontId="3" type="noConversion"/>
  </si>
  <si>
    <r>
      <rPr>
        <sz val="8"/>
        <rFont val="Noto Sans CJK JP Regular"/>
        <family val="2"/>
      </rPr>
      <t xml:space="preserve">年份
</t>
    </r>
    <r>
      <rPr>
        <sz val="8"/>
        <rFont val="Arial"/>
        <family val="2"/>
      </rPr>
      <t>Year</t>
    </r>
  </si>
  <si>
    <r>
      <rPr>
        <sz val="8"/>
        <rFont val="Noto Sans CJK JP Regular"/>
        <family val="2"/>
      </rPr>
      <t>煤氣及石油氣</t>
    </r>
    <r>
      <rPr>
        <sz val="8"/>
        <rFont val="Arial"/>
        <family val="2"/>
      </rPr>
      <t xml:space="preserve">*
</t>
    </r>
    <r>
      <rPr>
        <sz val="6"/>
        <rFont val="Arial"/>
        <family val="2"/>
      </rPr>
      <t xml:space="preserve">Town Gas &amp;
</t>
    </r>
    <r>
      <rPr>
        <sz val="6"/>
        <rFont val="Arial"/>
        <family val="2"/>
      </rPr>
      <t>Liquefied Petroleum Gas*</t>
    </r>
  </si>
  <si>
    <r>
      <rPr>
        <sz val="8"/>
        <rFont val="Noto Sans CJK JP Regular"/>
        <family val="2"/>
      </rPr>
      <t xml:space="preserve">油及煤產品
</t>
    </r>
    <r>
      <rPr>
        <sz val="8"/>
        <rFont val="Arial"/>
        <family val="2"/>
      </rPr>
      <t xml:space="preserve">Oil &amp; Coal
</t>
    </r>
    <r>
      <rPr>
        <sz val="8"/>
        <rFont val="Arial"/>
        <family val="2"/>
      </rPr>
      <t>Products</t>
    </r>
  </si>
  <si>
    <r>
      <rPr>
        <sz val="8"/>
        <rFont val="Noto Sans CJK JP Regular"/>
        <family val="2"/>
      </rPr>
      <t xml:space="preserve">電力
</t>
    </r>
    <r>
      <rPr>
        <sz val="8"/>
        <rFont val="Arial"/>
        <family val="2"/>
      </rPr>
      <t>Electricity</t>
    </r>
  </si>
  <si>
    <r>
      <rPr>
        <sz val="8"/>
        <rFont val="Noto Sans CJK JP Regular"/>
        <family val="2"/>
      </rPr>
      <t xml:space="preserve">總計
</t>
    </r>
    <r>
      <rPr>
        <sz val="8"/>
        <rFont val="Arial"/>
        <family val="2"/>
      </rPr>
      <t>Total</t>
    </r>
  </si>
  <si>
    <t>住宅 Residential</t>
    <phoneticPr fontId="3" type="noConversion"/>
  </si>
  <si>
    <t>商业 Commercial</t>
    <phoneticPr fontId="3" type="noConversion"/>
  </si>
  <si>
    <t>空气调节</t>
    <phoneticPr fontId="3" type="noConversion"/>
  </si>
  <si>
    <t>Air Conditioning</t>
    <phoneticPr fontId="3" type="noConversion"/>
  </si>
  <si>
    <t>热水</t>
    <phoneticPr fontId="3" type="noConversion"/>
  </si>
  <si>
    <t>照明</t>
    <phoneticPr fontId="3" type="noConversion"/>
  </si>
  <si>
    <t>办公设备</t>
    <phoneticPr fontId="3" type="noConversion"/>
  </si>
  <si>
    <t>冷冻</t>
    <phoneticPr fontId="3" type="noConversion"/>
  </si>
  <si>
    <t>煮食</t>
    <phoneticPr fontId="3" type="noConversion"/>
  </si>
  <si>
    <t>Hot Water</t>
    <phoneticPr fontId="3" type="noConversion"/>
  </si>
  <si>
    <t>Lighting</t>
    <phoneticPr fontId="3" type="noConversion"/>
  </si>
  <si>
    <t>Refrigeration</t>
    <phoneticPr fontId="3" type="noConversion"/>
  </si>
  <si>
    <t>Office Equipment</t>
    <phoneticPr fontId="3" type="noConversion"/>
  </si>
  <si>
    <t>Cooking</t>
    <phoneticPr fontId="3" type="noConversion"/>
  </si>
  <si>
    <t>其他</t>
    <phoneticPr fontId="3" type="noConversion"/>
  </si>
  <si>
    <t>Others</t>
    <phoneticPr fontId="3" type="noConversion"/>
  </si>
  <si>
    <t>Energy</t>
    <phoneticPr fontId="3" type="noConversion"/>
  </si>
  <si>
    <t>Electricity</t>
    <phoneticPr fontId="3" type="noConversion"/>
  </si>
  <si>
    <t>Sum</t>
    <phoneticPr fontId="3" type="noConversion"/>
  </si>
  <si>
    <t>热水及冷冻</t>
    <phoneticPr fontId="3" type="noConversion"/>
  </si>
  <si>
    <t>Hot Water &amp; Refrigeration</t>
    <phoneticPr fontId="3" type="noConversion"/>
  </si>
  <si>
    <t>Electricity</t>
    <phoneticPr fontId="3" type="noConversion"/>
  </si>
  <si>
    <t>electricity(TJ)</t>
    <phoneticPr fontId="3" type="noConversion"/>
  </si>
  <si>
    <t>可以解方程解出除电力外(另外两种能源平均）的能源使用占比</t>
    <phoneticPr fontId="3" type="noConversion"/>
  </si>
  <si>
    <t>x*能源用量+35%*电力用量=25%*总能源用量</t>
    <phoneticPr fontId="3" type="noConversion"/>
  </si>
  <si>
    <t>Air Conditioning</t>
  </si>
  <si>
    <t>Hot Water &amp; Refrigeration</t>
  </si>
  <si>
    <t>Lighting</t>
  </si>
  <si>
    <t>Office Equipment</t>
  </si>
  <si>
    <t>Cooking</t>
  </si>
  <si>
    <t>Others</t>
  </si>
  <si>
    <t>Sum</t>
  </si>
  <si>
    <t>Sum</t>
    <phoneticPr fontId="3" type="noConversion"/>
  </si>
  <si>
    <t>Energy</t>
    <phoneticPr fontId="3" type="noConversion"/>
  </si>
  <si>
    <t>Energy Except Electricity (Town gas, oil&amp;coal)</t>
  </si>
  <si>
    <t>Sum</t>
    <phoneticPr fontId="3" type="noConversion"/>
  </si>
  <si>
    <t>Sum</t>
    <phoneticPr fontId="3" type="noConversion"/>
  </si>
  <si>
    <t>Chapter : By Sectors&amp;Segments</t>
    <phoneticPr fontId="3" type="noConversion"/>
  </si>
  <si>
    <t xml:space="preserve">The Categories are different in End-use Datas which reporting the end-use data </t>
    <phoneticPr fontId="3" type="noConversion"/>
  </si>
  <si>
    <t>between 2007 and 2010</t>
  </si>
  <si>
    <t>No data about electricity demand decomposition between 2007-2011</t>
    <phoneticPr fontId="3" type="noConversion"/>
  </si>
  <si>
    <t>Data from END-use data report 2018</t>
    <phoneticPr fontId="3" type="noConversion"/>
  </si>
  <si>
    <t>Data from END-use data report 2013-2018</t>
    <phoneticPr fontId="3" type="noConversion"/>
  </si>
  <si>
    <t>Calculating the decomposition of energy other than electricity</t>
    <phoneticPr fontId="3" type="noConversion"/>
  </si>
  <si>
    <t>Equation: for a certain category(e.g. air conditioning), assuming the fraction of energy consumption, other than electricity consumption, of this category, is x</t>
    <phoneticPr fontId="3" type="noConversion"/>
  </si>
  <si>
    <t xml:space="preserve">Then, the total consumption in 2005 in the residential sector in air-conditioning category is </t>
    <phoneticPr fontId="3" type="noConversion"/>
  </si>
  <si>
    <t>Energy Except Electricity (Town gas, oil&amp;coal)</t>
    <phoneticPr fontId="3" type="noConversion"/>
  </si>
  <si>
    <t>Therefore,  x=(23%*Total energy consumption in redidential sector-35%*electricity consumption)/(other energy consumption)</t>
    <phoneticPr fontId="3" type="noConversion"/>
  </si>
  <si>
    <t>23%*Total energy consumption in redidential sector=35%*electricity consumption+x*other energy consumption</t>
    <phoneticPr fontId="3" type="noConversion"/>
  </si>
  <si>
    <t>Calculating Results:</t>
    <phoneticPr fontId="3" type="noConversion"/>
  </si>
  <si>
    <t>Hot Water</t>
  </si>
  <si>
    <t>Refrigeration</t>
  </si>
  <si>
    <t xml:space="preserve">Then, the total consumption in 2005 in the commercial sector in air-conditioning category is </t>
    <phoneticPr fontId="3" type="noConversion"/>
  </si>
  <si>
    <t>23%*Total energy consumption in commercial sector=35%*electricity consumption+x*other energy consumption</t>
    <phoneticPr fontId="3" type="noConversion"/>
  </si>
  <si>
    <t>No data</t>
    <phoneticPr fontId="3" type="noConversion"/>
  </si>
  <si>
    <t>sum=100%</t>
    <phoneticPr fontId="3" type="noConversion"/>
  </si>
  <si>
    <t>value with 0；</t>
    <phoneticPr fontId="3" type="noConversion"/>
  </si>
  <si>
    <t xml:space="preserve">1.Replace negative </t>
    <phoneticPr fontId="3" type="noConversion"/>
  </si>
  <si>
    <t>2.Adjust "other" to make</t>
    <phoneticPr fontId="3" type="noConversion"/>
  </si>
  <si>
    <t>2.Adjust "Cooking" to make</t>
    <phoneticPr fontId="3" type="noConversion"/>
  </si>
  <si>
    <t>Main Finding from the above data</t>
    <phoneticPr fontId="3" type="noConversion"/>
  </si>
  <si>
    <t>1.There exist differences in the composition of different end-use among different energy types</t>
    <phoneticPr fontId="3" type="noConversion"/>
  </si>
  <si>
    <t>2.The demand composition of different end-use of a certain type of energy is almost stable throughout tht years</t>
    <phoneticPr fontId="3" type="noConversion"/>
  </si>
  <si>
    <t>natural gas(TJ)</t>
    <phoneticPr fontId="3" type="noConversion"/>
  </si>
  <si>
    <t>coal(TJ)</t>
    <phoneticPr fontId="3" type="noConversion"/>
  </si>
  <si>
    <t>petroleum diesel (TJ)</t>
    <phoneticPr fontId="3" type="noConversion"/>
  </si>
  <si>
    <t>biomass (TJ)</t>
    <phoneticPr fontId="3" type="noConversion"/>
  </si>
  <si>
    <t>heat (TJ)</t>
    <phoneticPr fontId="3" type="noConversion"/>
  </si>
  <si>
    <t>Note</t>
    <phoneticPr fontId="3" type="noConversion"/>
  </si>
  <si>
    <t>Cooling</t>
    <phoneticPr fontId="3" type="noConversion"/>
  </si>
  <si>
    <t>Heating</t>
    <phoneticPr fontId="3" type="noConversion"/>
  </si>
  <si>
    <t>Appliance</t>
    <phoneticPr fontId="3" type="noConversion"/>
  </si>
  <si>
    <t>https://www.emsd.gov.hk/en/energy_efficiency/energy_end_use_data_and_consumption_indicators/hong_kong_energy_end_use_data/data/index.html</t>
  </si>
  <si>
    <t>Sources:</t>
  </si>
  <si>
    <t>Hong Kong Energy End-use Data</t>
  </si>
  <si>
    <t>2013-2018</t>
    <phoneticPr fontId="3" type="noConversion"/>
  </si>
  <si>
    <t>Sheets:"Energy8Sec","Residential8Fuel","Commercial8Fuel","Residential8EndUse" and "Commercial8EndUse" are all from this data source.</t>
    <phoneticPr fontId="3" type="noConversion"/>
  </si>
  <si>
    <t>This part of data collection has not been finished.</t>
    <phoneticPr fontId="3" type="noConversion"/>
  </si>
  <si>
    <t xml:space="preserve">Next step: </t>
    <phoneticPr fontId="3" type="noConversion"/>
  </si>
  <si>
    <t>2.Use historical and predicted data of :Population, GDP, total residential area, total commercial arer, average number of people per household, average residential area per household</t>
    <phoneticPr fontId="3" type="noConversion"/>
  </si>
  <si>
    <t>to make linear or non-linear regression to predict future total energy consumption of residential/commercial sector of each fuel type.</t>
    <phoneticPr fontId="3" type="noConversion"/>
  </si>
  <si>
    <t>Then assuming the end-use composition stay unchanged throught the years, and the already-annouced building energy saving goal achieved.</t>
    <phoneticPr fontId="3" type="noConversion"/>
  </si>
  <si>
    <t>To predict future BAU End-use Data</t>
    <phoneticPr fontId="3" type="noConversion"/>
  </si>
  <si>
    <t>Unit</t>
    <phoneticPr fontId="3" type="noConversion"/>
  </si>
  <si>
    <t xml:space="preserve">Population(HK Gov Census) </t>
    <phoneticPr fontId="3" type="noConversion"/>
  </si>
  <si>
    <t>×10^3 people</t>
    <phoneticPr fontId="3" type="noConversion"/>
  </si>
  <si>
    <t>GDP(2018 onward: from extrapolation)</t>
    <phoneticPr fontId="3" type="noConversion"/>
  </si>
  <si>
    <t>GDP per capita</t>
    <phoneticPr fontId="3" type="noConversion"/>
  </si>
  <si>
    <t>History data</t>
    <phoneticPr fontId="3" type="noConversion"/>
  </si>
  <si>
    <t>Prejection from reports</t>
    <phoneticPr fontId="3" type="noConversion"/>
  </si>
  <si>
    <t>Million</t>
    <phoneticPr fontId="3" type="noConversion"/>
  </si>
  <si>
    <t>N.A.</t>
  </si>
  <si>
    <t>10/1981 - 12/1981</t>
  </si>
  <si>
    <t>1/1982 - 3/1982</t>
  </si>
  <si>
    <t>4/1982 - 6/1982</t>
  </si>
  <si>
    <t>7/1982 - 9/1982</t>
  </si>
  <si>
    <t>10/1982 - 12/1982</t>
  </si>
  <si>
    <t>1/1983 - 3/1983</t>
  </si>
  <si>
    <t>4/1983 - 6/1983</t>
  </si>
  <si>
    <t>7/1983 - 9/1983</t>
  </si>
  <si>
    <t>10/1983 - 12/1983</t>
  </si>
  <si>
    <t>1/1984 - 3/1984</t>
  </si>
  <si>
    <t>4/1984 - 6/1984</t>
  </si>
  <si>
    <t>7/1984 - 9/1984</t>
  </si>
  <si>
    <t>10/1984 - 12/1984</t>
  </si>
  <si>
    <t>1/1985 - 3/1985</t>
  </si>
  <si>
    <t>4/1985 - 6/1985</t>
  </si>
  <si>
    <t>7/1985 - 9/1985</t>
  </si>
  <si>
    <t>10/1985 - 12/1985</t>
  </si>
  <si>
    <t>1/1986 - 3/1986</t>
  </si>
  <si>
    <t>4/1986 - 6/1986</t>
  </si>
  <si>
    <t>7/1986 - 9/1986</t>
  </si>
  <si>
    <t>10/1986 - 12/1986</t>
  </si>
  <si>
    <t>1/1987 - 3/1987</t>
  </si>
  <si>
    <t>4/1987 - 6/1987</t>
  </si>
  <si>
    <t>7/1987 - 9/1987</t>
  </si>
  <si>
    <t>10/1987 - 12/1987</t>
  </si>
  <si>
    <t>1/1988 - 3/1988</t>
  </si>
  <si>
    <t>4/1988 - 6/1988</t>
  </si>
  <si>
    <t>7/1988 - 9/1988</t>
  </si>
  <si>
    <t>10/1988 - 12/1988</t>
  </si>
  <si>
    <t>1/1989 - 3/1989</t>
  </si>
  <si>
    <t>4/1989 - 6/1989</t>
  </si>
  <si>
    <t>7/1989 - 9/1989</t>
  </si>
  <si>
    <t>10/1989 - 12/1989</t>
  </si>
  <si>
    <t>1/1990 - 3/1990</t>
  </si>
  <si>
    <t>4/1990 - 6/1990</t>
  </si>
  <si>
    <t>7/1990 - 9/1990</t>
  </si>
  <si>
    <t>10/1990 - 12/1990</t>
  </si>
  <si>
    <t>1/1991 - 3/1991</t>
  </si>
  <si>
    <t>4/1991 - 6/1991</t>
  </si>
  <si>
    <t>7/1991 - 9/1991</t>
  </si>
  <si>
    <t>10/1991 - 12/1991</t>
  </si>
  <si>
    <t>1/1992 - 3/1992</t>
  </si>
  <si>
    <t>4/1992 - 6/1992</t>
  </si>
  <si>
    <t>7/1992 - 9/1992</t>
  </si>
  <si>
    <t>10/1992 - 12/1992</t>
  </si>
  <si>
    <t>1/1993 - 3/1993</t>
  </si>
  <si>
    <t>2/1993 - 4/1993</t>
  </si>
  <si>
    <t>3/1993 - 5/1993</t>
  </si>
  <si>
    <t>4/1993 - 6/1993</t>
  </si>
  <si>
    <t>5/1993 - 7/1993</t>
  </si>
  <si>
    <t>6/1993 - 8/1993</t>
  </si>
  <si>
    <t>7/1993 - 9/1993</t>
  </si>
  <si>
    <t>8/1993 - 10/1993</t>
  </si>
  <si>
    <t>9/1993 - 11/1993</t>
  </si>
  <si>
    <t>10/1993 - 12/1993</t>
  </si>
  <si>
    <t>11/1993 - 1/1994</t>
  </si>
  <si>
    <t>12/1993 - 2/1994</t>
  </si>
  <si>
    <t>1/1994 - 3/1994</t>
  </si>
  <si>
    <t>2/1994 - 4/1994</t>
  </si>
  <si>
    <t>3/1994 - 5/1994</t>
  </si>
  <si>
    <t>4/1994 - 6/1994</t>
  </si>
  <si>
    <t>5/1994 - 7/1994</t>
  </si>
  <si>
    <t>6/1994 - 8/1994</t>
  </si>
  <si>
    <t>7/1994 - 9/1994</t>
  </si>
  <si>
    <t>8/1994 - 10/1994</t>
  </si>
  <si>
    <t>9/1994 - 11/1994</t>
  </si>
  <si>
    <t>10/1994 - 12/1994</t>
  </si>
  <si>
    <t>11/1994 - 1/1995</t>
  </si>
  <si>
    <t>12/1994 - 2/1995</t>
  </si>
  <si>
    <t>1/1995 - 3/1995</t>
  </si>
  <si>
    <t>2/1995 - 4/1995</t>
  </si>
  <si>
    <t>3/1995 - 5/1995</t>
  </si>
  <si>
    <t>4/1995 - 6/1995</t>
  </si>
  <si>
    <t>5/1995 - 7/1995</t>
  </si>
  <si>
    <t>6/1995 - 8/1995</t>
  </si>
  <si>
    <t>7/1995 - 9/1995</t>
  </si>
  <si>
    <t>8/1995 - 10/1995</t>
  </si>
  <si>
    <t>9/1995 - 11/1995</t>
  </si>
  <si>
    <t>10/1995 - 12/1995</t>
  </si>
  <si>
    <t>11/1995 - 1/1996</t>
  </si>
  <si>
    <t>12/1995 - 2/1996</t>
  </si>
  <si>
    <t>1/1996 - 3/1996</t>
  </si>
  <si>
    <t>2/1996 - 4/1996</t>
  </si>
  <si>
    <t>3/1996 - 5/1996</t>
  </si>
  <si>
    <t>4/1996 - 6/1996</t>
  </si>
  <si>
    <t>5/1996 - 7/1996</t>
  </si>
  <si>
    <t>6/1996 - 8/1996</t>
  </si>
  <si>
    <t>7/1996 - 9/1996</t>
  </si>
  <si>
    <t>8/1996 - 10/1996</t>
  </si>
  <si>
    <t>9/1996 - 11/1996</t>
  </si>
  <si>
    <t>10/1996 - 12/1996</t>
  </si>
  <si>
    <t>11/1996 - 1/1997</t>
  </si>
  <si>
    <t>12/1996 - 2/1997</t>
  </si>
  <si>
    <t>1/1997 - 3/1997</t>
  </si>
  <si>
    <t>2/1997 - 4/1997</t>
  </si>
  <si>
    <t>3/1997 - 5/1997</t>
  </si>
  <si>
    <t>4/1997 - 6/1997</t>
  </si>
  <si>
    <t>5/1997 - 7/1997</t>
  </si>
  <si>
    <t>6/1997 - 8/1997</t>
  </si>
  <si>
    <t>7/1997 - 9/1997</t>
  </si>
  <si>
    <t>8/1997 - 10/1997</t>
  </si>
  <si>
    <t>9/1997 - 11/1997</t>
  </si>
  <si>
    <t>10/1997 - 12/1997</t>
  </si>
  <si>
    <t>11/1997 - 1/1998</t>
  </si>
  <si>
    <t>12/1997 - 2/1998</t>
  </si>
  <si>
    <t>1/1998 - 3/1998</t>
  </si>
  <si>
    <t>2/1998 - 4/1998</t>
  </si>
  <si>
    <t>3/1998 - 5/1998</t>
  </si>
  <si>
    <t>4/1998 - 6/1998</t>
  </si>
  <si>
    <t>5/1998 - 7/1998</t>
  </si>
  <si>
    <t>6/1998 - 8/1998</t>
  </si>
  <si>
    <t>7/1998 - 9/1998</t>
  </si>
  <si>
    <t>8/1998 - 10/1998</t>
  </si>
  <si>
    <t>9/1998 - 11/1998</t>
  </si>
  <si>
    <t>10/1998 - 12/1998</t>
  </si>
  <si>
    <t>11/1998 - 1/1999</t>
  </si>
  <si>
    <t>12/1998 - 2/1999</t>
  </si>
  <si>
    <t>1/1999 - 3/1999</t>
  </si>
  <si>
    <t>2/1999 - 4/1999</t>
  </si>
  <si>
    <t>3/1999 - 5/1999</t>
  </si>
  <si>
    <t>4/1999 - 6/1999</t>
  </si>
  <si>
    <t>5/1999 - 7/1999</t>
  </si>
  <si>
    <t>6/1999 - 8/1999</t>
  </si>
  <si>
    <t>7/1999 - 9/1999</t>
  </si>
  <si>
    <t>8/1999 - 10/1999</t>
  </si>
  <si>
    <t>9/1999 - 11/1999</t>
  </si>
  <si>
    <t>10/1999 - 12/1999</t>
  </si>
  <si>
    <t>11/1999 - 1/2000</t>
  </si>
  <si>
    <t>12/1999 - 2/2000</t>
  </si>
  <si>
    <t>1/2000 - 3/2000</t>
  </si>
  <si>
    <t>2/2000 - 4/2000</t>
  </si>
  <si>
    <t>3/2000 - 5/2000</t>
  </si>
  <si>
    <t>4/2000 - 6/2000</t>
  </si>
  <si>
    <t>5/2000 - 7/2000</t>
  </si>
  <si>
    <t>6/2000 - 8/2000</t>
  </si>
  <si>
    <t>7/2000 - 9/2000</t>
  </si>
  <si>
    <t>8/2000 - 10/2000</t>
  </si>
  <si>
    <t>9/2000 - 11/2000</t>
  </si>
  <si>
    <t>10/2000 - 12/2000</t>
  </si>
  <si>
    <t>11/2000 - 1/2001</t>
  </si>
  <si>
    <t>12/2000 - 2/2001</t>
  </si>
  <si>
    <t>1/2001 - 3/2001</t>
  </si>
  <si>
    <t>2/2001 - 4/2001</t>
  </si>
  <si>
    <t>3/2001 - 5/2001</t>
  </si>
  <si>
    <t>4/2001 - 6/2001</t>
  </si>
  <si>
    <t>5/2001 - 7/2001</t>
  </si>
  <si>
    <t>6/2001 - 8/2001</t>
  </si>
  <si>
    <t>7/2001 - 9/2001</t>
  </si>
  <si>
    <t>8/2001 - 10/2001</t>
  </si>
  <si>
    <t>9/2001 - 11/2001</t>
  </si>
  <si>
    <t>10/2001 - 12/2001</t>
  </si>
  <si>
    <t>11/2001 - 1/2002</t>
  </si>
  <si>
    <t>12/2001 - 2/2002</t>
  </si>
  <si>
    <t>1/2002 - 3/2002</t>
  </si>
  <si>
    <t>2/2002 - 4/2002</t>
  </si>
  <si>
    <t>3/2002 - 5/2002</t>
  </si>
  <si>
    <t>4/2002 - 6/2002</t>
  </si>
  <si>
    <t>5/2002 - 7/2002</t>
  </si>
  <si>
    <t>6/2002 - 8/2002</t>
  </si>
  <si>
    <t>7/2002 - 9/2002</t>
  </si>
  <si>
    <t>8/2002 - 10/2002</t>
  </si>
  <si>
    <t>9/2002 - 11/2002</t>
  </si>
  <si>
    <t>10/2002 - 12/2002</t>
  </si>
  <si>
    <t>11/2002 - 1/2003</t>
  </si>
  <si>
    <t>12/2002 - 2/2003</t>
  </si>
  <si>
    <t>1/2003 - 3/2003</t>
  </si>
  <si>
    <t>2/2003 - 4/2003</t>
  </si>
  <si>
    <t>3/2003 - 5/2003</t>
  </si>
  <si>
    <t>4/2003 - 6/2003</t>
  </si>
  <si>
    <t>5/2003 - 7/2003</t>
  </si>
  <si>
    <t>6/2003 - 8/2003</t>
  </si>
  <si>
    <t>7/2003 - 9/2003</t>
  </si>
  <si>
    <t>8/2003 - 10/2003</t>
  </si>
  <si>
    <t>9/2003 - 11/2003</t>
  </si>
  <si>
    <t>10/2003 - 12/2003</t>
  </si>
  <si>
    <t>11/2003 - 1/2004</t>
  </si>
  <si>
    <t>12/2003 - 2/2004</t>
  </si>
  <si>
    <t>1/2004 - 3/2004</t>
  </si>
  <si>
    <t>2/2004 - 4/2004</t>
  </si>
  <si>
    <t>3/2004 - 5/2004</t>
  </si>
  <si>
    <t>4/2004 - 6/2004</t>
  </si>
  <si>
    <t>5/2004 - 7/2004</t>
  </si>
  <si>
    <t>6/2004 - 8/2004</t>
  </si>
  <si>
    <t>7/2004 - 9/2004</t>
  </si>
  <si>
    <t>8/2004 - 10/2004</t>
  </si>
  <si>
    <t>9/2004 - 11/2004</t>
  </si>
  <si>
    <t>10/2004 - 12/2004</t>
  </si>
  <si>
    <t>11/2004 - 1/2005</t>
  </si>
  <si>
    <t>12/2004 - 2/2005</t>
  </si>
  <si>
    <t>1/2005 - 3/2005</t>
  </si>
  <si>
    <t>2/2005 - 4/2005</t>
  </si>
  <si>
    <t>3/2005 - 5/2005</t>
  </si>
  <si>
    <t>4/2005 - 6/2005</t>
  </si>
  <si>
    <t>5/2005 - 7/2005</t>
  </si>
  <si>
    <t>6/2005 - 8/2005</t>
  </si>
  <si>
    <t>7/2005 - 9/2005</t>
  </si>
  <si>
    <t>8/2005 - 10/2005</t>
  </si>
  <si>
    <t>9/2005 - 11/2005</t>
  </si>
  <si>
    <t>10/2005 - 12/2005</t>
  </si>
  <si>
    <t>11/2005 - 1/2006</t>
  </si>
  <si>
    <t>12/2005 - 2/2006</t>
  </si>
  <si>
    <t>1/2006 - 3/2006</t>
  </si>
  <si>
    <t>2/2006 - 4/2006</t>
  </si>
  <si>
    <t>3/2006 - 5/2006</t>
  </si>
  <si>
    <t>4/2006 - 6/2006</t>
  </si>
  <si>
    <t>5/2006 - 7/2006</t>
  </si>
  <si>
    <t>6/2006 - 8/2006</t>
  </si>
  <si>
    <t>7/2006 - 9/2006</t>
  </si>
  <si>
    <t>8/2006 - 10/2006</t>
  </si>
  <si>
    <t>9/2006 - 11/2006</t>
  </si>
  <si>
    <t>10/2006 - 12/2006</t>
  </si>
  <si>
    <t>11/2006 - 1/2007</t>
  </si>
  <si>
    <t>12/2006 - 2/2007</t>
  </si>
  <si>
    <t>1/2007 - 3/2007</t>
  </si>
  <si>
    <t>2/2007 - 4/2007</t>
  </si>
  <si>
    <t>3/2007 - 5/2007</t>
  </si>
  <si>
    <t>4/2007 - 6/2007</t>
  </si>
  <si>
    <t>5/2007 - 7/2007</t>
  </si>
  <si>
    <t>6/2007 - 8/2007</t>
  </si>
  <si>
    <t>7/2007 - 9/2007</t>
  </si>
  <si>
    <t>8/2007 - 10/2007</t>
  </si>
  <si>
    <t>9/2007 - 11/2007</t>
  </si>
  <si>
    <t>10/2007 - 12/2007</t>
  </si>
  <si>
    <t>11/2007 - 1/2008</t>
  </si>
  <si>
    <t>12/2007 - 2/2008</t>
  </si>
  <si>
    <t>1/2008 - 3/2008</t>
  </si>
  <si>
    <t>2/2008 - 4/2008</t>
  </si>
  <si>
    <t>3/2008 - 5/2008</t>
  </si>
  <si>
    <t>4/2008 - 6/2008</t>
  </si>
  <si>
    <t>5/2008 - 7/2008</t>
  </si>
  <si>
    <t>6/2008 - 8/2008</t>
  </si>
  <si>
    <t>7/2008 - 9/2008</t>
  </si>
  <si>
    <t>8/2008 - 10/2008</t>
  </si>
  <si>
    <t>9/2008 - 11/2008</t>
  </si>
  <si>
    <t>10/2008 - 12/2008</t>
  </si>
  <si>
    <t>11/2008 - 1/2009</t>
  </si>
  <si>
    <t>12/2008 - 2/2009</t>
  </si>
  <si>
    <t>1/2009 - 3/2009</t>
  </si>
  <si>
    <t>2/2009 - 4/2009</t>
  </si>
  <si>
    <t>3/2009 - 5/2009</t>
  </si>
  <si>
    <t>4/2009 - 6/2009</t>
  </si>
  <si>
    <t>5/2009 - 7/2009</t>
  </si>
  <si>
    <t>6/2009 - 8/2009</t>
  </si>
  <si>
    <t>7/2009 - 9/2009</t>
  </si>
  <si>
    <t>8/2009 - 10/2009</t>
  </si>
  <si>
    <t>9/2009 - 11/2009</t>
  </si>
  <si>
    <t>10/2009 - 12/2009</t>
  </si>
  <si>
    <t>11/2009 - 1/2010</t>
  </si>
  <si>
    <t>12/2009 - 2/2010</t>
  </si>
  <si>
    <t>1/2010 - 3/2010</t>
  </si>
  <si>
    <t>2/2010 - 4/2010</t>
  </si>
  <si>
    <t>3/2010 - 5/2010</t>
  </si>
  <si>
    <t>4/2010 - 6/2010</t>
  </si>
  <si>
    <t>5/2010 - 7/2010</t>
  </si>
  <si>
    <t>6/2010 - 8/2010</t>
  </si>
  <si>
    <t>7/2010 - 9/2010</t>
  </si>
  <si>
    <t>8/2010 - 10/2010</t>
  </si>
  <si>
    <t>9/2010 - 11/2010</t>
  </si>
  <si>
    <t>10/2010 - 12/2010</t>
  </si>
  <si>
    <t>11/2010 - 1/2011</t>
  </si>
  <si>
    <t>12/2010 - 2/2011</t>
  </si>
  <si>
    <t>1/2011 - 3/2011</t>
  </si>
  <si>
    <t>2/2011 - 4/2011</t>
  </si>
  <si>
    <t>3/2011 - 5/2011</t>
  </si>
  <si>
    <t>4/2011 - 6/2011</t>
  </si>
  <si>
    <t>5/2011 - 7/2011</t>
  </si>
  <si>
    <t>6/2011 - 8/2011</t>
  </si>
  <si>
    <t>7/2011 - 9/2011</t>
  </si>
  <si>
    <t>8/2011 - 10/2011</t>
  </si>
  <si>
    <t>9/2011 - 11/2011</t>
  </si>
  <si>
    <t>10/2011 - 12/2011</t>
  </si>
  <si>
    <t>11/2011 - 1/2012</t>
  </si>
  <si>
    <t>12/2011 - 2/2012</t>
  </si>
  <si>
    <t>1/2012 - 3/2012</t>
  </si>
  <si>
    <t>2/2012 - 4/2012</t>
  </si>
  <si>
    <t>3/2012 - 5/2012</t>
  </si>
  <si>
    <t>4/2012 - 6/2012</t>
  </si>
  <si>
    <t>5/2012 - 7/2012</t>
  </si>
  <si>
    <t>6/2012 - 8/2012</t>
  </si>
  <si>
    <t>7/2012 - 9/2012</t>
  </si>
  <si>
    <t>8/2012 - 10/2012</t>
  </si>
  <si>
    <t>9/2012 - 11/2012</t>
  </si>
  <si>
    <t>10/2012 - 12/2012</t>
  </si>
  <si>
    <t>11/2012 - 1/2013</t>
  </si>
  <si>
    <t>12/2012 - 2/2013</t>
  </si>
  <si>
    <t>1/2013 - 3/2013</t>
  </si>
  <si>
    <t>2/2013 - 4/2013</t>
  </si>
  <si>
    <t>3/2013 - 5/2013</t>
  </si>
  <si>
    <t>4/2013 - 6/2013</t>
  </si>
  <si>
    <t>5/2013 - 7/2013</t>
  </si>
  <si>
    <t>6/2013 - 8/2013</t>
  </si>
  <si>
    <t>7/2013 - 9/2013</t>
  </si>
  <si>
    <t>8/2013 - 10/2013</t>
  </si>
  <si>
    <t>9/2013 - 11/2013</t>
  </si>
  <si>
    <t>10/2013 - 12/2013</t>
  </si>
  <si>
    <t>11/2013 - 1/2014</t>
  </si>
  <si>
    <t>12/2013 - 2/2014</t>
  </si>
  <si>
    <t>1/2014 - 3/2014</t>
  </si>
  <si>
    <t>2/2014 - 4/2014</t>
  </si>
  <si>
    <t>3/2014 - 5/2014</t>
  </si>
  <si>
    <t>4/2014 - 6/2014</t>
  </si>
  <si>
    <t>5/2014 - 7/2014</t>
  </si>
  <si>
    <t>6/2014 - 8/2014</t>
  </si>
  <si>
    <t>7/2014 - 9/2014</t>
  </si>
  <si>
    <t>8/2014 - 10/2014</t>
  </si>
  <si>
    <t>9/2014 - 11/2014</t>
  </si>
  <si>
    <t>10/2014 - 12/2014</t>
  </si>
  <si>
    <t>11/2014 - 1/2015</t>
  </si>
  <si>
    <t>12/2014 - 2/2015</t>
  </si>
  <si>
    <t>1/2015 - 3/2015</t>
  </si>
  <si>
    <t>2/2015 - 4/2015</t>
  </si>
  <si>
    <t>3/2015 - 5/2015</t>
  </si>
  <si>
    <t>4/2015 - 6/2015</t>
  </si>
  <si>
    <t>5/2015 - 7/2015</t>
  </si>
  <si>
    <t>6/2015 - 8/2015</t>
  </si>
  <si>
    <t>7/2015 - 9/2015</t>
  </si>
  <si>
    <t>8/2015 - 10/2015</t>
  </si>
  <si>
    <t>9/2015 - 11/2015</t>
  </si>
  <si>
    <t>10/2015 - 12/2015</t>
  </si>
  <si>
    <t>11/2015 - 1/2016</t>
  </si>
  <si>
    <t>12/2015 - 2/2016</t>
  </si>
  <si>
    <t>1/2016 - 3/2016</t>
  </si>
  <si>
    <t>2/2016 - 4/2016</t>
  </si>
  <si>
    <t>3/2016 - 5/2016</t>
  </si>
  <si>
    <t>4/2016 - 6/2016</t>
  </si>
  <si>
    <t>5/2016 - 7/2016</t>
  </si>
  <si>
    <t>6/2016 - 8/2016</t>
  </si>
  <si>
    <t>7/2016 - 9/2016</t>
  </si>
  <si>
    <t>8/2016 - 10/2016</t>
  </si>
  <si>
    <t>9/2016 - 11/2016</t>
  </si>
  <si>
    <t>10/2016 - 12/2016</t>
  </si>
  <si>
    <t>11/2016 - 1/2017</t>
  </si>
  <si>
    <t>12/2016 - 2/2017</t>
  </si>
  <si>
    <t>1/2017 - 3/2017</t>
  </si>
  <si>
    <t>2/2017 - 4/2017</t>
  </si>
  <si>
    <t>3/2017 - 5/2017</t>
  </si>
  <si>
    <t>4/2017 - 6/2017</t>
  </si>
  <si>
    <t>5/2017 - 7/2017</t>
  </si>
  <si>
    <t>6/2017 - 8/2017</t>
  </si>
  <si>
    <t>7/2017 - 9/2017</t>
  </si>
  <si>
    <t>8/2017 - 10/2017</t>
  </si>
  <si>
    <t>9/2017 - 11/2017</t>
  </si>
  <si>
    <t>10/2017 - 12/2017</t>
  </si>
  <si>
    <t>11/2017 - 1/2018</t>
  </si>
  <si>
    <t>12/2017 - 2/2018</t>
  </si>
  <si>
    <t>1/2018 - 3/2018</t>
  </si>
  <si>
    <t>2/2018 - 4/2018</t>
  </si>
  <si>
    <t>3/2018 - 5/2018</t>
  </si>
  <si>
    <t>4/2018 - 6/2018</t>
  </si>
  <si>
    <t>5/2018 - 7/2018</t>
  </si>
  <si>
    <t>6/2018 - 8/2018</t>
  </si>
  <si>
    <t>7/2018 - 9/2018</t>
  </si>
  <si>
    <t>8/2018 - 10/2018</t>
  </si>
  <si>
    <t>9/2018 - 11/2018</t>
  </si>
  <si>
    <t>10/2018 - 12/2018</t>
  </si>
  <si>
    <t/>
  </si>
  <si>
    <r>
      <rPr>
        <b/>
        <sz val="14"/>
        <color indexed="8"/>
        <rFont val="新細明體"/>
        <family val="1"/>
        <charset val="136"/>
      </rPr>
      <t>表</t>
    </r>
    <r>
      <rPr>
        <b/>
        <sz val="14"/>
        <color indexed="8"/>
        <rFont val="Times New Roman"/>
        <family val="1"/>
      </rPr>
      <t xml:space="preserve"> 1</t>
    </r>
    <phoneticPr fontId="21" type="noConversion"/>
  </si>
  <si>
    <r>
      <rPr>
        <b/>
        <sz val="14"/>
        <color indexed="8"/>
        <rFont val="新細明體"/>
        <family val="1"/>
        <charset val="136"/>
      </rPr>
      <t>家庭住戶數目及平均住戶人數</t>
    </r>
  </si>
  <si>
    <t>Table 1</t>
    <phoneticPr fontId="21" type="noConversion"/>
  </si>
  <si>
    <t>Number of domestic households and average household size</t>
    <phoneticPr fontId="21" type="noConversion"/>
  </si>
  <si>
    <r>
      <rPr>
        <sz val="11"/>
        <color indexed="8"/>
        <rFont val="新細明體"/>
        <family val="1"/>
        <charset val="136"/>
      </rPr>
      <t>年份</t>
    </r>
  </si>
  <si>
    <r>
      <rPr>
        <sz val="11"/>
        <color indexed="8"/>
        <rFont val="新細明體"/>
        <family val="1"/>
        <charset val="136"/>
      </rPr>
      <t>家庭住戶數目</t>
    </r>
  </si>
  <si>
    <r>
      <rPr>
        <sz val="11"/>
        <color indexed="8"/>
        <rFont val="新細明體"/>
        <family val="1"/>
        <charset val="136"/>
      </rPr>
      <t>前五年內平均每年增幅</t>
    </r>
  </si>
  <si>
    <r>
      <rPr>
        <sz val="11"/>
        <color indexed="8"/>
        <rFont val="新細明體"/>
        <family val="1"/>
        <charset val="136"/>
      </rPr>
      <t>平均住戶人數</t>
    </r>
  </si>
  <si>
    <t>Number of domestic households</t>
  </si>
  <si>
    <t>Average annual growth over the past 5 years</t>
    <phoneticPr fontId="21" type="noConversion"/>
  </si>
  <si>
    <t>Average household size</t>
  </si>
  <si>
    <t>-</t>
  </si>
  <si>
    <t>註釋：</t>
    <phoneticPr fontId="21" type="noConversion"/>
  </si>
  <si>
    <t>虛線以下的數字是推算數字。</t>
    <phoneticPr fontId="21" type="noConversion"/>
  </si>
  <si>
    <t>推算結果反映若過往有關生育、死亡、人口遷移及戶主率的人口趨勢仍延續，未來的整體趨勢情況。要注意的是由於未來可能會發生現階段不能預見及預測的情況，因此，有關未來趨勢的假設亦受制於這些不確定因素的發展。</t>
    <phoneticPr fontId="21" type="noConversion"/>
  </si>
  <si>
    <t>Notes :</t>
    <phoneticPr fontId="21" type="noConversion"/>
  </si>
  <si>
    <t>Figures below the broken lines are based on projections.</t>
    <phoneticPr fontId="21" type="noConversion"/>
  </si>
  <si>
    <t>The projection results aim at illustrating what would happen if the past demographic trends on fertility, mortality, movement and headship rates continue into the future.  It should however be noted that the assumptions of future trends are subject to uncertainties arising from unforeseeable and unpredictable future events.</t>
    <phoneticPr fontId="21" type="noConversion"/>
  </si>
  <si>
    <t>Census and Statistics Department, HK</t>
  </si>
  <si>
    <t>https://www.censtatd.gov.hk/hkstat/sub/sp190.jsp?productCode=D5320185</t>
    <phoneticPr fontId="3" type="noConversion"/>
  </si>
  <si>
    <t>https://www.censtatd.gov.hk/hkstat/sub/sp150.jsp?tableID=005&amp;ID=0&amp;productType=8</t>
    <phoneticPr fontId="3" type="noConversion"/>
  </si>
  <si>
    <t>Finished:</t>
    <phoneticPr fontId="3" type="noConversion"/>
  </si>
  <si>
    <t>popu</t>
    <phoneticPr fontId="3" type="noConversion"/>
  </si>
  <si>
    <t>gdp</t>
    <phoneticPr fontId="3" type="noConversion"/>
  </si>
  <si>
    <t>gdpper</t>
  </si>
  <si>
    <t>Table005: Statistics on Domestic Households</t>
  </si>
  <si>
    <t>Period</t>
  </si>
  <si>
    <t>Number of domestic households ('000)</t>
  </si>
  <si>
    <t>Average domestic household size</t>
  </si>
  <si>
    <t>Owner-occupiers as a proportion of total number of domestic households (%)</t>
  </si>
  <si>
    <t>Owner-occupiers in public sector housing as a proportion of total number of domestic households in public sector housing (%)</t>
  </si>
  <si>
    <t>Owner-occupiers in private sector housing as a proportion of total number of domestic households in private sector housing (%)</t>
  </si>
  <si>
    <t>Notes :</t>
  </si>
  <si>
    <t>Starting from 2001, annual figures are compiled based on data collected in the General Household Survey from January to December of the year concerned as well as the mid-year population estimates.</t>
  </si>
  <si>
    <t>Owner-occupiers refer to the domestic households which own the quarters they occupy.</t>
  </si>
  <si>
    <t>Public sector housing includes public rental flats and interim housing flats provided by Housing Authority (HA); and public rental flats and Senior Citizen Residences Scheme flats provided by the Housing Society (HS); subsidized sale flats provided by HA under the Home Ownership Scheme (HOS), Private Sector Participation Scheme (PSPS), Tenants Purchase Scheme (TPS), Buy or Rent Option Scheme (BRO), Green Form Subsidised Home Owership Pilot Scheme (GSH), Mortgage Subsidy Scheme (MSS) and Middle Income Housing Scheme (MIH); and flats provided by HS under the Flat-For-Sale Scheme (FFSS), Sandwich Class Housing Scheme (SCHS) and Subsidised Sale Flats Scheme (SSFS); and flats in Urban Renewal Authority Subsidised Sale Flats Scheme; and Public Temporary housing. As from Q1 2002, subsidized sale flats that can be traded in open market are excluded.</t>
  </si>
  <si>
    <t>Private sector housing includes private housing blocks, flats built under the Urban Improvement Scheme of the Hong Kong Housing Society, villas/bungalows/modern village houses, simple stone structures, quarters in non-residential buildings and private temporary housing. As from Q1 2002, subsidized sale flats that can be traded in open market are also put under this category.</t>
  </si>
  <si>
    <t>Not available.</t>
  </si>
  <si>
    <t>Source :</t>
  </si>
  <si>
    <t>Household Statistics Analysis Section,
Census and Statistics Department
(Enquiry telephone no. : 2887 5508
 Enquiry e-mail : ghs@censtatd.gov.hk)</t>
  </si>
  <si>
    <t>Last revision date: 21 February, 2019</t>
  </si>
  <si>
    <t>Percentages of Domestiv Households by Size</t>
    <phoneticPr fontId="3" type="noConversion"/>
  </si>
  <si>
    <t>5+</t>
    <phoneticPr fontId="3" type="noConversion"/>
  </si>
  <si>
    <t>Suppose the average no. of people in household 5+ is 7</t>
    <phoneticPr fontId="3" type="noConversion"/>
  </si>
  <si>
    <t>Average</t>
    <phoneticPr fontId="3" type="noConversion"/>
  </si>
  <si>
    <t>trend:</t>
    <phoneticPr fontId="3" type="noConversion"/>
  </si>
  <si>
    <t>-</t>
    <phoneticPr fontId="3" type="noConversion"/>
  </si>
  <si>
    <t>Employment use floorspace</t>
    <phoneticPr fontId="3" type="noConversion"/>
  </si>
  <si>
    <t>mil. m2 in GFA</t>
    <phoneticPr fontId="3" type="noConversion"/>
  </si>
  <si>
    <t>year</t>
    <phoneticPr fontId="3" type="noConversion"/>
  </si>
  <si>
    <t>trend</t>
    <phoneticPr fontId="3" type="noConversion"/>
  </si>
  <si>
    <t>area</t>
    <phoneticPr fontId="3" type="noConversion"/>
  </si>
  <si>
    <t>Commercial Building Area</t>
    <phoneticPr fontId="3" type="noConversion"/>
  </si>
  <si>
    <t>Mil m2 in GFA</t>
    <phoneticPr fontId="3" type="noConversion"/>
  </si>
  <si>
    <t>MBTU/TJ</t>
    <phoneticPr fontId="3" type="noConversion"/>
  </si>
  <si>
    <t>Data source:</t>
    <phoneticPr fontId="3" type="noConversion"/>
  </si>
  <si>
    <t>HONG KONG</t>
    <phoneticPr fontId="3" type="noConversion"/>
  </si>
  <si>
    <t>Average floor area per dwelling</t>
    <phoneticPr fontId="3" type="noConversion"/>
  </si>
  <si>
    <t>Average floor area per person</t>
    <phoneticPr fontId="3" type="noConversion"/>
  </si>
  <si>
    <t xml:space="preserve">Mil m2 </t>
    <phoneticPr fontId="3" type="noConversion"/>
  </si>
  <si>
    <t>Domestic Household Projection</t>
    <phoneticPr fontId="3" type="noConversion"/>
  </si>
  <si>
    <t>Household number(Million)</t>
    <phoneticPr fontId="3" type="noConversion"/>
  </si>
  <si>
    <t>Year</t>
    <phoneticPr fontId="3" type="noConversion"/>
  </si>
  <si>
    <t>Commercial Energy Consumption</t>
    <phoneticPr fontId="3" type="noConversion"/>
  </si>
  <si>
    <t>Residential Energy Consumption</t>
    <phoneticPr fontId="3" type="noConversion"/>
  </si>
  <si>
    <t>TJ</t>
    <phoneticPr fontId="3" type="noConversion"/>
  </si>
  <si>
    <t>https://www.hk2030plus.hk/document/Baseline%20Review%20-%20Population_Housing_Economy%20and%20Spatial%20Development%20Pattern_Eng.pdf</t>
  </si>
  <si>
    <t xml:space="preserve">Baseline Review: Population, Housing, Economy and Spatial Development Pattern </t>
    <phoneticPr fontId="3" type="noConversion"/>
  </si>
  <si>
    <t>HK Development Bureau, HK Planning Department</t>
    <phoneticPr fontId="3" type="noConversion"/>
  </si>
  <si>
    <t>https://www.pland.gov.hk/pland_en/p_study/comp_s/hk2030/eng/finalreport/</t>
    <phoneticPr fontId="3" type="noConversion"/>
  </si>
  <si>
    <t>Final Report</t>
    <phoneticPr fontId="3" type="noConversion"/>
  </si>
  <si>
    <t>HK 2030: Baseline Review</t>
    <phoneticPr fontId="3" type="noConversion"/>
  </si>
  <si>
    <t>20190301_v1</t>
    <phoneticPr fontId="3" type="noConversion"/>
  </si>
  <si>
    <t>20190304_v2</t>
    <phoneticPr fontId="3" type="noConversion"/>
  </si>
  <si>
    <t xml:space="preserve">3.Done regression for estimating future residential energy consumption and </t>
    <phoneticPr fontId="3" type="noConversion"/>
  </si>
  <si>
    <t>About</t>
    <phoneticPr fontId="3" type="noConversion"/>
  </si>
  <si>
    <t>InternalLink</t>
    <phoneticPr fontId="3" type="noConversion"/>
  </si>
  <si>
    <t>Household_Histo</t>
    <phoneticPr fontId="3" type="noConversion"/>
  </si>
  <si>
    <t>Household_Pred</t>
    <phoneticPr fontId="3" type="noConversion"/>
  </si>
  <si>
    <t>Energy8Sec</t>
    <phoneticPr fontId="3" type="noConversion"/>
  </si>
  <si>
    <t>Residential8Fuel</t>
    <phoneticPr fontId="3" type="noConversion"/>
  </si>
  <si>
    <t>Commercial8Fuel</t>
    <phoneticPr fontId="3" type="noConversion"/>
  </si>
  <si>
    <t>Residential8EndUse</t>
    <phoneticPr fontId="3" type="noConversion"/>
  </si>
  <si>
    <t>Commercial8EndUse</t>
    <phoneticPr fontId="3" type="noConversion"/>
  </si>
  <si>
    <t>Commercial</t>
    <phoneticPr fontId="3" type="noConversion"/>
  </si>
  <si>
    <t>Residential</t>
    <phoneticPr fontId="3" type="noConversion"/>
  </si>
  <si>
    <t>Future Pred</t>
    <phoneticPr fontId="3" type="noConversion"/>
  </si>
  <si>
    <t>Futre Data</t>
    <phoneticPr fontId="3" type="noConversion"/>
  </si>
  <si>
    <t>transition for STATA</t>
    <phoneticPr fontId="3" type="noConversion"/>
  </si>
  <si>
    <t>STATA Reg Result</t>
    <phoneticPr fontId="3" type="noConversion"/>
  </si>
  <si>
    <t xml:space="preserve">BTU Factor </t>
    <phoneticPr fontId="3" type="noConversion"/>
  </si>
  <si>
    <t>Data Summary</t>
    <phoneticPr fontId="3" type="noConversion"/>
  </si>
  <si>
    <t>electricity(TJ)</t>
  </si>
  <si>
    <t>coal(TJ)</t>
  </si>
  <si>
    <t>natural gas(TJ)</t>
  </si>
  <si>
    <t>petroleum diesel (TJ)</t>
  </si>
  <si>
    <t>heat (TJ)</t>
  </si>
  <si>
    <t>biomass (TJ)</t>
  </si>
  <si>
    <t>BTU/TJ</t>
    <phoneticPr fontId="3" type="noConversion"/>
  </si>
  <si>
    <t>商业 Commercial Energy Mix</t>
    <phoneticPr fontId="3" type="noConversion"/>
  </si>
  <si>
    <t>终端能源使用All Energy Consumption By Sectors</t>
    <phoneticPr fontId="3" type="noConversion"/>
  </si>
  <si>
    <t xml:space="preserve">The Population&amp;GDP data is from another prediction datafile "HK population and GDP_190227_v3.xlsx"; </t>
    <phoneticPr fontId="3" type="noConversion"/>
  </si>
  <si>
    <t>Domestic Household and Average no. of people per household data are from the below "HK 2030 Baseline Review.pdf"(source of this report can be fund on the "About" sheet;</t>
    <phoneticPr fontId="3" type="noConversion"/>
  </si>
  <si>
    <t>Residential and Commercial Building Area data are from the below "HK 2030 Final Report.pdf"(source of this report can also be fund on the "About" sheet).</t>
    <phoneticPr fontId="3" type="noConversion"/>
  </si>
  <si>
    <t xml:space="preserve">Commercial Sector Energy Consumption by End-use       </t>
    <phoneticPr fontId="3" type="noConversion"/>
  </si>
  <si>
    <t xml:space="preserve">Source: </t>
    <phoneticPr fontId="3" type="noConversion"/>
  </si>
  <si>
    <t>2006、2016 Residential Energy Consumption Composition:EMSD End-use Data version 2018;     2007-2015 Composition：End Use Data 2009-2018</t>
    <phoneticPr fontId="3" type="noConversion"/>
  </si>
  <si>
    <t>EMSD End-use Data report</t>
    <phoneticPr fontId="3" type="noConversion"/>
  </si>
  <si>
    <t xml:space="preserve">Residential Sector Energy Consumption by End-use       </t>
    <phoneticPr fontId="3" type="noConversion"/>
  </si>
  <si>
    <t>Commercial</t>
    <phoneticPr fontId="3" type="noConversion"/>
  </si>
  <si>
    <t>Commercial Energy Use by Fuel</t>
    <phoneticPr fontId="3" type="noConversion"/>
  </si>
  <si>
    <t>EMSD End-use Data report 2018</t>
    <phoneticPr fontId="3" type="noConversion"/>
  </si>
  <si>
    <t>Residential Energy Use by Fuel</t>
    <phoneticPr fontId="3" type="noConversion"/>
  </si>
  <si>
    <t>All Energy/Electricity Consumption by Sector</t>
    <phoneticPr fontId="3" type="noConversion"/>
  </si>
  <si>
    <t>About the backgroud color:</t>
    <phoneticPr fontId="3" type="noConversion"/>
  </si>
  <si>
    <t>X (independent variables in regression)</t>
    <phoneticPr fontId="3" type="noConversion"/>
  </si>
  <si>
    <t>Y (dependent variables in regression)</t>
    <phoneticPr fontId="3" type="noConversion"/>
  </si>
  <si>
    <t>Note (about data in this sheet):</t>
    <phoneticPr fontId="3" type="noConversion"/>
  </si>
  <si>
    <t>Raw data for data used in this sheet are shown below:</t>
    <phoneticPr fontId="3" type="noConversion"/>
  </si>
  <si>
    <t>Prediction of Future Residential/Commercial End-use Energy Share</t>
    <phoneticPr fontId="3" type="noConversion"/>
  </si>
  <si>
    <t>Therefore,  x=(23%*Total energy consumption in commercial sector-35%*electricity consumption)/(other energy consumption)</t>
    <phoneticPr fontId="3" type="noConversion"/>
  </si>
  <si>
    <t>Energy</t>
    <phoneticPr fontId="3" type="noConversion"/>
  </si>
  <si>
    <t>Future: predict by apply TREND function</t>
    <phoneticPr fontId="3" type="noConversion"/>
  </si>
  <si>
    <t>Oil&amp;Coal by fixing amout at 8 TJ</t>
    <phoneticPr fontId="3" type="noConversion"/>
  </si>
  <si>
    <t>Amount Unit: TJ</t>
    <phoneticPr fontId="3" type="noConversion"/>
  </si>
  <si>
    <t>Note:     History: from sheet “Residential8Fuel"</t>
    <phoneticPr fontId="3" type="noConversion"/>
  </si>
  <si>
    <t>m2</t>
    <phoneticPr fontId="3" type="noConversion"/>
  </si>
  <si>
    <t>Median Per Capita Floor Area of Accommodation by Area of Residence, Household Size, Year and Type of Housing</t>
  </si>
  <si>
    <r>
      <t>Median Per Capita Floor Area of Accommodation</t>
    </r>
    <r>
      <rPr>
        <b/>
        <vertAlign val="superscript"/>
        <sz val="12"/>
        <color rgb="FF000000"/>
        <rFont val="Arial"/>
        <family val="2"/>
      </rPr>
      <t>(1)</t>
    </r>
  </si>
  <si>
    <t>Square Metres</t>
  </si>
  <si>
    <t>2016</t>
  </si>
  <si>
    <t>Type of Housing</t>
  </si>
  <si>
    <t>Public rental housing</t>
  </si>
  <si>
    <t>Subsidised home ownership housing</t>
  </si>
  <si>
    <t>Private permanent housing</t>
  </si>
  <si>
    <t>Overall</t>
  </si>
  <si>
    <t>Area of Residence</t>
  </si>
  <si>
    <t>Household Size</t>
  </si>
  <si>
    <t>Central and Western</t>
  </si>
  <si>
    <t>1</t>
  </si>
  <si>
    <t>2</t>
  </si>
  <si>
    <t>3</t>
  </si>
  <si>
    <t>4</t>
  </si>
  <si>
    <t>5</t>
  </si>
  <si>
    <t>6 and over</t>
  </si>
  <si>
    <t>Sub-Total</t>
  </si>
  <si>
    <t>Wan Chai</t>
  </si>
  <si>
    <t>Eastern</t>
  </si>
  <si>
    <t>Southern</t>
  </si>
  <si>
    <t>Yau Tsim Mong</t>
  </si>
  <si>
    <t>Sham Shui Po</t>
  </si>
  <si>
    <t>Kowloon City</t>
  </si>
  <si>
    <t>Wong Tai Sin</t>
  </si>
  <si>
    <t>Kwun Tong</t>
  </si>
  <si>
    <t>Sai Kung (Tseung Kwan O)</t>
  </si>
  <si>
    <t>Tsuen Wan (New town)</t>
  </si>
  <si>
    <t>Tuen Mun (New town)</t>
  </si>
  <si>
    <t>Yuen Long (New town)</t>
  </si>
  <si>
    <t>Yuen Long (Tin Shui Wai)</t>
  </si>
  <si>
    <t>North (Fanling/ Sheung Shui)</t>
  </si>
  <si>
    <t>Tai Po (New town)</t>
  </si>
  <si>
    <t>Sha Tin (New town)</t>
  </si>
  <si>
    <t>Sha Tin (Ma On Shan)</t>
  </si>
  <si>
    <t>Kwai Tsing (Kwai Chung)</t>
  </si>
  <si>
    <t>Kwai Tsing (Tsing Yi)</t>
  </si>
  <si>
    <t>Islands (North Lantau)</t>
  </si>
  <si>
    <t>Other Areas in the New Territories</t>
  </si>
  <si>
    <t>Land</t>
  </si>
  <si>
    <t>Note(s) :</t>
  </si>
  <si>
    <t>(1)</t>
  </si>
  <si>
    <t>Figures exclude domestic households living in unsheltered accommodation or on board vessels. Floor area of common area shared among households is excluded.</t>
  </si>
  <si>
    <t>- denotes nil</t>
  </si>
  <si>
    <t>2016 Population By-census Office</t>
  </si>
  <si>
    <t>Census and Statistics Department</t>
  </si>
  <si>
    <t>The Government of the Hong Kong Special Administrative Region</t>
  </si>
  <si>
    <t>Telephone: 3547 1800</t>
  </si>
  <si>
    <t>Email: bycensus2016@censtatd.gov.hk</t>
  </si>
  <si>
    <t>Release date :</t>
  </si>
  <si>
    <t>30 November 2017</t>
  </si>
  <si>
    <t>Also,from Sheet"Floor Area Per"</t>
    <phoneticPr fontId="3" type="noConversion"/>
  </si>
  <si>
    <t xml:space="preserve">Table E129c: Median Per Capita Floor Area of Accommodation by Area of Residence, Household Size, Year and Type of Housing </t>
    <phoneticPr fontId="3" type="noConversion"/>
  </si>
  <si>
    <t>Table 005 : Statistics on Domestic Households</t>
    <phoneticPr fontId="3" type="noConversion"/>
  </si>
  <si>
    <t>Table E485 : Hong Kong Domestic Household Projections</t>
    <phoneticPr fontId="3" type="noConversion"/>
  </si>
  <si>
    <t>https://www.bycensus2016.gov.hk/en/bc-mt.html?search=E129c</t>
    <phoneticPr fontId="3" type="noConversion"/>
  </si>
  <si>
    <t>Floor Area Per capita (Sheet: FloorAreaPer)</t>
    <phoneticPr fontId="3" type="noConversion"/>
  </si>
  <si>
    <t>Household History Data(Sheet: Household_Histo)</t>
    <phoneticPr fontId="3" type="noConversion"/>
  </si>
  <si>
    <t>Household Prediction Data(Sheet: Household_Pred)</t>
    <phoneticPr fontId="3" type="noConversion"/>
  </si>
  <si>
    <t>HK 2030 Report</t>
    <phoneticPr fontId="3" type="noConversion"/>
  </si>
  <si>
    <t>EMSD Energy End-use Data</t>
    <phoneticPr fontId="3" type="noConversion"/>
  </si>
  <si>
    <t>(Sheets:Energy8Sec, Residential8Fuel, Commercial8Fuel, Residential8EndUse, Commertial8EndUse)</t>
    <phoneticPr fontId="3" type="noConversion"/>
  </si>
  <si>
    <t>Another possibility for Air Condition</t>
    <phoneticPr fontId="3" type="noConversion"/>
  </si>
  <si>
    <t>C$67*M78/$M$67</t>
    <phoneticPr fontId="3" type="noConversion"/>
  </si>
  <si>
    <t>Edition Log (WU Yazhen)</t>
    <phoneticPr fontId="3" type="noConversion"/>
  </si>
  <si>
    <t>Fix setting for cooking: (by my own judgement now)(if use TREND for "cooking"  the ratio will dicrease to &lt;5% in 2050; for refregeration it's 7% and this category for other types of energy-colAB-will be much minus)</t>
    <phoneticPr fontId="3" type="noConversion"/>
  </si>
  <si>
    <t>Energy Except Electricity (Town gas, oil&amp;coal), NOT YET ADJUSTED</t>
    <phoneticPr fontId="3" type="noConversion"/>
  </si>
  <si>
    <t>Energy Except Electricity (Town gas, oil&amp;coal), ADJUSTED</t>
    <phoneticPr fontId="3" type="noConversion"/>
  </si>
  <si>
    <t>Refrigeration-&gt;0</t>
  </si>
  <si>
    <t>No data</t>
    <phoneticPr fontId="3" type="noConversion"/>
  </si>
  <si>
    <t>10. Sheet "Future Energy Share", data in row 64-65 is currently not yet supported by valid material; they are assumed by me.</t>
    <phoneticPr fontId="3" type="noConversion"/>
  </si>
  <si>
    <t>electricity(BTU)</t>
    <phoneticPr fontId="3" type="noConversion"/>
  </si>
  <si>
    <t>coal(BTU)</t>
    <phoneticPr fontId="3" type="noConversion"/>
  </si>
  <si>
    <t>natural gas(BTU)</t>
    <phoneticPr fontId="3" type="noConversion"/>
  </si>
  <si>
    <t>petroleum diesel (BTU)</t>
    <phoneticPr fontId="3" type="noConversion"/>
  </si>
  <si>
    <t>heat (BTU)</t>
    <phoneticPr fontId="3" type="noConversion"/>
  </si>
  <si>
    <t>biomass (BTU)</t>
    <phoneticPr fontId="3" type="noConversion"/>
  </si>
  <si>
    <t>Commercial End-use Energy Data (Final Results)</t>
    <phoneticPr fontId="3" type="noConversion"/>
  </si>
  <si>
    <t>Commercial End-use Energy Data (almost prepared, only leave unit not converted yet)</t>
    <phoneticPr fontId="3" type="noConversion"/>
  </si>
  <si>
    <t>Residential End-use Energy Data (almost prepared, only leave unit not converted yet)</t>
    <phoneticPr fontId="3" type="noConversion"/>
  </si>
  <si>
    <t>Commercial Energy End-use</t>
    <phoneticPr fontId="3" type="noConversion"/>
  </si>
  <si>
    <t>Check</t>
    <phoneticPr fontId="3" type="noConversion"/>
  </si>
  <si>
    <t>Population By-census</t>
    <phoneticPr fontId="3" type="noConversion"/>
  </si>
  <si>
    <t>source:Population By-census, 2016</t>
    <phoneticPr fontId="3" type="noConversion"/>
  </si>
  <si>
    <t>Prediction of Future Residential&amp;Commercial Total Energy Use</t>
    <phoneticPr fontId="3" type="noConversion"/>
  </si>
  <si>
    <t>BTU-TJ Conversion Factor</t>
    <phoneticPr fontId="3" type="noConversion"/>
  </si>
  <si>
    <t>20190305_v3</t>
    <phoneticPr fontId="3" type="noConversion"/>
  </si>
  <si>
    <t>Finished:</t>
    <phoneticPr fontId="3" type="noConversion"/>
  </si>
  <si>
    <t>1.Finished 1st version of Future Energy (End-use) Share Prediction.</t>
    <phoneticPr fontId="3" type="noConversion"/>
  </si>
  <si>
    <t>2.Finished all calculation and got the final results, with TJ been converted to BTU.</t>
    <phoneticPr fontId="3" type="noConversion"/>
  </si>
  <si>
    <t>20190306_v4</t>
    <phoneticPr fontId="3" type="noConversion"/>
  </si>
  <si>
    <t>Domestic Household (HK C&amp;SD Pred)</t>
    <phoneticPr fontId="3" type="noConversion"/>
  </si>
  <si>
    <t>Year</t>
    <phoneticPr fontId="3" type="noConversion"/>
  </si>
  <si>
    <t>二次拟合(y=Ax2+Bx+c)</t>
    <phoneticPr fontId="3" type="noConversion"/>
  </si>
  <si>
    <t>三次拟合(y=Ax3+Bx2+Cx+D)</t>
    <phoneticPr fontId="3" type="noConversion"/>
  </si>
  <si>
    <t>四次拟合(y=Ax4+Bx3+Cx2+Dx+E)</t>
    <phoneticPr fontId="3" type="noConversion"/>
  </si>
  <si>
    <t>拟合所得公式：
Fitting Results:</t>
    <phoneticPr fontId="3" type="noConversion"/>
  </si>
  <si>
    <t xml:space="preserve">    Note: Fitting Curve for Domestic Household</t>
    <phoneticPr fontId="3" type="noConversion"/>
  </si>
  <si>
    <t>Y=-0.00040693*X2+1.6681351*X-1706.5786</t>
    <phoneticPr fontId="3" type="noConversion"/>
  </si>
  <si>
    <t>注：由以下，二次、三次、四次拟合：采用三次拟合结果，拟合较好（R2高）。虽然3或4次的拟合能够获得更高的R2，但曲线在两点中间有拐点，因此更不适合。
Note: The first fitting curve(Y=Ax2+Bx+C) is adopted. Although the latter two fittings have better R2, but there exist inflection point in between two points in those two fitting curve.</t>
    <phoneticPr fontId="3" type="noConversion"/>
  </si>
  <si>
    <t>For more information about the fitting, see sheet"FittingHH"</t>
    <phoneticPr fontId="3" type="noConversion"/>
  </si>
  <si>
    <t>hhnew</t>
    <phoneticPr fontId="3" type="noConversion"/>
  </si>
  <si>
    <t>hh</t>
    <phoneticPr fontId="3" type="noConversion"/>
  </si>
  <si>
    <t>rear</t>
    <phoneticPr fontId="3" type="noConversion"/>
  </si>
  <si>
    <t>cmar</t>
    <phoneticPr fontId="3" type="noConversion"/>
  </si>
  <si>
    <t>cm</t>
    <phoneticPr fontId="3" type="noConversion"/>
  </si>
  <si>
    <t>re</t>
    <phoneticPr fontId="3" type="noConversion"/>
  </si>
  <si>
    <t>Explain for the abbr. of variables</t>
    <phoneticPr fontId="3" type="noConversion"/>
  </si>
  <si>
    <t>population,×10^6 people</t>
    <phoneticPr fontId="3" type="noConversion"/>
  </si>
  <si>
    <t>bil.USD2012</t>
    <phoneticPr fontId="3" type="noConversion"/>
  </si>
  <si>
    <t>GDP, bil.USD2012</t>
    <phoneticPr fontId="3" type="noConversion"/>
  </si>
  <si>
    <t>gdpper</t>
    <phoneticPr fontId="3" type="noConversion"/>
  </si>
  <si>
    <t>kUSD2012</t>
    <phoneticPr fontId="3" type="noConversion"/>
  </si>
  <si>
    <t>GDP per capita, kUSD2012</t>
    <phoneticPr fontId="3" type="noConversion"/>
  </si>
  <si>
    <t>household unit, predicted according to HK 2030 Baseline report</t>
    <phoneticPr fontId="3" type="noConversion"/>
  </si>
  <si>
    <t>household unit, predicted according to HK C&amp;SD</t>
    <phoneticPr fontId="3" type="noConversion"/>
  </si>
  <si>
    <t>poperhh</t>
    <phoneticPr fontId="3" type="noConversion"/>
  </si>
  <si>
    <t>commercial building area, Mil m2 in GFA</t>
    <phoneticPr fontId="3" type="noConversion"/>
  </si>
  <si>
    <t>residential building area, Mil. M2</t>
    <phoneticPr fontId="3" type="noConversion"/>
  </si>
  <si>
    <t>Average no. of people per household</t>
    <phoneticPr fontId="3" type="noConversion"/>
  </si>
  <si>
    <t>residential total energy use,TJ</t>
    <phoneticPr fontId="3" type="noConversion"/>
  </si>
  <si>
    <t>commercial total energy use,TJ</t>
    <phoneticPr fontId="3" type="noConversion"/>
  </si>
  <si>
    <t>-</t>
    <phoneticPr fontId="3" type="noConversion"/>
  </si>
  <si>
    <t>-</t>
    <phoneticPr fontId="3" type="noConversion"/>
  </si>
  <si>
    <t>Average no. of people per household, by division2</t>
    <phoneticPr fontId="3" type="noConversion"/>
  </si>
  <si>
    <t>Average no. of people per household, by division1</t>
    <phoneticPr fontId="3" type="noConversion"/>
  </si>
  <si>
    <t>Average no. of people per household, by my estimation</t>
    <phoneticPr fontId="3" type="noConversion"/>
  </si>
  <si>
    <t>1.Found Household Unit Composition to separate urban/rural residential</t>
    <phoneticPr fontId="3" type="noConversion"/>
  </si>
  <si>
    <t>1.Found household history and prediction data.</t>
    <phoneticPr fontId="3" type="noConversion"/>
  </si>
  <si>
    <t>2.Found Commercial AreaUse relative prediction ( average living area per household, household number; average living area per person, population) to predict residential area.</t>
    <phoneticPr fontId="3" type="noConversion"/>
  </si>
  <si>
    <t>1. Change future household prediction data (from using"HK 2030 Baseline.pdf" as source, to using the HK C&amp;SD predictions in sheet"Household_Pred").</t>
    <phoneticPr fontId="3" type="noConversion"/>
  </si>
  <si>
    <t>2. The End-use "cooking" category has been put into "Appliance", not "Others".</t>
    <phoneticPr fontId="3" type="noConversion"/>
  </si>
  <si>
    <t>Public Residential</t>
  </si>
  <si>
    <t>Commercial</t>
  </si>
  <si>
    <t>Restaurant</t>
  </si>
  <si>
    <t>Accommodation</t>
  </si>
  <si>
    <t>Retail</t>
  </si>
  <si>
    <t>Human Health</t>
  </si>
  <si>
    <t>Education</t>
  </si>
  <si>
    <t>Other Commercial Segments</t>
  </si>
  <si>
    <t>Industrial</t>
  </si>
  <si>
    <t>Industrial Land</t>
  </si>
  <si>
    <t>Industrial Estates</t>
  </si>
  <si>
    <t>Warehouse and Open Storage</t>
  </si>
  <si>
    <t>Total</t>
  </si>
  <si>
    <t>Building 2016 Data</t>
    <phoneticPr fontId="3" type="noConversion"/>
  </si>
  <si>
    <t>From Xiaoqian Jiang</t>
    <phoneticPr fontId="3" type="noConversion"/>
  </si>
  <si>
    <t>From Excel "Copy of HK 2016 end use energy consumption rough 20190226 (added the building  waste) revised2 lawrence.xlsx", Sheet"Building"</t>
    <phoneticPr fontId="3" type="noConversion"/>
  </si>
  <si>
    <t>3. The breakdown of rural/urban residential is finished.</t>
    <phoneticPr fontId="3" type="noConversion"/>
  </si>
  <si>
    <t>4. The final data sheets are in the same format as the EPS US model inputdata sheets'.</t>
    <phoneticPr fontId="3" type="noConversion"/>
  </si>
  <si>
    <t>Finished:</t>
    <phoneticPr fontId="3" type="noConversion"/>
  </si>
  <si>
    <t>Fitting to get future domestic household number</t>
    <phoneticPr fontId="3" type="noConversion"/>
  </si>
  <si>
    <t>25/24 is a adjucting coefficient, to make energy of other type has (as close as possible with) 0% share in the air-conditioning end-use</t>
    <phoneticPr fontId="3" type="noConversion"/>
  </si>
  <si>
    <t xml:space="preserve">For residential future end-use electricity demand structure, all categories except "Air conditioning" is predicted by using TREND function and assuming a proper 2050 share percentage which, together with the share in Electricity, makes the results of end-use share in "Energy Except Electricity" reasonable(reasonable means not against the real world, e.g. other energy type for "air conditioning" should be zero). Then, the share of "Air Conditioning" is predicted by 1-(all the demand share ratios of other categories). </t>
    <phoneticPr fontId="3" type="noConversion"/>
  </si>
  <si>
    <t>For commercial,  the energy demand share of "Hot Water&amp;Refrigeration", "Lighting" and "Office Equipment"  is fixed at 2016 level; the "Air conditioning" category's energy share is scaled from this category's share in electricity with a 25/24 multiplier to also make the results of  "Energy Except Electricity" share resonable.</t>
    <phoneticPr fontId="3" type="noConversion"/>
  </si>
  <si>
    <t>IEA World Energy Outlook 2017, Appendix</t>
    <phoneticPr fontId="3" type="noConversion"/>
  </si>
  <si>
    <t>(For applying Trend function to historical data)</t>
    <phoneticPr fontId="3" type="noConversion"/>
  </si>
  <si>
    <t>electricity (BTU)</t>
  </si>
  <si>
    <t>coal (BTU)</t>
  </si>
  <si>
    <t>natural gas (BTU)</t>
  </si>
  <si>
    <t>petroleum diesel (BTU)</t>
  </si>
  <si>
    <t>heat (BTU)</t>
  </si>
  <si>
    <t>biomass (BTU)</t>
  </si>
  <si>
    <t>20190404_v5</t>
    <phoneticPr fontId="3" type="noConversion"/>
  </si>
  <si>
    <t>Revised:</t>
    <phoneticPr fontId="3" type="noConversion"/>
  </si>
  <si>
    <t xml:space="preserve">3.(190404) </t>
    <phoneticPr fontId="3" type="noConversion"/>
  </si>
  <si>
    <t>2. Air Conditioning,</t>
    <phoneticPr fontId="3" type="noConversion"/>
  </si>
  <si>
    <t xml:space="preserve">Lighting, Office Equipment, </t>
    <phoneticPr fontId="3" type="noConversion"/>
  </si>
  <si>
    <t>Others-&gt;0</t>
  </si>
  <si>
    <t>4.Adjust Cooking to make</t>
    <phoneticPr fontId="3" type="noConversion"/>
  </si>
  <si>
    <t>the sum=1</t>
    <phoneticPr fontId="3" type="noConversion"/>
  </si>
  <si>
    <t>Check Total</t>
    <phoneticPr fontId="3" type="noConversion"/>
  </si>
  <si>
    <t>P.S.  The Sum energy numbers in "Check Total"(at the end of this sheet)  are the same with those in sheet"Future Pred".</t>
    <phoneticPr fontId="3" type="noConversion"/>
  </si>
  <si>
    <t>(Adjustments are mainly made in the sheet "Future Energy share", on the breakdown of oil&amp;coal (or gas) among different end-use types.</t>
    <phoneticPr fontId="3" type="noConversion"/>
  </si>
  <si>
    <t xml:space="preserve">3. Limit the use of coal&amp;oil, and also gas, to be only in the appliance, not for lighting and other end-use sectors. </t>
    <phoneticPr fontId="3" type="noConversion"/>
  </si>
  <si>
    <t>1. The missing final sheets for commercial have been added.</t>
    <phoneticPr fontId="3" type="noConversion"/>
  </si>
  <si>
    <t>2. The data form in the sheets colored blue is adjust to be the same with the US model(start year from 2014).</t>
    <phoneticPr fontId="3" type="noConversion"/>
  </si>
  <si>
    <t>Revised:</t>
    <phoneticPr fontId="3" type="noConversion"/>
  </si>
  <si>
    <t>and multiply them with population/area projections, than to directly predict total energy consumption by regression.</t>
  </si>
  <si>
    <t>Step1: Predict Future Total Energy Consumption by Segments using socioeconomic and energy intensity data</t>
    <phoneticPr fontId="3" type="noConversion"/>
  </si>
  <si>
    <t>Step2: Predict Future Energy Type Share by using trend function.</t>
    <phoneticPr fontId="3" type="noConversion"/>
  </si>
  <si>
    <t>Step3: Predict Future End-use share of different(electricity/non-electricity)  type in residential energy use</t>
    <phoneticPr fontId="3" type="noConversion"/>
  </si>
  <si>
    <t>1. "Coal and oil"(in statistics: energy consumption by fuel) is made up of 50% coal, 50% oil. And "Town gas &amp;Oil gas" equals to natural gas</t>
    <phoneticPr fontId="3" type="noConversion"/>
  </si>
  <si>
    <t>2. The end-use "Hot water" are categorized as "Appliance", not as part of the "Heating".</t>
    <phoneticPr fontId="3" type="noConversion"/>
  </si>
  <si>
    <t>Assumptions &amp; Classicification</t>
    <phoneticPr fontId="3" type="noConversion"/>
  </si>
  <si>
    <t>4. The end-use "Appliance" includes "Hot water &amp;Refrigeration", "Office equipment" and "Cooking", while the category "Others" includes "Others" in the Residential/Commercial sector segment statistic.</t>
    <phoneticPr fontId="3" type="noConversion"/>
  </si>
  <si>
    <t>predict per capita/per area energy consumption and then multiply it with population/area projections. Not directly predict total energy consumption by regression.</t>
    <phoneticPr fontId="3" type="noConversion"/>
  </si>
  <si>
    <t>Future considerations</t>
    <phoneticPr fontId="3" type="noConversion"/>
  </si>
  <si>
    <t>1.The fact that older peole' energy demand is different and the HK population structure is changing</t>
    <phoneticPr fontId="3" type="noConversion"/>
  </si>
  <si>
    <t>2. Classification of end-use categories. E.g. perhaps "Cooking" should be grouped into "Appliance" category, not "Others"?</t>
    <phoneticPr fontId="3" type="noConversion"/>
  </si>
  <si>
    <t>3. Refer to BEC (HK Energy-saving Report)?</t>
    <phoneticPr fontId="3" type="noConversion"/>
  </si>
  <si>
    <t>4. Use "Fitting" instead of "Trend" at some places? Fitting gets smoothing curve, while the results of "Trend" are like piecewise function.</t>
    <phoneticPr fontId="3" type="noConversion"/>
  </si>
  <si>
    <t>5. Improving regression estimation? E.g. "Residential Emission is mainly driven by per capita energy use"(Xu et al. Applied Energy. 2014,132).</t>
    <phoneticPr fontId="3" type="noConversion"/>
  </si>
  <si>
    <r>
      <t>6.</t>
    </r>
    <r>
      <rPr>
        <sz val="11"/>
        <color theme="1"/>
        <rFont val="Calibri"/>
        <family val="2"/>
        <scheme val="minor"/>
      </rPr>
      <t xml:space="preserve">Try decomposition method similar with KAYA? Ref: Xu et al,Applied Energy.2014. </t>
    </r>
    <phoneticPr fontId="3" type="noConversion"/>
  </si>
  <si>
    <t>7. Try predicting average residential area per capita, and then total residential area. Maybe this is an important independent variable for regression.</t>
    <phoneticPr fontId="3" type="noConversion"/>
  </si>
  <si>
    <t>Raw data for public house:</t>
    <phoneticPr fontId="3" type="noConversion"/>
  </si>
  <si>
    <t>住宅組別所有能源使用按最終用途劃分</t>
  </si>
  <si>
    <t>公共房屋组别 Public Housing Segment</t>
    <phoneticPr fontId="3" type="noConversion"/>
  </si>
  <si>
    <r>
      <rPr>
        <sz val="6.5"/>
        <rFont val="Noto Sans CJK JP Regular"/>
        <family val="2"/>
      </rPr>
      <t xml:space="preserve">煮食
</t>
    </r>
    <r>
      <rPr>
        <sz val="6.5"/>
        <rFont val="Arial"/>
        <family val="2"/>
      </rPr>
      <t>Cooking</t>
    </r>
  </si>
  <si>
    <r>
      <rPr>
        <sz val="6.5"/>
        <rFont val="Noto Sans CJK JP Regular"/>
        <family val="2"/>
      </rPr>
      <t xml:space="preserve">空氣調節
</t>
    </r>
    <r>
      <rPr>
        <sz val="5.5"/>
        <rFont val="Arial"/>
        <family val="2"/>
      </rPr>
      <t xml:space="preserve">Air
</t>
    </r>
    <r>
      <rPr>
        <sz val="5.5"/>
        <rFont val="Arial"/>
        <family val="2"/>
      </rPr>
      <t>Conditioning</t>
    </r>
  </si>
  <si>
    <r>
      <rPr>
        <sz val="6.5"/>
        <rFont val="Noto Sans CJK JP Regular"/>
        <family val="2"/>
      </rPr>
      <t xml:space="preserve">熱水
</t>
    </r>
    <r>
      <rPr>
        <sz val="6.5"/>
        <rFont val="Arial"/>
        <family val="2"/>
      </rPr>
      <t xml:space="preserve">Hot
</t>
    </r>
    <r>
      <rPr>
        <sz val="6.5"/>
        <rFont val="Arial"/>
        <family val="2"/>
      </rPr>
      <t>Water</t>
    </r>
  </si>
  <si>
    <r>
      <rPr>
        <sz val="6.5"/>
        <rFont val="Noto Sans CJK JP Regular"/>
        <family val="2"/>
      </rPr>
      <t xml:space="preserve">照明
</t>
    </r>
    <r>
      <rPr>
        <sz val="6.5"/>
        <rFont val="Arial"/>
        <family val="2"/>
      </rPr>
      <t>Lighting</t>
    </r>
  </si>
  <si>
    <r>
      <rPr>
        <sz val="6.5"/>
        <rFont val="Noto Sans CJK JP Regular"/>
        <family val="2"/>
      </rPr>
      <t xml:space="preserve">冷凍
</t>
    </r>
    <r>
      <rPr>
        <sz val="6"/>
        <rFont val="Arial"/>
        <family val="2"/>
      </rPr>
      <t>Refrigeration</t>
    </r>
  </si>
  <si>
    <r>
      <rPr>
        <sz val="6.5"/>
        <rFont val="Noto Sans CJK JP Regular"/>
        <family val="2"/>
      </rPr>
      <t xml:space="preserve">辦公室設備
</t>
    </r>
    <r>
      <rPr>
        <sz val="5.5"/>
        <rFont val="Arial"/>
        <family val="2"/>
      </rPr>
      <t xml:space="preserve">Office
</t>
    </r>
    <r>
      <rPr>
        <sz val="5.5"/>
        <rFont val="Arial"/>
        <family val="2"/>
      </rPr>
      <t>Equipment</t>
    </r>
  </si>
  <si>
    <r>
      <rPr>
        <sz val="6.5"/>
        <rFont val="Noto Sans CJK JP Regular"/>
        <family val="2"/>
      </rPr>
      <t xml:space="preserve">其他 </t>
    </r>
    <r>
      <rPr>
        <vertAlign val="superscript"/>
        <sz val="6.5"/>
        <rFont val="Arial"/>
        <family val="2"/>
      </rPr>
      <t xml:space="preserve">1
</t>
    </r>
    <r>
      <rPr>
        <sz val="6.5"/>
        <rFont val="Arial"/>
        <family val="2"/>
      </rPr>
      <t xml:space="preserve">Others </t>
    </r>
    <r>
      <rPr>
        <vertAlign val="superscript"/>
        <sz val="6.5"/>
        <rFont val="Arial"/>
        <family val="2"/>
      </rPr>
      <t>1</t>
    </r>
  </si>
  <si>
    <t xml:space="preserve">3. No energy consumption in "Heating"(In EPS model note, the "Heating" means distributed heating, which HK does not have), and thus </t>
    <phoneticPr fontId="3" type="noConversion"/>
  </si>
  <si>
    <t xml:space="preserve">All Energy Consumption By End-uses In Residential Segments </t>
    <phoneticPr fontId="3" type="noConversion"/>
  </si>
  <si>
    <t>Units: TJ</t>
    <phoneticPr fontId="3" type="noConversion"/>
  </si>
  <si>
    <t>房委会资助出售单位组别 Housing Authority Subsidized Sale Flats Segment</t>
    <phoneticPr fontId="3" type="noConversion"/>
  </si>
  <si>
    <t>私人住宅Private Housing Segment</t>
    <phoneticPr fontId="3" type="noConversion"/>
  </si>
  <si>
    <t>重新加总Private+Public</t>
    <phoneticPr fontId="3" type="noConversion"/>
  </si>
  <si>
    <t>公共住宅 Public Housing</t>
    <phoneticPr fontId="3" type="noConversion"/>
  </si>
  <si>
    <t xml:space="preserve">Private/Public Residential Energy Consumption by End-use       </t>
    <phoneticPr fontId="3" type="noConversion"/>
  </si>
  <si>
    <t>Year</t>
    <phoneticPr fontId="3" type="noConversion"/>
  </si>
  <si>
    <t>所有住宅All Residential</t>
    <phoneticPr fontId="3" type="noConversion"/>
  </si>
  <si>
    <t>總計
Total</t>
  </si>
  <si>
    <t>Electricity</t>
  </si>
  <si>
    <t>(缺少原始数据 No raw data)</t>
    <phoneticPr fontId="3" type="noConversion"/>
  </si>
  <si>
    <t>转换为百分比Change to percentage</t>
    <phoneticPr fontId="3" type="noConversion"/>
  </si>
  <si>
    <t>Energy</t>
    <phoneticPr fontId="3" type="noConversion"/>
  </si>
  <si>
    <t>Non-Electricity Energy</t>
    <phoneticPr fontId="3" type="noConversion"/>
  </si>
  <si>
    <t>Solve first-order equation by using data above(total energy, electricity)</t>
    <phoneticPr fontId="3" type="noConversion"/>
  </si>
  <si>
    <t>Method: for a certain category(e.g. air conditioning), assuming the fraction of non-elec energy consumption of this category, is x</t>
    <phoneticPr fontId="3" type="noConversion"/>
  </si>
  <si>
    <t xml:space="preserve">Because the total energy consumption in the air-conditioning category in 2005 can be expressed in two ways in the following equation, we can solve the value of X: </t>
    <phoneticPr fontId="3" type="noConversion"/>
  </si>
  <si>
    <t>23%*Total energy consumption of private/public house=34%*electricity consumption of private/public house+x*non-elec energy consumption of private/public house</t>
    <phoneticPr fontId="3" type="noConversion"/>
  </si>
  <si>
    <t>So x=((23%*Total energy consumption of private/public house)-(4%*electricity consumption of private/public house))/(Total Energy-Total Electricity)</t>
    <phoneticPr fontId="3" type="noConversion"/>
  </si>
  <si>
    <t>Residential Building Area 1</t>
    <phoneticPr fontId="3" type="noConversion"/>
  </si>
  <si>
    <t>Residential Building Area 2</t>
    <phoneticPr fontId="3" type="noConversion"/>
  </si>
  <si>
    <t>No. of Domestic Household (2030 Baseline Pred)</t>
    <phoneticPr fontId="3" type="noConversion"/>
  </si>
  <si>
    <t>No. of Domestic Household (HK C&amp;SD Pred)</t>
    <phoneticPr fontId="3" type="noConversion"/>
  </si>
  <si>
    <t>year</t>
    <phoneticPr fontId="3" type="noConversion"/>
  </si>
  <si>
    <t>popu</t>
    <phoneticPr fontId="3" type="noConversion"/>
  </si>
  <si>
    <t>gdp</t>
    <phoneticPr fontId="3" type="noConversion"/>
  </si>
  <si>
    <t>History&amp;Trend</t>
    <phoneticPr fontId="3" type="noConversion"/>
  </si>
  <si>
    <t>comener</t>
    <phoneticPr fontId="3" type="noConversion"/>
  </si>
  <si>
    <t>PHre户均</t>
    <phoneticPr fontId="3" type="noConversion"/>
  </si>
  <si>
    <t>PCre人均</t>
    <phoneticPr fontId="3" type="noConversion"/>
  </si>
  <si>
    <t>PAce单位面积</t>
    <phoneticPr fontId="3" type="noConversion"/>
  </si>
  <si>
    <t>Future_Prediction</t>
    <phoneticPr fontId="3" type="noConversion"/>
  </si>
  <si>
    <t>origin_residential</t>
    <phoneticPr fontId="3" type="noConversion"/>
  </si>
  <si>
    <t>origin_commercial</t>
    <phoneticPr fontId="3" type="noConversion"/>
  </si>
  <si>
    <t>new_residential</t>
    <phoneticPr fontId="3" type="noConversion"/>
  </si>
  <si>
    <t>new_commercial</t>
    <phoneticPr fontId="3" type="noConversion"/>
  </si>
  <si>
    <t>DIFF_COMMERCIAL</t>
    <phoneticPr fontId="3" type="noConversion"/>
  </si>
  <si>
    <t>cmar</t>
    <phoneticPr fontId="3" type="noConversion"/>
  </si>
  <si>
    <t>private ENER</t>
    <phoneticPr fontId="3" type="noConversion"/>
  </si>
  <si>
    <t>public ENER</t>
    <phoneticPr fontId="3" type="noConversion"/>
  </si>
  <si>
    <t>平均值</t>
    <phoneticPr fontId="3" type="noConversion"/>
  </si>
  <si>
    <t>popu_private</t>
    <phoneticPr fontId="3" type="noConversion"/>
  </si>
  <si>
    <t>popu_public</t>
    <phoneticPr fontId="3" type="noConversion"/>
  </si>
  <si>
    <t>Buildings &amp; Industrial</t>
  </si>
  <si>
    <t>Updated:</t>
  </si>
  <si>
    <t>Scenario:</t>
  </si>
  <si>
    <t>Color code</t>
  </si>
  <si>
    <t>Fixed data Input</t>
  </si>
  <si>
    <t>Parameter input</t>
  </si>
  <si>
    <t>Parameter rpt item</t>
  </si>
  <si>
    <t>Clear: calculated</t>
  </si>
  <si>
    <t>Page 1 or 2</t>
  </si>
  <si>
    <t>Data Input</t>
  </si>
  <si>
    <t>Clear = calculated.</t>
  </si>
  <si>
    <t>Page 2 of 2</t>
  </si>
  <si>
    <t>Buildings
Input</t>
  </si>
  <si>
    <t>Share of population in 2050</t>
  </si>
  <si>
    <r>
      <t xml:space="preserve">Floor area per capita in 2050 m2  </t>
    </r>
    <r>
      <rPr>
        <sz val="11"/>
        <color rgb="FFFF0000"/>
        <rFont val="Calibri"/>
        <family val="2"/>
        <scheme val="minor"/>
      </rPr>
      <t>^1</t>
    </r>
  </si>
  <si>
    <r>
      <t xml:space="preserve">Energy efficiency improvement --electricity (%) </t>
    </r>
    <r>
      <rPr>
        <sz val="11"/>
        <color rgb="FFFF0000"/>
        <rFont val="Calibri"/>
        <family val="2"/>
        <scheme val="minor"/>
      </rPr>
      <t>^2</t>
    </r>
  </si>
  <si>
    <t>Energy efficiency improvement -- gas (%)</t>
  </si>
  <si>
    <t>Electrification rate (share of cooking, hot water &amp; Ref)</t>
  </si>
  <si>
    <t>Summary of results</t>
  </si>
  <si>
    <t>Industrial equipment</t>
  </si>
  <si>
    <t xml:space="preserve">Cooking </t>
  </si>
  <si>
    <t xml:space="preserve">A.C. </t>
  </si>
  <si>
    <t>District cooling</t>
  </si>
  <si>
    <t xml:space="preserve">Hot Water &amp; Refrigeration </t>
  </si>
  <si>
    <t xml:space="preserve">Lighting </t>
  </si>
  <si>
    <t xml:space="preserve">Office Equipment </t>
  </si>
  <si>
    <t xml:space="preserve">Others </t>
  </si>
  <si>
    <t>Indust'l equip</t>
  </si>
  <si>
    <t xml:space="preserve">Total </t>
  </si>
  <si>
    <t>Emissions ('000 t CO2)</t>
  </si>
  <si>
    <t>Residential</t>
    <phoneticPr fontId="63" type="noConversion"/>
  </si>
  <si>
    <t>Private</t>
  </si>
  <si>
    <t>Residential</t>
    <phoneticPr fontId="63" type="noConversion"/>
  </si>
  <si>
    <t>Public</t>
  </si>
  <si>
    <r>
      <rPr>
        <b/>
        <sz val="11"/>
        <color rgb="FFFF0000"/>
        <rFont val="Calibri"/>
        <family val="2"/>
        <scheme val="minor"/>
      </rPr>
      <t>1.</t>
    </r>
    <r>
      <rPr>
        <b/>
        <sz val="11"/>
        <rFont val="Calibri"/>
        <family val="2"/>
        <scheme val="minor"/>
      </rPr>
      <t xml:space="preserve"> Flat size: Source of information</t>
    </r>
  </si>
  <si>
    <r>
      <rPr>
        <b/>
        <sz val="11"/>
        <color rgb="FFFF0000"/>
        <rFont val="Calibri"/>
        <family val="2"/>
        <scheme val="minor"/>
      </rPr>
      <t xml:space="preserve">2. </t>
    </r>
    <r>
      <rPr>
        <b/>
        <sz val="11"/>
        <color theme="1"/>
        <rFont val="Calibri"/>
        <family val="2"/>
        <scheme val="minor"/>
      </rPr>
      <t>Energy efficiency. Source of information</t>
    </r>
  </si>
  <si>
    <t>IEA, Energy Efficiency 2018</t>
  </si>
  <si>
    <t>Emission factors:</t>
  </si>
  <si>
    <t>Kg CO2/KWh</t>
  </si>
  <si>
    <t>Gas</t>
  </si>
  <si>
    <t>Kg CO2/TJ</t>
  </si>
  <si>
    <t>Source for electricity:  Electricity page.</t>
  </si>
  <si>
    <t>Source for electricity:  EF-1 page page.</t>
  </si>
  <si>
    <t xml:space="preserve">Impact of using District Cooling: And Freshwater cooling towers:  </t>
  </si>
  <si>
    <t>Saving %per EMSD Energy Saving wesite</t>
  </si>
  <si>
    <t>https://www.emsd.gov.hk/energyland/en/building/district_cooling_sys/dcs_benefits.html</t>
  </si>
  <si>
    <t>Normal A/C</t>
  </si>
  <si>
    <t>Fresh water cooling</t>
  </si>
  <si>
    <t>Energy Saving (TJ)</t>
  </si>
  <si>
    <t>Energy Saving (GWh)</t>
  </si>
  <si>
    <t>Energy saving compare with traditional air-cooled air-conditioning systems^1</t>
  </si>
  <si>
    <t>Floor area installed  (million m2)</t>
  </si>
  <si>
    <t>Floor area calculation</t>
  </si>
  <si>
    <t xml:space="preserve">Electricity consumption </t>
  </si>
  <si>
    <t>Gas Consumption</t>
  </si>
  <si>
    <t>Emission factor</t>
  </si>
  <si>
    <t xml:space="preserve">Emissions </t>
  </si>
  <si>
    <t xml:space="preserve">Energy efficiency  -- Electricity </t>
  </si>
  <si>
    <t>Energy efficiency -- Gas</t>
  </si>
  <si>
    <t>Electrification (share of cooking, hot water &amp; Refridgeration)</t>
  </si>
  <si>
    <t xml:space="preserve">No. of Flats </t>
  </si>
  <si>
    <t>Floor area</t>
  </si>
  <si>
    <t xml:space="preserve">Population </t>
  </si>
  <si>
    <t>Floor area per capita</t>
  </si>
  <si>
    <t xml:space="preserve">Hot Water </t>
  </si>
  <si>
    <r>
      <t>m</t>
    </r>
    <r>
      <rPr>
        <vertAlign val="superscript"/>
        <sz val="11"/>
        <rFont val="Calibri"/>
        <family val="2"/>
        <scheme val="minor"/>
      </rPr>
      <t>2</t>
    </r>
  </si>
  <si>
    <t>1000 people</t>
  </si>
  <si>
    <t>TJ</t>
  </si>
  <si>
    <t>kt</t>
  </si>
  <si>
    <r>
      <t xml:space="preserve">KWh per Flat or </t>
    </r>
    <r>
      <rPr>
        <b/>
        <sz val="11"/>
        <rFont val="Calibri"/>
        <family val="2"/>
        <scheme val="minor"/>
      </rPr>
      <t>m2</t>
    </r>
  </si>
  <si>
    <t>%</t>
  </si>
  <si>
    <t xml:space="preserve">Residential </t>
  </si>
  <si>
    <t>Private Residential</t>
  </si>
  <si>
    <t>Office</t>
    <phoneticPr fontId="63" type="noConversion"/>
  </si>
  <si>
    <t>Warehouse &amp; Open Storage</t>
  </si>
  <si>
    <t>TOTAL</t>
  </si>
  <si>
    <t xml:space="preserve">Floor area </t>
  </si>
  <si>
    <t>emission factor</t>
  </si>
  <si>
    <t>Electrification (share of cooking, hot water &amp; Ref)</t>
  </si>
  <si>
    <t>No. of Flats</t>
  </si>
  <si>
    <t>m3 per capita</t>
  </si>
  <si>
    <t>Residential</t>
    <phoneticPr fontId="63" type="noConversion"/>
  </si>
  <si>
    <t>Office</t>
    <phoneticPr fontId="63" type="noConversion"/>
  </si>
  <si>
    <t>popu_private_raw</t>
    <phoneticPr fontId="3" type="noConversion"/>
  </si>
  <si>
    <t>popu_public_raw</t>
    <phoneticPr fontId="3" type="noConversion"/>
  </si>
  <si>
    <t>PC private ENER</t>
    <phoneticPr fontId="3" type="noConversion"/>
  </si>
  <si>
    <t>PC public ENER</t>
    <phoneticPr fontId="3" type="noConversion"/>
  </si>
  <si>
    <t>均值6956.12; 
10年均增长率2.00%
5年均增长率1.33%</t>
    <phoneticPr fontId="3" type="noConversion"/>
  </si>
  <si>
    <t>new_residential</t>
    <phoneticPr fontId="3" type="noConversion"/>
  </si>
  <si>
    <t>Old:direct regress total energy;
New: predict intensity*popu(or area)</t>
    <phoneticPr fontId="3" type="noConversion"/>
  </si>
  <si>
    <t>new_commercial</t>
    <phoneticPr fontId="3" type="noConversion"/>
  </si>
  <si>
    <t>Final results(2019/9/5)</t>
    <phoneticPr fontId="3" type="noConversion"/>
  </si>
  <si>
    <t>new_private</t>
    <phoneticPr fontId="3" type="noConversion"/>
  </si>
  <si>
    <t>new_public</t>
    <phoneticPr fontId="3" type="noConversion"/>
  </si>
  <si>
    <t>住宅 Residential</t>
    <phoneticPr fontId="3" type="noConversion"/>
  </si>
  <si>
    <t>Public</t>
    <phoneticPr fontId="3" type="noConversion"/>
  </si>
  <si>
    <t>Private</t>
    <phoneticPr fontId="3" type="noConversion"/>
  </si>
  <si>
    <t>reener</t>
    <phoneticPr fontId="3" type="noConversion"/>
  </si>
  <si>
    <t>均值8592.81; 
5年均增长率-0.74%
10年均增长率-0.74%</t>
    <phoneticPr fontId="3" type="noConversion"/>
  </si>
  <si>
    <t>Private Residential Energy Mix</t>
    <phoneticPr fontId="3" type="noConversion"/>
  </si>
  <si>
    <t>History residential data(no consider division of private/public)</t>
    <phoneticPr fontId="3" type="noConversion"/>
  </si>
  <si>
    <t>Public Residential Energy Mix</t>
    <phoneticPr fontId="3" type="noConversion"/>
  </si>
  <si>
    <t>Future ratio: predict by apply TREND function</t>
    <phoneticPr fontId="3" type="noConversion"/>
  </si>
  <si>
    <t>Note:     History: from sheet “History Type Share"</t>
    <phoneticPr fontId="3" type="noConversion"/>
  </si>
  <si>
    <t>From Sheet: Future Total Energy</t>
    <phoneticPr fontId="3" type="noConversion"/>
  </si>
  <si>
    <t>Year</t>
    <phoneticPr fontId="3" type="noConversion"/>
  </si>
  <si>
    <t>Redisential-Private</t>
    <phoneticPr fontId="3" type="noConversion"/>
  </si>
  <si>
    <t xml:space="preserve">From calculation of history data(shown in "Residential8EndUse""Commercial8EndUse"), only Cooking and Heating consume non-electric energy. </t>
    <phoneticPr fontId="3" type="noConversion"/>
  </si>
  <si>
    <t>Therefore, future prediction are based on the history trend, setting a small increasing trend for non-electricity energy consumption of Hot Water,  a small decreasing trend for Cooking, and 0%  for all the other end-uses.</t>
    <phoneticPr fontId="3" type="noConversion"/>
  </si>
  <si>
    <t>1.Decomposition of Energy Consumption</t>
    <phoneticPr fontId="3" type="noConversion"/>
  </si>
  <si>
    <t>Method:</t>
    <phoneticPr fontId="3" type="noConversion"/>
  </si>
  <si>
    <t>2. Decomposition of “Energy except electricity"(other energy type) Consumption</t>
    <phoneticPr fontId="3" type="noConversion"/>
  </si>
  <si>
    <t>"Air Conditioning"'s share in energy/electricity demand both increase in the future, which is in accordance with the possible trend that future temperature and heatwave frequency in HK will increse due to climate change.</t>
    <phoneticPr fontId="3" type="noConversion"/>
  </si>
  <si>
    <t>3. Decomposition of Electricity Consumption</t>
    <phoneticPr fontId="3" type="noConversion"/>
  </si>
  <si>
    <t>Check：</t>
    <phoneticPr fontId="3" type="noConversion"/>
  </si>
  <si>
    <t>The share of different end-uses in electricity consumption is predicted based on the projections for energy and non-elec energy.</t>
    <phoneticPr fontId="3" type="noConversion"/>
  </si>
  <si>
    <t>Equation(for solving y):</t>
    <phoneticPr fontId="3" type="noConversion"/>
  </si>
  <si>
    <t xml:space="preserve">    y(Enduse A's share in electricity)*ESTE(electricity's share in total energy)+ESN(Enduse A's share in non-electricity)*NSTE(non-elec-energy's share in total energy)=STE(Enduse A's share in total energy)</t>
    <phoneticPr fontId="3" type="noConversion"/>
  </si>
  <si>
    <t>Energy Except Electricity (Town gas, oil&amp;coal)</t>
    <phoneticPr fontId="3" type="noConversion"/>
  </si>
  <si>
    <t>Redisential-Public</t>
    <phoneticPr fontId="3" type="noConversion"/>
  </si>
  <si>
    <t>Private Residential Energy End-use</t>
    <phoneticPr fontId="3" type="noConversion"/>
  </si>
  <si>
    <t>Public Residential Energy End-use</t>
    <phoneticPr fontId="3" type="noConversion"/>
  </si>
  <si>
    <t>20190906_v6</t>
    <phoneticPr fontId="3" type="noConversion"/>
  </si>
  <si>
    <r>
      <t xml:space="preserve">1. Change the method of predicting </t>
    </r>
    <r>
      <rPr>
        <b/>
        <sz val="11"/>
        <color theme="1"/>
        <rFont val="Calibri"/>
        <family val="3"/>
        <charset val="134"/>
        <scheme val="minor"/>
      </rPr>
      <t>total</t>
    </r>
    <r>
      <rPr>
        <sz val="11"/>
        <color theme="1"/>
        <rFont val="Calibri"/>
        <family val="2"/>
        <scheme val="minor"/>
      </rPr>
      <t xml:space="preserve"> </t>
    </r>
    <r>
      <rPr>
        <b/>
        <sz val="11"/>
        <color theme="1"/>
        <rFont val="Calibri"/>
        <family val="3"/>
        <charset val="134"/>
        <scheme val="minor"/>
      </rPr>
      <t>private/public/commercial building's energy demand</t>
    </r>
    <r>
      <rPr>
        <sz val="11"/>
        <color theme="1"/>
        <rFont val="Calibri"/>
        <family val="2"/>
        <scheme val="minor"/>
      </rPr>
      <t xml:space="preserve">:  first predict future trend of per capita/per area energy consumption, </t>
    </r>
    <phoneticPr fontId="3" type="noConversion"/>
  </si>
  <si>
    <r>
      <t xml:space="preserve">2. No longer divide the house as urban/rural residential, but </t>
    </r>
    <r>
      <rPr>
        <b/>
        <sz val="11"/>
        <color theme="1"/>
        <rFont val="Calibri"/>
        <family val="3"/>
        <charset val="134"/>
        <scheme val="minor"/>
      </rPr>
      <t>divide them as private/public residential</t>
    </r>
    <r>
      <rPr>
        <sz val="11"/>
        <color theme="1"/>
        <rFont val="Calibri"/>
        <family val="2"/>
        <scheme val="minor"/>
      </rPr>
      <t xml:space="preserve"> (and mark private as urban, residential as rural in the dark-blue final input sheets)</t>
    </r>
    <phoneticPr fontId="3" type="noConversion"/>
  </si>
  <si>
    <t>Method</t>
    <phoneticPr fontId="3" type="noConversion"/>
  </si>
  <si>
    <t>5. The share of end-uses in all different non-electricity energy types are the same.</t>
    <phoneticPr fontId="3" type="noConversion"/>
  </si>
  <si>
    <t>Private Residential End-use Energy Data</t>
    <phoneticPr fontId="3" type="noConversion"/>
  </si>
  <si>
    <t>Public Residential End-use Energy Data</t>
    <phoneticPr fontId="3" type="noConversion"/>
  </si>
  <si>
    <t>BTU</t>
  </si>
  <si>
    <t>1BTU=</t>
  </si>
  <si>
    <t>J</t>
  </si>
  <si>
    <t xml:space="preserve">Million </t>
  </si>
  <si>
    <t>enerngy consumption per capita</t>
  </si>
  <si>
    <t>MJ/PERPSON</t>
  </si>
  <si>
    <t>HK Development Bureau, HK Planning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</si>
</sst>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_(* \(#,##0.00\);_(* &quot;-&quot;??_);_(@_)"/>
    <numFmt numFmtId="164" formatCode="0.00_);[Red]\(0.00\)"/>
    <numFmt numFmtId="165" formatCode="0.0%"/>
    <numFmt numFmtId="166" formatCode="0.0"/>
    <numFmt numFmtId="167" formatCode="###\ ###\ ##0.0"/>
    <numFmt numFmtId="168" formatCode="#\ ###\ ###"/>
    <numFmt numFmtId="169" formatCode="0_);[Red]\(0\)"/>
    <numFmt numFmtId="170" formatCode="0.000"/>
    <numFmt numFmtId="171" formatCode="_(* #,##0_);_(* \(#,##0\);_(* &quot;-&quot;??_);_(@_)"/>
    <numFmt numFmtId="172" formatCode="_(* #,##0.0_);_(* \(#,##0.0\);_(* &quot;-&quot;??_);_(@_)"/>
    <numFmt numFmtId="173" formatCode="[$-13C09]d\ mmm\ yyyy;@"/>
    <numFmt numFmtId="174" formatCode="_(* #,##0.0000_);_(* \(#,##0.0000\);_(* &quot;-&quot;??_);_(@_)"/>
    <numFmt numFmtId="175" formatCode="_-* #,##0.00_-;\-* #,##0.00_-;_-* &quot;-&quot;??_-;_-@_-"/>
    <numFmt numFmtId="176" formatCode="_-* #,##0_-;\-* #,##0_-;_-* &quot;-&quot;??_-;_-@_-"/>
    <numFmt numFmtId="177" formatCode="_(* #,##0_);_(* \(#,##0\);_(* &quot;-&quot;????_);_(@_)"/>
  </numFmts>
  <fonts count="70">
    <font>
      <sz val="11"/>
      <color theme="1"/>
      <name val="Calibri"/>
      <family val="2"/>
      <scheme val="minor"/>
    </font>
    <font>
      <sz val="11"/>
      <color theme="1"/>
      <name val="Calibri"/>
      <family val="2"/>
      <charset val="134"/>
      <scheme val="minor"/>
    </font>
    <font>
      <sz val="11"/>
      <color theme="1"/>
      <name val="Calibri"/>
      <family val="2"/>
      <scheme val="minor"/>
    </font>
    <font>
      <sz val="9"/>
      <name val="Calibri"/>
      <family val="3"/>
      <charset val="134"/>
      <scheme val="minor"/>
    </font>
    <font>
      <sz val="8"/>
      <name val="Noto Sans CJK JP Regular"/>
      <family val="2"/>
    </font>
    <font>
      <sz val="8"/>
      <name val="Arial"/>
      <family val="2"/>
    </font>
    <font>
      <sz val="6"/>
      <name val="Arial"/>
      <family val="2"/>
    </font>
    <font>
      <sz val="8"/>
      <color rgb="FF000000"/>
      <name val="Arial"/>
      <family val="2"/>
    </font>
    <font>
      <b/>
      <sz val="11"/>
      <color theme="1"/>
      <name val="Calibri"/>
      <family val="2"/>
      <scheme val="minor"/>
    </font>
    <font>
      <sz val="11"/>
      <color theme="1" tint="4.9989318521683403E-2"/>
      <name val="Calibri"/>
      <family val="2"/>
      <scheme val="minor"/>
    </font>
    <font>
      <sz val="11"/>
      <color theme="1" tint="4.9989318521683403E-2"/>
      <name val="Calibri"/>
      <family val="3"/>
      <charset val="134"/>
      <scheme val="minor"/>
    </font>
    <font>
      <sz val="11"/>
      <color theme="1"/>
      <name val="Calibri"/>
      <family val="3"/>
      <charset val="134"/>
      <scheme val="minor"/>
    </font>
    <font>
      <b/>
      <sz val="11"/>
      <color theme="1"/>
      <name val="Calibri"/>
      <family val="3"/>
      <charset val="134"/>
      <scheme val="minor"/>
    </font>
    <font>
      <u/>
      <sz val="11"/>
      <color theme="10"/>
      <name val="Calibri"/>
      <family val="2"/>
      <scheme val="minor"/>
    </font>
    <font>
      <sz val="9"/>
      <color indexed="81"/>
      <name val="宋体"/>
      <family val="3"/>
      <charset val="134"/>
    </font>
    <font>
      <b/>
      <sz val="9"/>
      <color indexed="81"/>
      <name val="宋体"/>
      <family val="3"/>
      <charset val="134"/>
    </font>
    <font>
      <sz val="10"/>
      <name val="Calibri"/>
      <family val="2"/>
    </font>
    <font>
      <sz val="10"/>
      <name val="Arial"/>
      <family val="2"/>
    </font>
    <font>
      <sz val="12"/>
      <color theme="1"/>
      <name val="Calibri"/>
      <family val="1"/>
      <charset val="136"/>
      <scheme val="minor"/>
    </font>
    <font>
      <b/>
      <sz val="14"/>
      <color indexed="8"/>
      <name val="Times New Roman"/>
      <family val="1"/>
    </font>
    <font>
      <b/>
      <sz val="14"/>
      <color indexed="8"/>
      <name val="新細明體"/>
      <family val="1"/>
      <charset val="136"/>
    </font>
    <font>
      <sz val="9"/>
      <name val="新細明體"/>
      <family val="1"/>
      <charset val="136"/>
    </font>
    <font>
      <b/>
      <sz val="14"/>
      <color theme="1"/>
      <name val="Times New Roman"/>
      <family val="1"/>
    </font>
    <font>
      <sz val="11"/>
      <color theme="1"/>
      <name val="Times New Roman"/>
      <family val="1"/>
    </font>
    <font>
      <u/>
      <sz val="12"/>
      <color indexed="12"/>
      <name val="新細明體"/>
      <family val="1"/>
      <charset val="136"/>
    </font>
    <font>
      <b/>
      <sz val="11"/>
      <color theme="1"/>
      <name val="Times New Roman"/>
      <family val="1"/>
    </font>
    <font>
      <sz val="11"/>
      <color rgb="FF000000"/>
      <name val="Times New Roman"/>
      <family val="1"/>
    </font>
    <font>
      <sz val="11"/>
      <color indexed="8"/>
      <name val="新細明體"/>
      <family val="1"/>
      <charset val="136"/>
    </font>
    <font>
      <sz val="11"/>
      <color indexed="8"/>
      <name val="細明體"/>
      <family val="3"/>
      <charset val="136"/>
    </font>
    <font>
      <sz val="11"/>
      <color theme="1"/>
      <name val="細明體"/>
      <family val="3"/>
      <charset val="136"/>
    </font>
    <font>
      <sz val="11"/>
      <color indexed="8"/>
      <name val="Calibri"/>
      <family val="2"/>
      <scheme val="minor"/>
    </font>
    <font>
      <sz val="11"/>
      <color rgb="FFFF0000"/>
      <name val="Calibri"/>
      <family val="2"/>
      <scheme val="minor"/>
    </font>
    <font>
      <u/>
      <sz val="11"/>
      <color theme="1"/>
      <name val="Calibri"/>
      <family val="2"/>
      <scheme val="minor"/>
    </font>
    <font>
      <b/>
      <sz val="14"/>
      <color theme="1"/>
      <name val="Calibri"/>
      <family val="3"/>
      <charset val="134"/>
      <scheme val="minor"/>
    </font>
    <font>
      <b/>
      <sz val="16"/>
      <color theme="1"/>
      <name val="Calibri"/>
      <family val="3"/>
      <charset val="134"/>
      <scheme val="minor"/>
    </font>
    <font>
      <b/>
      <sz val="18"/>
      <color theme="1"/>
      <name val="Calibri"/>
      <family val="3"/>
      <charset val="134"/>
      <scheme val="minor"/>
    </font>
    <font>
      <b/>
      <sz val="11"/>
      <name val="Calibri"/>
      <family val="2"/>
    </font>
    <font>
      <b/>
      <sz val="11"/>
      <name val="Arial"/>
      <family val="2"/>
    </font>
    <font>
      <b/>
      <sz val="11"/>
      <name val="Calibri"/>
      <family val="3"/>
      <charset val="134"/>
      <scheme val="minor"/>
    </font>
    <font>
      <b/>
      <sz val="12"/>
      <color rgb="FF000000"/>
      <name val="Arial"/>
      <family val="2"/>
    </font>
    <font>
      <b/>
      <vertAlign val="superscript"/>
      <sz val="12"/>
      <color rgb="FF000000"/>
      <name val="Arial"/>
      <family val="2"/>
    </font>
    <font>
      <b/>
      <sz val="11"/>
      <color theme="1"/>
      <name val="Arial"/>
      <family val="2"/>
    </font>
    <font>
      <sz val="12"/>
      <color rgb="FF000000"/>
      <name val="Arial"/>
      <family val="2"/>
    </font>
    <font>
      <b/>
      <i/>
      <sz val="12"/>
      <color theme="1"/>
      <name val="Arial"/>
      <family val="2"/>
    </font>
    <font>
      <sz val="12"/>
      <color rgb="FFA52A2A"/>
      <name val="Calibri"/>
      <family val="2"/>
      <scheme val="minor"/>
    </font>
    <font>
      <sz val="11"/>
      <color theme="2"/>
      <name val="Calibri"/>
      <family val="2"/>
      <scheme val="minor"/>
    </font>
    <font>
      <sz val="11"/>
      <color theme="2"/>
      <name val="Calibri"/>
      <family val="3"/>
      <charset val="134"/>
      <scheme val="minor"/>
    </font>
    <font>
      <b/>
      <sz val="11"/>
      <color rgb="FFFF0000"/>
      <name val="Calibri"/>
      <family val="3"/>
      <charset val="134"/>
      <scheme val="minor"/>
    </font>
    <font>
      <b/>
      <sz val="14"/>
      <color theme="1"/>
      <name val="Calibri"/>
      <family val="2"/>
      <scheme val="minor"/>
    </font>
    <font>
      <sz val="11"/>
      <color theme="2" tint="-0.499984740745262"/>
      <name val="Calibri"/>
      <family val="2"/>
      <scheme val="minor"/>
    </font>
    <font>
      <sz val="11"/>
      <color theme="2" tint="-0.499984740745262"/>
      <name val="Calibri"/>
      <family val="3"/>
      <charset val="134"/>
      <scheme val="minor"/>
    </font>
    <font>
      <b/>
      <sz val="16"/>
      <color rgb="FF692272"/>
      <name val="Arial"/>
      <family val="2"/>
    </font>
    <font>
      <b/>
      <u/>
      <sz val="11"/>
      <color theme="1"/>
      <name val="Calibri"/>
      <family val="3"/>
      <charset val="134"/>
      <scheme val="minor"/>
    </font>
    <font>
      <sz val="6.5"/>
      <name val="Noto Sans CJK JP Regular"/>
      <family val="2"/>
    </font>
    <font>
      <sz val="6.5"/>
      <name val="Arial"/>
      <family val="2"/>
    </font>
    <font>
      <sz val="5.5"/>
      <name val="Arial"/>
      <family val="2"/>
    </font>
    <font>
      <vertAlign val="superscript"/>
      <sz val="6.5"/>
      <name val="Arial"/>
      <family val="2"/>
    </font>
    <font>
      <b/>
      <sz val="24"/>
      <color theme="1"/>
      <name val="Calibri"/>
      <family val="2"/>
      <scheme val="minor"/>
    </font>
    <font>
      <sz val="12"/>
      <color theme="1"/>
      <name val="Calibri"/>
      <family val="2"/>
      <scheme val="minor"/>
    </font>
    <font>
      <b/>
      <sz val="14"/>
      <name val="Calibri"/>
      <family val="2"/>
      <scheme val="minor"/>
    </font>
    <font>
      <sz val="11"/>
      <name val="Calibri"/>
      <family val="2"/>
      <scheme val="minor"/>
    </font>
    <font>
      <b/>
      <sz val="12"/>
      <color theme="1"/>
      <name val="Calibri"/>
      <family val="2"/>
      <scheme val="minor"/>
    </font>
    <font>
      <b/>
      <sz val="11"/>
      <name val="Calibri"/>
      <family val="2"/>
      <scheme val="minor"/>
    </font>
    <font>
      <b/>
      <sz val="11"/>
      <color theme="0"/>
      <name val="Calibri"/>
      <family val="2"/>
      <scheme val="minor"/>
    </font>
    <font>
      <b/>
      <sz val="11"/>
      <color rgb="FFFF0000"/>
      <name val="Calibri"/>
      <family val="2"/>
      <scheme val="minor"/>
    </font>
    <font>
      <vertAlign val="superscript"/>
      <sz val="11"/>
      <name val="Calibri"/>
      <family val="2"/>
      <scheme val="minor"/>
    </font>
    <font>
      <b/>
      <sz val="9"/>
      <color indexed="81"/>
      <name val="Tahoma"/>
      <family val="2"/>
    </font>
    <font>
      <sz val="9"/>
      <color indexed="81"/>
      <name val="Tahoma"/>
      <family val="2"/>
    </font>
    <font>
      <sz val="12"/>
      <color theme="1"/>
      <name val="Calibri"/>
      <family val="3"/>
      <charset val="134"/>
      <scheme val="minor"/>
    </font>
    <font>
      <b/>
      <sz val="12"/>
      <color theme="1"/>
      <name val="Calibri"/>
      <family val="3"/>
      <charset val="134"/>
      <scheme val="minor"/>
    </font>
  </fonts>
  <fills count="33">
    <fill>
      <patternFill patternType="none"/>
    </fill>
    <fill>
      <patternFill patternType="gray125"/>
    </fill>
    <fill>
      <patternFill patternType="solid">
        <fgColor rgb="FFD1E8FF"/>
      </patternFill>
    </fill>
    <fill>
      <patternFill patternType="solid">
        <fgColor rgb="FFD8FF69"/>
      </patternFill>
    </fill>
    <fill>
      <patternFill patternType="solid">
        <fgColor rgb="FFFFCD9A"/>
      </patternFill>
    </fill>
    <fill>
      <patternFill patternType="solid">
        <fgColor rgb="FFFFCC9A"/>
      </patternFill>
    </fill>
    <fill>
      <patternFill patternType="solid">
        <fgColor rgb="FFFFFF00"/>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0D8F3"/>
        <bgColor indexed="64"/>
      </patternFill>
    </fill>
    <fill>
      <patternFill patternType="solid">
        <fgColor rgb="FFFCEAF4"/>
        <bgColor indexed="64"/>
      </patternFill>
    </fill>
    <fill>
      <patternFill patternType="solid">
        <fgColor rgb="FFFFFDEE"/>
        <bgColor indexed="64"/>
      </patternFill>
    </fill>
    <fill>
      <patternFill patternType="solid">
        <fgColor rgb="FFF3EAF5"/>
        <bgColor indexed="64"/>
      </patternFill>
    </fill>
    <fill>
      <patternFill patternType="solid">
        <fgColor rgb="FFCCCCCC"/>
        <bgColor indexed="64"/>
      </patternFill>
    </fill>
    <fill>
      <patternFill patternType="solid">
        <fgColor rgb="FFFFFFFF"/>
        <bgColor indexed="64"/>
      </patternFill>
    </fill>
    <fill>
      <patternFill patternType="solid">
        <fgColor rgb="FFDED7F4"/>
        <bgColor indexed="64"/>
      </patternFill>
    </fill>
    <fill>
      <patternFill patternType="solid">
        <fgColor rgb="FFFFFFCC"/>
      </patternFill>
    </fill>
    <fill>
      <patternFill patternType="solid">
        <fgColor rgb="FFFFD215"/>
      </patternFill>
    </fill>
    <fill>
      <patternFill patternType="solid">
        <fgColor rgb="FFBDDEFF"/>
      </patternFill>
    </fill>
    <fill>
      <patternFill patternType="solid">
        <fgColor rgb="FFFDD9BB"/>
      </patternFill>
    </fill>
    <fill>
      <patternFill patternType="solid">
        <fgColor rgb="FFFFFF65"/>
      </patternFill>
    </fill>
    <fill>
      <patternFill patternType="solid">
        <fgColor rgb="FFD9FFFF"/>
      </patternFill>
    </fill>
    <fill>
      <patternFill patternType="solid">
        <fgColor rgb="FFE0C1FF"/>
      </patternFill>
    </fill>
    <fill>
      <patternFill patternType="solid">
        <fgColor theme="7" tint="0.59999389629810485"/>
        <bgColor indexed="64"/>
      </patternFill>
    </fill>
    <fill>
      <patternFill patternType="solid">
        <fgColor theme="8"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theme="1"/>
        <bgColor indexed="64"/>
      </patternFill>
    </fill>
    <fill>
      <patternFill patternType="solid">
        <fgColor theme="4"/>
        <bgColor indexed="64"/>
      </patternFill>
    </fill>
  </fills>
  <borders count="6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indexed="64"/>
      </top>
      <bottom/>
      <diagonal/>
    </border>
    <border>
      <left/>
      <right/>
      <top/>
      <bottom style="medium">
        <color indexed="64"/>
      </bottom>
      <diagonal/>
    </border>
    <border>
      <left/>
      <right/>
      <top/>
      <bottom style="mediumDashed">
        <color indexed="64"/>
      </bottom>
      <diagonal/>
    </border>
    <border>
      <left style="medium">
        <color rgb="FF666666"/>
      </left>
      <right/>
      <top style="medium">
        <color rgb="FF666666"/>
      </top>
      <bottom/>
      <diagonal/>
    </border>
    <border>
      <left/>
      <right/>
      <top style="medium">
        <color rgb="FF666666"/>
      </top>
      <bottom/>
      <diagonal/>
    </border>
    <border>
      <left/>
      <right style="medium">
        <color rgb="FF666666"/>
      </right>
      <top style="medium">
        <color rgb="FF666666"/>
      </top>
      <bottom/>
      <diagonal/>
    </border>
    <border>
      <left style="medium">
        <color rgb="FF666666"/>
      </left>
      <right/>
      <top style="medium">
        <color rgb="FF666666"/>
      </top>
      <bottom style="medium">
        <color rgb="FF666666"/>
      </bottom>
      <diagonal/>
    </border>
    <border>
      <left/>
      <right/>
      <top style="medium">
        <color rgb="FF666666"/>
      </top>
      <bottom style="medium">
        <color rgb="FF666666"/>
      </bottom>
      <diagonal/>
    </border>
    <border>
      <left/>
      <right style="medium">
        <color rgb="FF666666"/>
      </right>
      <top style="medium">
        <color rgb="FF666666"/>
      </top>
      <bottom style="medium">
        <color rgb="FF666666"/>
      </bottom>
      <diagonal/>
    </border>
    <border>
      <left style="medium">
        <color rgb="FF666666"/>
      </left>
      <right/>
      <top/>
      <bottom style="medium">
        <color rgb="FF666666"/>
      </bottom>
      <diagonal/>
    </border>
    <border>
      <left/>
      <right/>
      <top/>
      <bottom style="medium">
        <color rgb="FF666666"/>
      </bottom>
      <diagonal/>
    </border>
    <border>
      <left/>
      <right style="medium">
        <color rgb="FF666666"/>
      </right>
      <top/>
      <bottom style="medium">
        <color rgb="FF666666"/>
      </bottom>
      <diagonal/>
    </border>
    <border>
      <left style="medium">
        <color rgb="FF666666"/>
      </left>
      <right style="medium">
        <color rgb="FF666666"/>
      </right>
      <top style="medium">
        <color rgb="FF666666"/>
      </top>
      <bottom style="medium">
        <color rgb="FF666666"/>
      </bottom>
      <diagonal/>
    </border>
    <border>
      <left style="medium">
        <color rgb="FF666666"/>
      </left>
      <right/>
      <top/>
      <bottom/>
      <diagonal/>
    </border>
    <border>
      <left/>
      <right style="medium">
        <color rgb="FF666666"/>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auto="1"/>
      </left>
      <right style="thin">
        <color theme="0" tint="-4.9989318521683403E-2"/>
      </right>
      <top style="thin">
        <color auto="1"/>
      </top>
      <bottom/>
      <diagonal/>
    </border>
    <border>
      <left style="thin">
        <color theme="0" tint="-4.9989318521683403E-2"/>
      </left>
      <right/>
      <top style="thin">
        <color auto="1"/>
      </top>
      <bottom/>
      <diagonal/>
    </border>
    <border>
      <left style="thin">
        <color indexed="64"/>
      </left>
      <right style="thin">
        <color theme="0" tint="-4.9989318521683403E-2"/>
      </right>
      <top style="thin">
        <color indexed="64"/>
      </top>
      <bottom style="thin">
        <color indexed="64"/>
      </bottom>
      <diagonal/>
    </border>
    <border>
      <left style="thin">
        <color theme="0" tint="-4.9989318521683403E-2"/>
      </left>
      <right style="thin">
        <color theme="0" tint="-4.9989318521683403E-2"/>
      </right>
      <top style="thin">
        <color indexed="64"/>
      </top>
      <bottom style="thin">
        <color indexed="64"/>
      </bottom>
      <diagonal/>
    </border>
    <border>
      <left style="thin">
        <color theme="0" tint="-4.9989318521683403E-2"/>
      </left>
      <right style="thin">
        <color theme="0" tint="-4.9989318521683403E-2"/>
      </right>
      <top/>
      <bottom style="thin">
        <color auto="1"/>
      </bottom>
      <diagonal/>
    </border>
    <border>
      <left style="thin">
        <color theme="0" tint="-4.9989318521683403E-2"/>
      </left>
      <right style="thin">
        <color indexed="64"/>
      </right>
      <top/>
      <bottom style="thin">
        <color indexed="64"/>
      </bottom>
      <diagonal/>
    </border>
    <border>
      <left style="thin">
        <color auto="1"/>
      </left>
      <right style="thin">
        <color theme="0" tint="-4.9989318521683403E-2"/>
      </right>
      <top/>
      <bottom style="thin">
        <color auto="1"/>
      </bottom>
      <diagonal/>
    </border>
    <border>
      <left style="thin">
        <color theme="0" tint="-4.9989318521683403E-2"/>
      </left>
      <right style="thin">
        <color indexed="64"/>
      </right>
      <top style="thin">
        <color indexed="64"/>
      </top>
      <bottom style="thin">
        <color indexed="64"/>
      </bottom>
      <diagonal/>
    </border>
    <border>
      <left/>
      <right style="thin">
        <color auto="1"/>
      </right>
      <top style="thin">
        <color auto="1"/>
      </top>
      <bottom style="thin">
        <color theme="0" tint="-4.9989318521683403E-2"/>
      </bottom>
      <diagonal/>
    </border>
    <border>
      <left style="thin">
        <color auto="1"/>
      </left>
      <right style="thin">
        <color auto="1"/>
      </right>
      <top/>
      <bottom style="thin">
        <color auto="1"/>
      </bottom>
      <diagonal/>
    </border>
    <border>
      <left style="thin">
        <color theme="0" tint="-4.9989318521683403E-2"/>
      </left>
      <right/>
      <top/>
      <bottom style="thin">
        <color auto="1"/>
      </bottom>
      <diagonal/>
    </border>
    <border>
      <left style="thin">
        <color theme="0" tint="-4.9989318521683403E-2"/>
      </left>
      <right style="thin">
        <color auto="1"/>
      </right>
      <top style="thin">
        <color theme="0" tint="-4.9989318521683403E-2"/>
      </top>
      <bottom style="thin">
        <color auto="1"/>
      </bottom>
      <diagonal/>
    </border>
    <border>
      <left/>
      <right style="thin">
        <color theme="0" tint="-4.9989318521683403E-2"/>
      </right>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4.9989318521683403E-2"/>
      </left>
      <right style="thin">
        <color auto="1"/>
      </right>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auto="1"/>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auto="1"/>
      </bottom>
      <diagonal/>
    </border>
    <border>
      <left style="thin">
        <color theme="0" tint="-4.9989318521683403E-2"/>
      </left>
      <right style="thin">
        <color theme="0" tint="-4.9989318521683403E-2"/>
      </right>
      <top style="thin">
        <color theme="0" tint="-4.9989318521683403E-2"/>
      </top>
      <bottom style="thin">
        <color auto="1"/>
      </bottom>
      <diagonal/>
    </border>
    <border>
      <left/>
      <right/>
      <top style="thin">
        <color indexed="64"/>
      </top>
      <bottom style="double">
        <color indexed="64"/>
      </bottom>
      <diagonal/>
    </border>
    <border>
      <left style="thin">
        <color auto="1"/>
      </left>
      <right style="thin">
        <color auto="1"/>
      </right>
      <top/>
      <bottom style="dashed">
        <color auto="1"/>
      </bottom>
      <diagonal/>
    </border>
    <border>
      <left style="thin">
        <color auto="1"/>
      </left>
      <right/>
      <top style="dashDotDot">
        <color auto="1"/>
      </top>
      <bottom style="thin">
        <color auto="1"/>
      </bottom>
      <diagonal/>
    </border>
    <border>
      <left/>
      <right/>
      <top style="dashDotDot">
        <color auto="1"/>
      </top>
      <bottom style="thin">
        <color auto="1"/>
      </bottom>
      <diagonal/>
    </border>
    <border>
      <left/>
      <right style="thin">
        <color auto="1"/>
      </right>
      <top style="dashDotDot">
        <color auto="1"/>
      </top>
      <bottom style="thin">
        <color auto="1"/>
      </bottom>
      <diagonal/>
    </border>
    <border>
      <left/>
      <right/>
      <top style="dashDotDot">
        <color auto="1"/>
      </top>
      <bottom/>
      <diagonal/>
    </border>
    <border>
      <left/>
      <right style="thin">
        <color auto="1"/>
      </right>
      <top style="dashDotDot">
        <color auto="1"/>
      </top>
      <bottom/>
      <diagonal/>
    </border>
    <border>
      <left style="thin">
        <color auto="1"/>
      </left>
      <right style="thin">
        <color auto="1"/>
      </right>
      <top style="dashDotDot">
        <color auto="1"/>
      </top>
      <bottom style="thin">
        <color auto="1"/>
      </bottom>
      <diagonal/>
    </border>
    <border>
      <left style="thin">
        <color auto="1"/>
      </left>
      <right/>
      <top style="dashed">
        <color auto="1"/>
      </top>
      <bottom style="thin">
        <color auto="1"/>
      </bottom>
      <diagonal/>
    </border>
    <border>
      <left/>
      <right/>
      <top style="dashed">
        <color auto="1"/>
      </top>
      <bottom style="thin">
        <color auto="1"/>
      </bottom>
      <diagonal/>
    </border>
    <border>
      <left/>
      <right style="thin">
        <color auto="1"/>
      </right>
      <top style="dashed">
        <color auto="1"/>
      </top>
      <bottom style="thin">
        <color auto="1"/>
      </bottom>
      <diagonal/>
    </border>
    <border>
      <left style="thin">
        <color auto="1"/>
      </left>
      <right/>
      <top style="dashed">
        <color auto="1"/>
      </top>
      <bottom/>
      <diagonal/>
    </border>
    <border>
      <left/>
      <right/>
      <top style="dashed">
        <color auto="1"/>
      </top>
      <bottom/>
      <diagonal/>
    </border>
    <border>
      <left/>
      <right style="thin">
        <color auto="1"/>
      </right>
      <top style="dashed">
        <color auto="1"/>
      </top>
      <bottom/>
      <diagonal/>
    </border>
    <border>
      <left style="thin">
        <color auto="1"/>
      </left>
      <right style="thin">
        <color auto="1"/>
      </right>
      <top style="dashed">
        <color auto="1"/>
      </top>
      <bottom style="thin">
        <color auto="1"/>
      </bottom>
      <diagonal/>
    </border>
  </borders>
  <cellStyleXfs count="11">
    <xf numFmtId="0" fontId="0" fillId="0" borderId="0"/>
    <xf numFmtId="9" fontId="2" fillId="0" borderId="0" applyFont="0" applyFill="0" applyBorder="0" applyAlignment="0" applyProtection="0">
      <alignment vertical="center"/>
    </xf>
    <xf numFmtId="0" fontId="13" fillId="0" borderId="0" applyNumberFormat="0" applyFill="0" applyBorder="0" applyAlignment="0" applyProtection="0"/>
    <xf numFmtId="0" fontId="17" fillId="0" borderId="0"/>
    <xf numFmtId="0" fontId="18" fillId="0" borderId="0">
      <alignment vertical="center"/>
    </xf>
    <xf numFmtId="0" fontId="24" fillId="0" borderId="0" applyNumberFormat="0" applyFill="0" applyBorder="0" applyAlignment="0" applyProtection="0">
      <alignment vertical="top"/>
      <protection locked="0"/>
    </xf>
    <xf numFmtId="0" fontId="30" fillId="0" borderId="0">
      <alignment vertical="center"/>
    </xf>
    <xf numFmtId="0" fontId="1" fillId="0" borderId="0">
      <alignment vertical="center"/>
    </xf>
    <xf numFmtId="0" fontId="17" fillId="0" borderId="0"/>
    <xf numFmtId="43" fontId="2" fillId="0" borderId="0" applyFont="0" applyFill="0" applyBorder="0" applyAlignment="0" applyProtection="0"/>
    <xf numFmtId="9" fontId="2" fillId="0" borderId="0" applyFont="0" applyFill="0" applyBorder="0" applyAlignment="0" applyProtection="0"/>
  </cellStyleXfs>
  <cellXfs count="671">
    <xf numFmtId="0" fontId="0" fillId="0" borderId="0" xfId="0"/>
    <xf numFmtId="9" fontId="0" fillId="0" borderId="0" xfId="1" applyFont="1" applyAlignment="1"/>
    <xf numFmtId="0" fontId="0" fillId="0" borderId="1" xfId="0" applyFill="1" applyBorder="1" applyAlignment="1">
      <alignment horizontal="left" vertical="top" wrapText="1" indent="1"/>
    </xf>
    <xf numFmtId="1" fontId="7" fillId="0" borderId="1" xfId="0" applyNumberFormat="1" applyFont="1" applyFill="1" applyBorder="1" applyAlignment="1">
      <alignment horizontal="center" vertical="top" shrinkToFit="1"/>
    </xf>
    <xf numFmtId="9" fontId="7" fillId="2" borderId="4" xfId="0" applyNumberFormat="1" applyFont="1" applyFill="1" applyBorder="1" applyAlignment="1">
      <alignment horizontal="center" vertical="top" shrinkToFit="1"/>
    </xf>
    <xf numFmtId="9" fontId="7" fillId="3" borderId="4" xfId="0" applyNumberFormat="1" applyFont="1" applyFill="1" applyBorder="1" applyAlignment="1">
      <alignment horizontal="right" vertical="top" indent="1" shrinkToFit="1"/>
    </xf>
    <xf numFmtId="3" fontId="7" fillId="4" borderId="2" xfId="0" applyNumberFormat="1" applyFont="1" applyFill="1" applyBorder="1" applyAlignment="1">
      <alignment horizontal="right" vertical="top" indent="1" shrinkToFit="1"/>
    </xf>
    <xf numFmtId="0" fontId="0" fillId="0" borderId="2" xfId="0" applyFill="1" applyBorder="1" applyAlignment="1">
      <alignment horizontal="center" vertical="top" wrapText="1"/>
    </xf>
    <xf numFmtId="3" fontId="7" fillId="2" borderId="2" xfId="0" applyNumberFormat="1" applyFont="1" applyFill="1" applyBorder="1" applyAlignment="1">
      <alignment vertical="top" shrinkToFit="1"/>
    </xf>
    <xf numFmtId="3" fontId="7" fillId="3" borderId="2" xfId="0" applyNumberFormat="1" applyFont="1" applyFill="1" applyBorder="1" applyAlignment="1">
      <alignment vertical="top" shrinkToFit="1"/>
    </xf>
    <xf numFmtId="9" fontId="7" fillId="4" borderId="3" xfId="0" applyNumberFormat="1" applyFont="1" applyFill="1" applyBorder="1" applyAlignment="1">
      <alignment vertical="top" shrinkToFit="1"/>
    </xf>
    <xf numFmtId="3" fontId="7" fillId="0" borderId="2" xfId="0" applyNumberFormat="1" applyFont="1" applyFill="1" applyBorder="1" applyAlignment="1">
      <alignment vertical="top" shrinkToFit="1"/>
    </xf>
    <xf numFmtId="1" fontId="7" fillId="0" borderId="1" xfId="0" applyNumberFormat="1" applyFont="1" applyFill="1" applyBorder="1" applyAlignment="1">
      <alignment horizontal="right" vertical="top" shrinkToFit="1"/>
    </xf>
    <xf numFmtId="9" fontId="7" fillId="2" borderId="4" xfId="0" applyNumberFormat="1" applyFont="1" applyFill="1" applyBorder="1" applyAlignment="1">
      <alignment horizontal="right" vertical="top" shrinkToFit="1"/>
    </xf>
    <xf numFmtId="3" fontId="7" fillId="5" borderId="2" xfId="0" applyNumberFormat="1" applyFont="1" applyFill="1" applyBorder="1" applyAlignment="1">
      <alignment horizontal="right" vertical="top" indent="1" shrinkToFit="1"/>
    </xf>
    <xf numFmtId="9" fontId="7" fillId="5" borderId="3" xfId="0" applyNumberFormat="1" applyFont="1" applyFill="1" applyBorder="1" applyAlignment="1">
      <alignment vertical="top" shrinkToFit="1"/>
    </xf>
    <xf numFmtId="1" fontId="7" fillId="3" borderId="2" xfId="0" applyNumberFormat="1" applyFont="1" applyFill="1" applyBorder="1" applyAlignment="1">
      <alignment vertical="top" shrinkToFit="1"/>
    </xf>
    <xf numFmtId="9" fontId="0" fillId="0" borderId="0" xfId="0" applyNumberFormat="1"/>
    <xf numFmtId="0" fontId="8" fillId="0" borderId="0" xfId="0" applyFont="1"/>
    <xf numFmtId="0" fontId="0" fillId="6" borderId="0" xfId="0" applyFill="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9" xfId="0" applyBorder="1"/>
    <xf numFmtId="9" fontId="0" fillId="0" borderId="0" xfId="0" applyNumberFormat="1" applyBorder="1"/>
    <xf numFmtId="9" fontId="0" fillId="0" borderId="9" xfId="0" applyNumberFormat="1" applyBorder="1"/>
    <xf numFmtId="0" fontId="0" fillId="0" borderId="10" xfId="0" applyBorder="1"/>
    <xf numFmtId="0" fontId="0" fillId="0" borderId="11" xfId="0" applyBorder="1"/>
    <xf numFmtId="9" fontId="0" fillId="0" borderId="11" xfId="0" applyNumberFormat="1" applyBorder="1"/>
    <xf numFmtId="9" fontId="0" fillId="0" borderId="12" xfId="0" applyNumberFormat="1" applyBorder="1"/>
    <xf numFmtId="0" fontId="0" fillId="6" borderId="0" xfId="0" applyFill="1" applyBorder="1"/>
    <xf numFmtId="9" fontId="0" fillId="6" borderId="0" xfId="0" applyNumberFormat="1" applyFill="1" applyBorder="1"/>
    <xf numFmtId="9" fontId="0" fillId="6" borderId="9" xfId="0" applyNumberFormat="1" applyFill="1" applyBorder="1"/>
    <xf numFmtId="0" fontId="0" fillId="6" borderId="5" xfId="0" applyFill="1" applyBorder="1"/>
    <xf numFmtId="0" fontId="0" fillId="6" borderId="6" xfId="0" applyFill="1" applyBorder="1"/>
    <xf numFmtId="9" fontId="0" fillId="6" borderId="6" xfId="0" applyNumberFormat="1" applyFill="1" applyBorder="1"/>
    <xf numFmtId="9" fontId="0" fillId="6" borderId="7" xfId="0" applyNumberFormat="1" applyFill="1" applyBorder="1"/>
    <xf numFmtId="0" fontId="0" fillId="6" borderId="0" xfId="0" applyFill="1" applyBorder="1" applyAlignment="1"/>
    <xf numFmtId="0" fontId="0" fillId="6" borderId="7" xfId="0" applyFill="1" applyBorder="1"/>
    <xf numFmtId="0" fontId="9" fillId="0" borderId="5" xfId="0" applyFont="1" applyBorder="1"/>
    <xf numFmtId="0" fontId="10" fillId="0" borderId="6" xfId="0" applyFont="1" applyBorder="1"/>
    <xf numFmtId="0" fontId="10" fillId="0" borderId="7" xfId="0" applyFont="1" applyBorder="1"/>
    <xf numFmtId="0" fontId="10" fillId="0" borderId="8" xfId="0" applyFont="1" applyBorder="1"/>
    <xf numFmtId="0" fontId="10" fillId="0" borderId="0" xfId="0" applyFont="1" applyBorder="1"/>
    <xf numFmtId="0" fontId="10" fillId="0" borderId="9" xfId="0" applyFont="1" applyBorder="1"/>
    <xf numFmtId="165" fontId="10" fillId="0" borderId="0" xfId="0" applyNumberFormat="1" applyFont="1" applyBorder="1"/>
    <xf numFmtId="165" fontId="10" fillId="0" borderId="9" xfId="0" applyNumberFormat="1" applyFont="1" applyBorder="1"/>
    <xf numFmtId="165" fontId="10" fillId="6" borderId="0" xfId="0" applyNumberFormat="1" applyFont="1" applyFill="1" applyBorder="1"/>
    <xf numFmtId="165" fontId="10" fillId="6" borderId="9" xfId="0" applyNumberFormat="1" applyFont="1" applyFill="1" applyBorder="1"/>
    <xf numFmtId="0" fontId="10" fillId="0" borderId="10" xfId="0" applyFont="1" applyBorder="1"/>
    <xf numFmtId="165" fontId="10" fillId="0" borderId="11" xfId="0" applyNumberFormat="1" applyFont="1" applyBorder="1"/>
    <xf numFmtId="165" fontId="10" fillId="0" borderId="12" xfId="0" applyNumberFormat="1" applyFont="1" applyBorder="1"/>
    <xf numFmtId="165" fontId="0" fillId="0" borderId="0" xfId="1" applyNumberFormat="1" applyFont="1" applyBorder="1" applyAlignment="1"/>
    <xf numFmtId="165" fontId="0" fillId="0" borderId="11" xfId="1" applyNumberFormat="1" applyFont="1" applyBorder="1" applyAlignment="1"/>
    <xf numFmtId="0" fontId="0" fillId="6" borderId="9" xfId="0" applyFill="1" applyBorder="1"/>
    <xf numFmtId="165" fontId="0" fillId="6" borderId="0" xfId="1" applyNumberFormat="1" applyFont="1" applyFill="1" applyBorder="1" applyAlignment="1"/>
    <xf numFmtId="165" fontId="0" fillId="6" borderId="9" xfId="1" applyNumberFormat="1" applyFont="1" applyFill="1" applyBorder="1" applyAlignment="1"/>
    <xf numFmtId="0" fontId="11" fillId="0" borderId="0" xfId="0" applyFont="1"/>
    <xf numFmtId="0" fontId="12" fillId="0" borderId="0" xfId="0" applyFont="1"/>
    <xf numFmtId="166" fontId="0" fillId="0" borderId="0" xfId="0" applyNumberFormat="1"/>
    <xf numFmtId="1" fontId="0" fillId="0" borderId="0" xfId="0" applyNumberFormat="1"/>
    <xf numFmtId="1" fontId="0" fillId="6" borderId="0" xfId="0" applyNumberFormat="1" applyFill="1"/>
    <xf numFmtId="0" fontId="0" fillId="7" borderId="0" xfId="0" applyFill="1"/>
    <xf numFmtId="0" fontId="8" fillId="8" borderId="0" xfId="0" applyFont="1" applyFill="1"/>
    <xf numFmtId="0" fontId="0" fillId="0" borderId="0" xfId="0" applyAlignment="1">
      <alignment horizontal="left"/>
    </xf>
    <xf numFmtId="0" fontId="13" fillId="0" borderId="0" xfId="2"/>
    <xf numFmtId="0" fontId="0" fillId="9" borderId="0" xfId="0" applyFill="1"/>
    <xf numFmtId="0" fontId="0" fillId="10" borderId="0" xfId="0" applyFill="1"/>
    <xf numFmtId="166" fontId="0" fillId="9" borderId="0" xfId="0" applyNumberFormat="1" applyFill="1"/>
    <xf numFmtId="166" fontId="0" fillId="12" borderId="0" xfId="0" applyNumberFormat="1" applyFill="1"/>
    <xf numFmtId="0" fontId="0" fillId="12" borderId="0" xfId="0" applyFill="1"/>
    <xf numFmtId="0" fontId="19" fillId="0" borderId="0" xfId="4" applyFont="1">
      <alignment vertical="center"/>
    </xf>
    <xf numFmtId="0" fontId="22" fillId="0" borderId="0" xfId="4" applyFont="1">
      <alignment vertical="center"/>
    </xf>
    <xf numFmtId="0" fontId="23" fillId="0" borderId="0" xfId="4" applyFont="1">
      <alignment vertical="center"/>
    </xf>
    <xf numFmtId="0" fontId="25" fillId="0" borderId="0" xfId="4" applyFont="1">
      <alignment vertical="center"/>
    </xf>
    <xf numFmtId="0" fontId="26" fillId="0" borderId="13" xfId="4" applyFont="1" applyBorder="1" applyAlignment="1">
      <alignment horizontal="left" vertical="center" wrapText="1"/>
    </xf>
    <xf numFmtId="0" fontId="26" fillId="0" borderId="13" xfId="4" applyFont="1" applyBorder="1" applyAlignment="1">
      <alignment horizontal="center" vertical="center" wrapText="1"/>
    </xf>
    <xf numFmtId="0" fontId="26" fillId="0" borderId="0" xfId="4" applyFont="1" applyAlignment="1">
      <alignment horizontal="left" vertical="center" wrapText="1"/>
    </xf>
    <xf numFmtId="0" fontId="26" fillId="0" borderId="0" xfId="4" applyFont="1" applyAlignment="1">
      <alignment horizontal="center" vertical="center" wrapText="1"/>
    </xf>
    <xf numFmtId="0" fontId="23" fillId="0" borderId="14" xfId="4" applyFont="1" applyBorder="1" applyAlignment="1">
      <alignment horizontal="left" vertical="top" wrapText="1"/>
    </xf>
    <xf numFmtId="0" fontId="23" fillId="0" borderId="14" xfId="4" applyFont="1" applyBorder="1" applyAlignment="1">
      <alignment vertical="top" wrapText="1"/>
    </xf>
    <xf numFmtId="0" fontId="26" fillId="0" borderId="14" xfId="4" applyFont="1" applyBorder="1" applyAlignment="1">
      <alignment horizontal="center" vertical="center" wrapText="1"/>
    </xf>
    <xf numFmtId="0" fontId="26" fillId="0" borderId="0" xfId="4" applyFont="1" applyAlignment="1">
      <alignment horizontal="left" vertical="center"/>
    </xf>
    <xf numFmtId="168" fontId="26" fillId="0" borderId="0" xfId="4" applyNumberFormat="1" applyFont="1" applyAlignment="1">
      <alignment horizontal="center" vertical="center"/>
    </xf>
    <xf numFmtId="166" fontId="26" fillId="0" borderId="0" xfId="4" applyNumberFormat="1" applyFont="1" applyAlignment="1">
      <alignment horizontal="center" vertical="center"/>
    </xf>
    <xf numFmtId="1" fontId="23" fillId="0" borderId="0" xfId="4" applyNumberFormat="1" applyFont="1">
      <alignment vertical="center"/>
    </xf>
    <xf numFmtId="0" fontId="26" fillId="0" borderId="0" xfId="4" applyFont="1" applyBorder="1" applyAlignment="1">
      <alignment horizontal="left" vertical="center"/>
    </xf>
    <xf numFmtId="168" fontId="26" fillId="0" borderId="0" xfId="4" applyNumberFormat="1" applyFont="1" applyBorder="1" applyAlignment="1">
      <alignment horizontal="center" vertical="center"/>
    </xf>
    <xf numFmtId="166" fontId="26" fillId="0" borderId="0" xfId="4" applyNumberFormat="1" applyFont="1" applyBorder="1" applyAlignment="1">
      <alignment horizontal="center" vertical="center"/>
    </xf>
    <xf numFmtId="0" fontId="26" fillId="0" borderId="15" xfId="4" applyFont="1" applyBorder="1" applyAlignment="1">
      <alignment horizontal="left" vertical="center"/>
    </xf>
    <xf numFmtId="168" fontId="26" fillId="0" borderId="15" xfId="4" applyNumberFormat="1" applyFont="1" applyBorder="1" applyAlignment="1">
      <alignment horizontal="center" vertical="center"/>
    </xf>
    <xf numFmtId="168" fontId="26" fillId="0" borderId="15" xfId="4" quotePrefix="1" applyNumberFormat="1" applyFont="1" applyBorder="1" applyAlignment="1">
      <alignment horizontal="center" vertical="center"/>
    </xf>
    <xf numFmtId="166" fontId="26" fillId="0" borderId="15" xfId="4" applyNumberFormat="1" applyFont="1" applyBorder="1" applyAlignment="1">
      <alignment horizontal="center" vertical="center"/>
    </xf>
    <xf numFmtId="0" fontId="26" fillId="0" borderId="14" xfId="4" applyFont="1" applyBorder="1" applyAlignment="1">
      <alignment horizontal="left" vertical="center"/>
    </xf>
    <xf numFmtId="168" fontId="26" fillId="0" borderId="14" xfId="4" applyNumberFormat="1" applyFont="1" applyBorder="1" applyAlignment="1">
      <alignment horizontal="center" vertical="center"/>
    </xf>
    <xf numFmtId="166" fontId="26" fillId="0" borderId="14" xfId="4" applyNumberFormat="1" applyFont="1" applyBorder="1" applyAlignment="1">
      <alignment horizontal="center" vertical="center"/>
    </xf>
    <xf numFmtId="0" fontId="28" fillId="0" borderId="0" xfId="4" applyFont="1" applyAlignment="1">
      <alignment vertical="top"/>
    </xf>
    <xf numFmtId="0" fontId="29" fillId="0" borderId="0" xfId="4" applyFont="1" applyAlignment="1">
      <alignment vertical="top"/>
    </xf>
    <xf numFmtId="0" fontId="23" fillId="0" borderId="0" xfId="4" applyFont="1" applyAlignment="1">
      <alignment vertical="top"/>
    </xf>
    <xf numFmtId="2" fontId="0" fillId="12" borderId="0" xfId="0" applyNumberFormat="1" applyFill="1"/>
    <xf numFmtId="2" fontId="0" fillId="9" borderId="0" xfId="0" applyNumberFormat="1" applyFill="1"/>
    <xf numFmtId="0" fontId="0" fillId="0" borderId="0" xfId="0"/>
    <xf numFmtId="0" fontId="8" fillId="8" borderId="0" xfId="0" applyFont="1" applyFill="1"/>
    <xf numFmtId="0" fontId="0" fillId="0" borderId="0" xfId="0" applyAlignment="1">
      <alignment horizontal="left"/>
    </xf>
    <xf numFmtId="166" fontId="0" fillId="0" borderId="0" xfId="0" applyNumberFormat="1"/>
    <xf numFmtId="0" fontId="17" fillId="0" borderId="0" xfId="3" applyAlignment="1">
      <alignment wrapText="1"/>
    </xf>
    <xf numFmtId="167" fontId="16" fillId="0" borderId="0" xfId="3" applyNumberFormat="1" applyFont="1" applyBorder="1" applyAlignment="1" applyProtection="1">
      <alignment horizontal="right" wrapText="1"/>
    </xf>
    <xf numFmtId="0" fontId="16" fillId="0" borderId="0" xfId="3" applyFont="1" applyBorder="1" applyAlignment="1" applyProtection="1">
      <alignment vertical="top" wrapText="1"/>
    </xf>
    <xf numFmtId="0" fontId="17" fillId="0" borderId="0" xfId="3"/>
    <xf numFmtId="0" fontId="13" fillId="0" borderId="0" xfId="2"/>
    <xf numFmtId="0" fontId="0" fillId="11" borderId="0" xfId="0" applyFill="1"/>
    <xf numFmtId="0" fontId="16" fillId="0" borderId="0" xfId="3" applyFont="1" applyBorder="1" applyAlignment="1" applyProtection="1">
      <alignment horizontal="left" vertical="top" wrapText="1"/>
    </xf>
    <xf numFmtId="0" fontId="16" fillId="0" borderId="0" xfId="3" applyFont="1" applyBorder="1" applyAlignment="1" applyProtection="1">
      <alignment horizontal="right" wrapText="1"/>
    </xf>
    <xf numFmtId="165" fontId="0" fillId="0" borderId="0" xfId="1" applyNumberFormat="1" applyFont="1" applyAlignment="1"/>
    <xf numFmtId="2" fontId="0" fillId="0" borderId="0" xfId="0" applyNumberFormat="1"/>
    <xf numFmtId="0" fontId="31" fillId="11" borderId="0" xfId="0" applyFont="1" applyFill="1"/>
    <xf numFmtId="0" fontId="32" fillId="0" borderId="0" xfId="0" applyFont="1"/>
    <xf numFmtId="0" fontId="0" fillId="0" borderId="0" xfId="0" applyFont="1"/>
    <xf numFmtId="0" fontId="33" fillId="0" borderId="0" xfId="0" applyFont="1"/>
    <xf numFmtId="0" fontId="34" fillId="0" borderId="0" xfId="0" applyFont="1"/>
    <xf numFmtId="2" fontId="0" fillId="9" borderId="0" xfId="0" applyNumberFormat="1" applyFill="1" applyBorder="1"/>
    <xf numFmtId="0" fontId="12" fillId="0" borderId="8" xfId="0" applyFont="1" applyBorder="1"/>
    <xf numFmtId="0" fontId="12" fillId="7" borderId="0" xfId="0" applyFont="1" applyFill="1"/>
    <xf numFmtId="0" fontId="35" fillId="0" borderId="0" xfId="0" applyFont="1"/>
    <xf numFmtId="0" fontId="38" fillId="11" borderId="0" xfId="0" applyFont="1" applyFill="1"/>
    <xf numFmtId="9" fontId="0" fillId="0" borderId="0" xfId="1" applyFont="1" applyBorder="1" applyAlignment="1"/>
    <xf numFmtId="9" fontId="0" fillId="0" borderId="11" xfId="1" applyFont="1" applyBorder="1" applyAlignment="1"/>
    <xf numFmtId="1" fontId="0" fillId="7" borderId="0" xfId="0" applyNumberFormat="1" applyFill="1" applyBorder="1"/>
    <xf numFmtId="1" fontId="0" fillId="7" borderId="9" xfId="0" applyNumberFormat="1" applyFill="1" applyBorder="1"/>
    <xf numFmtId="1" fontId="0" fillId="7" borderId="11" xfId="0" applyNumberFormat="1" applyFill="1" applyBorder="1"/>
    <xf numFmtId="1" fontId="0" fillId="0" borderId="0" xfId="0" applyNumberFormat="1" applyBorder="1"/>
    <xf numFmtId="3" fontId="7" fillId="2" borderId="0" xfId="0" applyNumberFormat="1" applyFont="1" applyFill="1" applyBorder="1" applyAlignment="1">
      <alignment vertical="top" shrinkToFit="1"/>
    </xf>
    <xf numFmtId="9" fontId="7" fillId="2" borderId="0" xfId="0" applyNumberFormat="1" applyFont="1" applyFill="1" applyBorder="1" applyAlignment="1">
      <alignment horizontal="right" vertical="top" shrinkToFit="1"/>
    </xf>
    <xf numFmtId="1" fontId="7" fillId="3" borderId="0" xfId="0" applyNumberFormat="1" applyFont="1" applyFill="1" applyBorder="1" applyAlignment="1">
      <alignment vertical="top" shrinkToFit="1"/>
    </xf>
    <xf numFmtId="9" fontId="7" fillId="3" borderId="0" xfId="0" applyNumberFormat="1" applyFont="1" applyFill="1" applyBorder="1" applyAlignment="1">
      <alignment horizontal="right" vertical="top" indent="1" shrinkToFit="1"/>
    </xf>
    <xf numFmtId="3" fontId="7" fillId="5" borderId="0" xfId="0" applyNumberFormat="1" applyFont="1" applyFill="1" applyBorder="1" applyAlignment="1">
      <alignment horizontal="right" vertical="top" indent="1" shrinkToFit="1"/>
    </xf>
    <xf numFmtId="9" fontId="7" fillId="5" borderId="0" xfId="0" applyNumberFormat="1" applyFont="1" applyFill="1" applyBorder="1" applyAlignment="1">
      <alignment vertical="top" shrinkToFit="1"/>
    </xf>
    <xf numFmtId="0" fontId="0" fillId="0" borderId="8" xfId="0" applyFill="1" applyBorder="1" applyAlignment="1">
      <alignment horizontal="left" vertical="top" wrapText="1" indent="1"/>
    </xf>
    <xf numFmtId="0" fontId="0" fillId="0" borderId="9" xfId="0" applyFill="1" applyBorder="1" applyAlignment="1">
      <alignment horizontal="center" vertical="top" wrapText="1"/>
    </xf>
    <xf numFmtId="1" fontId="7" fillId="0" borderId="8" xfId="0" applyNumberFormat="1" applyFont="1" applyFill="1" applyBorder="1" applyAlignment="1">
      <alignment horizontal="right" vertical="top" shrinkToFit="1"/>
    </xf>
    <xf numFmtId="3" fontId="7" fillId="0" borderId="9" xfId="0" applyNumberFormat="1" applyFont="1" applyFill="1" applyBorder="1" applyAlignment="1">
      <alignment vertical="top" shrinkToFit="1"/>
    </xf>
    <xf numFmtId="1" fontId="0" fillId="0" borderId="9" xfId="0" applyNumberFormat="1" applyBorder="1"/>
    <xf numFmtId="1" fontId="7" fillId="0" borderId="10" xfId="0" applyNumberFormat="1" applyFont="1" applyFill="1" applyBorder="1" applyAlignment="1">
      <alignment horizontal="right" vertical="top" shrinkToFit="1"/>
    </xf>
    <xf numFmtId="1" fontId="0" fillId="0" borderId="11" xfId="0" applyNumberFormat="1" applyBorder="1"/>
    <xf numFmtId="1" fontId="0" fillId="0" borderId="12" xfId="0" applyNumberFormat="1" applyBorder="1"/>
    <xf numFmtId="9" fontId="7" fillId="2" borderId="0" xfId="0" applyNumberFormat="1" applyFont="1" applyFill="1" applyBorder="1" applyAlignment="1">
      <alignment horizontal="center" vertical="top" shrinkToFit="1"/>
    </xf>
    <xf numFmtId="3" fontId="7" fillId="3" borderId="0" xfId="0" applyNumberFormat="1" applyFont="1" applyFill="1" applyBorder="1" applyAlignment="1">
      <alignment vertical="top" shrinkToFit="1"/>
    </xf>
    <xf numFmtId="3" fontId="7" fillId="4" borderId="0" xfId="0" applyNumberFormat="1" applyFont="1" applyFill="1" applyBorder="1" applyAlignment="1">
      <alignment horizontal="right" vertical="top" indent="1" shrinkToFit="1"/>
    </xf>
    <xf numFmtId="9" fontId="7" fillId="4" borderId="0" xfId="0" applyNumberFormat="1" applyFont="1" applyFill="1" applyBorder="1" applyAlignment="1">
      <alignment vertical="top" shrinkToFit="1"/>
    </xf>
    <xf numFmtId="1" fontId="7" fillId="0" borderId="8" xfId="0" applyNumberFormat="1" applyFont="1" applyFill="1" applyBorder="1" applyAlignment="1">
      <alignment horizontal="center" vertical="top" shrinkToFit="1"/>
    </xf>
    <xf numFmtId="1" fontId="7" fillId="0" borderId="10" xfId="0" applyNumberFormat="1" applyFont="1" applyFill="1" applyBorder="1" applyAlignment="1">
      <alignment horizontal="center" vertical="top" shrinkToFit="1"/>
    </xf>
    <xf numFmtId="49" fontId="39" fillId="14" borderId="25" xfId="0" applyNumberFormat="1" applyFont="1" applyFill="1" applyBorder="1" applyAlignment="1">
      <alignment horizontal="center" vertical="center" wrapText="1"/>
    </xf>
    <xf numFmtId="49" fontId="39" fillId="15" borderId="25" xfId="0" applyNumberFormat="1" applyFont="1" applyFill="1" applyBorder="1" applyAlignment="1">
      <alignment horizontal="center" vertical="center" wrapText="1"/>
    </xf>
    <xf numFmtId="49" fontId="39" fillId="16" borderId="25" xfId="0" applyNumberFormat="1" applyFont="1" applyFill="1" applyBorder="1" applyAlignment="1">
      <alignment horizontal="left" vertical="center" wrapText="1"/>
    </xf>
    <xf numFmtId="0" fontId="42" fillId="18" borderId="25" xfId="0" applyFont="1" applyFill="1" applyBorder="1" applyAlignment="1">
      <alignment horizontal="right"/>
    </xf>
    <xf numFmtId="0" fontId="39" fillId="15" borderId="25" xfId="0" applyFont="1" applyFill="1" applyBorder="1" applyAlignment="1">
      <alignment horizontal="right"/>
    </xf>
    <xf numFmtId="49" fontId="43" fillId="19" borderId="25" xfId="0" applyNumberFormat="1" applyFont="1" applyFill="1" applyBorder="1" applyAlignment="1">
      <alignment horizontal="left" vertical="center" wrapText="1"/>
    </xf>
    <xf numFmtId="0" fontId="44" fillId="0" borderId="0" xfId="0" applyFont="1" applyAlignment="1">
      <alignment wrapText="1"/>
    </xf>
    <xf numFmtId="49" fontId="44" fillId="0" borderId="0" xfId="0" applyNumberFormat="1" applyFont="1" applyAlignment="1">
      <alignment horizontal="left" vertical="top" wrapText="1"/>
    </xf>
    <xf numFmtId="0" fontId="45" fillId="0" borderId="0" xfId="0" applyFont="1"/>
    <xf numFmtId="0" fontId="46" fillId="0" borderId="0" xfId="0" applyFont="1"/>
    <xf numFmtId="9" fontId="0" fillId="0" borderId="0" xfId="1" applyNumberFormat="1" applyFont="1" applyBorder="1" applyAlignment="1"/>
    <xf numFmtId="0" fontId="12" fillId="0" borderId="5" xfId="0" applyFont="1" applyBorder="1"/>
    <xf numFmtId="9" fontId="0" fillId="0" borderId="9" xfId="1" applyFont="1" applyBorder="1" applyAlignment="1"/>
    <xf numFmtId="9" fontId="12" fillId="0" borderId="5" xfId="1" applyFont="1" applyBorder="1" applyAlignment="1"/>
    <xf numFmtId="9" fontId="0" fillId="0" borderId="6" xfId="1" applyFont="1" applyBorder="1" applyAlignment="1"/>
    <xf numFmtId="9" fontId="0" fillId="0" borderId="7" xfId="1" applyFont="1" applyBorder="1" applyAlignment="1"/>
    <xf numFmtId="9" fontId="0" fillId="0" borderId="8" xfId="1" applyFont="1" applyBorder="1" applyAlignment="1"/>
    <xf numFmtId="169" fontId="0" fillId="0" borderId="8" xfId="1" applyNumberFormat="1" applyFont="1" applyBorder="1" applyAlignment="1"/>
    <xf numFmtId="169" fontId="0" fillId="0" borderId="10" xfId="1" applyNumberFormat="1" applyFont="1" applyBorder="1" applyAlignment="1"/>
    <xf numFmtId="9" fontId="0" fillId="0" borderId="11" xfId="1" applyNumberFormat="1" applyFont="1" applyBorder="1" applyAlignment="1"/>
    <xf numFmtId="1" fontId="0" fillId="9" borderId="0" xfId="0" applyNumberFormat="1" applyFill="1"/>
    <xf numFmtId="0" fontId="8" fillId="7" borderId="0" xfId="0" applyFont="1" applyFill="1"/>
    <xf numFmtId="11" fontId="0" fillId="0" borderId="0" xfId="0" applyNumberFormat="1"/>
    <xf numFmtId="0" fontId="49" fillId="0" borderId="0" xfId="0" applyFont="1"/>
    <xf numFmtId="164" fontId="50" fillId="0" borderId="0" xfId="1" applyNumberFormat="1" applyFont="1" applyAlignment="1"/>
    <xf numFmtId="164" fontId="12" fillId="0" borderId="0" xfId="0" applyNumberFormat="1" applyFont="1"/>
    <xf numFmtId="164" fontId="11" fillId="0" borderId="0" xfId="0" applyNumberFormat="1" applyFont="1"/>
    <xf numFmtId="164" fontId="0" fillId="9" borderId="0" xfId="0" applyNumberFormat="1" applyFill="1"/>
    <xf numFmtId="164" fontId="0" fillId="12" borderId="0" xfId="0" applyNumberFormat="1" applyFill="1"/>
    <xf numFmtId="164" fontId="0" fillId="0" borderId="0" xfId="0" applyNumberFormat="1"/>
    <xf numFmtId="169" fontId="12" fillId="0" borderId="0" xfId="0" applyNumberFormat="1" applyFont="1"/>
    <xf numFmtId="0" fontId="0" fillId="0" borderId="0" xfId="0" applyAlignment="1">
      <alignment wrapText="1"/>
    </xf>
    <xf numFmtId="0" fontId="0" fillId="0" borderId="0" xfId="0" applyAlignment="1"/>
    <xf numFmtId="0" fontId="52" fillId="0" borderId="0" xfId="0" applyFont="1"/>
    <xf numFmtId="0" fontId="12" fillId="6" borderId="0" xfId="0" applyFont="1" applyFill="1"/>
    <xf numFmtId="0" fontId="12" fillId="0" borderId="0" xfId="0" applyFont="1" applyBorder="1" applyAlignment="1">
      <alignment horizontal="center"/>
    </xf>
    <xf numFmtId="0" fontId="12" fillId="9" borderId="0" xfId="0" applyFont="1" applyFill="1"/>
    <xf numFmtId="0" fontId="0" fillId="21" borderId="1" xfId="0" applyFill="1" applyBorder="1" applyAlignment="1">
      <alignment horizontal="center" vertical="top" wrapText="1"/>
    </xf>
    <xf numFmtId="0" fontId="0" fillId="22" borderId="1" xfId="0" applyFill="1" applyBorder="1" applyAlignment="1">
      <alignment horizontal="center" vertical="top" wrapText="1"/>
    </xf>
    <xf numFmtId="0" fontId="0" fillId="23" borderId="1" xfId="0" applyFill="1" applyBorder="1" applyAlignment="1">
      <alignment horizontal="center" vertical="top" wrapText="1"/>
    </xf>
    <xf numFmtId="0" fontId="0" fillId="24" borderId="1" xfId="0" applyFill="1" applyBorder="1" applyAlignment="1">
      <alignment horizontal="left" vertical="top" wrapText="1" indent="1"/>
    </xf>
    <xf numFmtId="0" fontId="0" fillId="25" borderId="1" xfId="0" applyFill="1" applyBorder="1" applyAlignment="1">
      <alignment horizontal="center" vertical="top" wrapText="1"/>
    </xf>
    <xf numFmtId="0" fontId="0" fillId="20" borderId="1" xfId="0" applyFill="1" applyBorder="1" applyAlignment="1">
      <alignment horizontal="center" vertical="top" wrapText="1"/>
    </xf>
    <xf numFmtId="0" fontId="0" fillId="26" borderId="1" xfId="0" applyFill="1" applyBorder="1" applyAlignment="1">
      <alignment horizontal="left" vertical="top" wrapText="1" indent="1"/>
    </xf>
    <xf numFmtId="0" fontId="0" fillId="0" borderId="1" xfId="0" applyFill="1" applyBorder="1" applyAlignment="1">
      <alignment horizontal="left" vertical="top" wrapText="1" indent="2"/>
    </xf>
    <xf numFmtId="3" fontId="7" fillId="21" borderId="1" xfId="0" applyNumberFormat="1" applyFont="1" applyFill="1" applyBorder="1" applyAlignment="1">
      <alignment horizontal="left" vertical="top" indent="1" shrinkToFit="1"/>
    </xf>
    <xf numFmtId="3" fontId="7" fillId="22" borderId="1" xfId="0" applyNumberFormat="1" applyFont="1" applyFill="1" applyBorder="1" applyAlignment="1">
      <alignment horizontal="center" vertical="top" shrinkToFit="1"/>
    </xf>
    <xf numFmtId="3" fontId="7" fillId="23" borderId="1" xfId="0" applyNumberFormat="1" applyFont="1" applyFill="1" applyBorder="1" applyAlignment="1">
      <alignment horizontal="center" vertical="top" shrinkToFit="1"/>
    </xf>
    <xf numFmtId="3" fontId="7" fillId="24" borderId="1" xfId="0" applyNumberFormat="1" applyFont="1" applyFill="1" applyBorder="1" applyAlignment="1">
      <alignment horizontal="center" vertical="top" shrinkToFit="1"/>
    </xf>
    <xf numFmtId="3" fontId="7" fillId="25" borderId="1" xfId="0" applyNumberFormat="1" applyFont="1" applyFill="1" applyBorder="1" applyAlignment="1">
      <alignment horizontal="center" vertical="top" shrinkToFit="1"/>
    </xf>
    <xf numFmtId="3" fontId="7" fillId="20" borderId="1" xfId="0" applyNumberFormat="1" applyFont="1" applyFill="1" applyBorder="1" applyAlignment="1">
      <alignment horizontal="center" vertical="top" shrinkToFit="1"/>
    </xf>
    <xf numFmtId="1" fontId="7" fillId="26" borderId="1" xfId="0" applyNumberFormat="1" applyFont="1" applyFill="1" applyBorder="1" applyAlignment="1">
      <alignment horizontal="center" vertical="top" shrinkToFit="1"/>
    </xf>
    <xf numFmtId="3" fontId="7" fillId="0" borderId="1" xfId="0" applyNumberFormat="1" applyFont="1" applyFill="1" applyBorder="1" applyAlignment="1">
      <alignment horizontal="center" vertical="top" shrinkToFit="1"/>
    </xf>
    <xf numFmtId="1" fontId="7" fillId="24" borderId="1" xfId="0" applyNumberFormat="1" applyFont="1" applyFill="1" applyBorder="1" applyAlignment="1">
      <alignment horizontal="center" vertical="top" shrinkToFit="1"/>
    </xf>
    <xf numFmtId="3" fontId="7" fillId="26" borderId="1" xfId="0" applyNumberFormat="1" applyFont="1" applyFill="1" applyBorder="1" applyAlignment="1">
      <alignment horizontal="center" vertical="top" shrinkToFit="1"/>
    </xf>
    <xf numFmtId="3" fontId="7" fillId="21" borderId="1" xfId="0" applyNumberFormat="1" applyFont="1" applyFill="1" applyBorder="1" applyAlignment="1">
      <alignment horizontal="center" vertical="top" shrinkToFit="1"/>
    </xf>
    <xf numFmtId="3" fontId="7" fillId="22" borderId="1" xfId="0" applyNumberFormat="1" applyFont="1" applyFill="1" applyBorder="1" applyAlignment="1">
      <alignment horizontal="right" vertical="top" indent="1" shrinkToFit="1"/>
    </xf>
    <xf numFmtId="1" fontId="7" fillId="24" borderId="1" xfId="0" applyNumberFormat="1" applyFont="1" applyFill="1" applyBorder="1" applyAlignment="1">
      <alignment horizontal="right" vertical="top" indent="1" shrinkToFit="1"/>
    </xf>
    <xf numFmtId="1" fontId="7" fillId="25" borderId="1" xfId="0" applyNumberFormat="1" applyFont="1" applyFill="1" applyBorder="1" applyAlignment="1">
      <alignment horizontal="center" vertical="top" shrinkToFit="1"/>
    </xf>
    <xf numFmtId="1" fontId="7" fillId="20" borderId="1" xfId="0" applyNumberFormat="1" applyFont="1" applyFill="1" applyBorder="1" applyAlignment="1">
      <alignment horizontal="right" vertical="top" indent="1" shrinkToFit="1"/>
    </xf>
    <xf numFmtId="3" fontId="7" fillId="20" borderId="1" xfId="0" applyNumberFormat="1" applyFont="1" applyFill="1" applyBorder="1" applyAlignment="1">
      <alignment horizontal="right" vertical="top" indent="1" shrinkToFit="1"/>
    </xf>
    <xf numFmtId="3" fontId="7" fillId="24" borderId="1" xfId="0" applyNumberFormat="1" applyFont="1" applyFill="1" applyBorder="1" applyAlignment="1">
      <alignment horizontal="right" vertical="top" indent="1" shrinkToFit="1"/>
    </xf>
    <xf numFmtId="0" fontId="12" fillId="11" borderId="8" xfId="0" applyFont="1" applyFill="1" applyBorder="1"/>
    <xf numFmtId="0" fontId="0" fillId="11" borderId="0" xfId="0" applyFill="1" applyBorder="1"/>
    <xf numFmtId="9" fontId="7" fillId="21" borderId="1" xfId="1" applyFont="1" applyFill="1" applyBorder="1" applyAlignment="1">
      <alignment horizontal="left" vertical="top" indent="1" shrinkToFit="1"/>
    </xf>
    <xf numFmtId="9" fontId="7" fillId="22" borderId="1" xfId="1" applyFont="1" applyFill="1" applyBorder="1" applyAlignment="1">
      <alignment horizontal="center" vertical="top" shrinkToFit="1"/>
    </xf>
    <xf numFmtId="9" fontId="7" fillId="23" borderId="1" xfId="1" applyFont="1" applyFill="1" applyBorder="1" applyAlignment="1">
      <alignment horizontal="center" vertical="top" shrinkToFit="1"/>
    </xf>
    <xf numFmtId="9" fontId="7" fillId="24" borderId="1" xfId="1" applyFont="1" applyFill="1" applyBorder="1" applyAlignment="1">
      <alignment horizontal="right" vertical="top" indent="1" shrinkToFit="1"/>
    </xf>
    <xf numFmtId="9" fontId="7" fillId="25" borderId="1" xfId="1" applyFont="1" applyFill="1" applyBorder="1" applyAlignment="1">
      <alignment horizontal="center" vertical="top" shrinkToFit="1"/>
    </xf>
    <xf numFmtId="9" fontId="7" fillId="20" borderId="1" xfId="1" applyFont="1" applyFill="1" applyBorder="1" applyAlignment="1">
      <alignment horizontal="center" vertical="top" shrinkToFit="1"/>
    </xf>
    <xf numFmtId="9" fontId="7" fillId="26" borderId="1" xfId="1" applyFont="1" applyFill="1" applyBorder="1" applyAlignment="1">
      <alignment horizontal="center" vertical="top" shrinkToFit="1"/>
    </xf>
    <xf numFmtId="9" fontId="7" fillId="0" borderId="1" xfId="1" applyFont="1" applyFill="1" applyBorder="1" applyAlignment="1">
      <alignment horizontal="center" vertical="top" shrinkToFit="1"/>
    </xf>
    <xf numFmtId="1" fontId="7" fillId="21" borderId="1" xfId="0" applyNumberFormat="1" applyFont="1" applyFill="1" applyBorder="1" applyAlignment="1">
      <alignment horizontal="right" vertical="top" indent="1" shrinkToFit="1"/>
    </xf>
    <xf numFmtId="3" fontId="7" fillId="21" borderId="1" xfId="0" applyNumberFormat="1" applyFont="1" applyFill="1" applyBorder="1" applyAlignment="1">
      <alignment horizontal="right" vertical="top" indent="1" shrinkToFit="1"/>
    </xf>
    <xf numFmtId="1" fontId="7" fillId="23" borderId="1" xfId="0" applyNumberFormat="1" applyFont="1" applyFill="1" applyBorder="1" applyAlignment="1">
      <alignment horizontal="center" vertical="top" shrinkToFit="1"/>
    </xf>
    <xf numFmtId="1" fontId="7" fillId="23" borderId="1" xfId="0" applyNumberFormat="1" applyFont="1" applyFill="1" applyBorder="1" applyAlignment="1">
      <alignment horizontal="left" vertical="top" indent="2" shrinkToFit="1"/>
    </xf>
    <xf numFmtId="0" fontId="12" fillId="27" borderId="0" xfId="0" applyFont="1" applyFill="1" applyAlignment="1">
      <alignment wrapText="1"/>
    </xf>
    <xf numFmtId="0" fontId="0" fillId="27" borderId="0" xfId="0" applyFill="1"/>
    <xf numFmtId="0" fontId="12" fillId="28" borderId="0" xfId="0" applyFont="1" applyFill="1" applyAlignment="1">
      <alignment wrapText="1"/>
    </xf>
    <xf numFmtId="0" fontId="0" fillId="28" borderId="0" xfId="0" applyFill="1"/>
    <xf numFmtId="1" fontId="0" fillId="11" borderId="0" xfId="0" applyNumberFormat="1" applyFill="1"/>
    <xf numFmtId="10" fontId="2" fillId="9" borderId="0" xfId="1" applyNumberFormat="1" applyFont="1" applyFill="1" applyAlignment="1"/>
    <xf numFmtId="0" fontId="57" fillId="29" borderId="11" xfId="0" applyFont="1" applyFill="1" applyBorder="1" applyAlignment="1"/>
    <xf numFmtId="0" fontId="0" fillId="29" borderId="0" xfId="0" applyFill="1" applyAlignment="1">
      <alignment wrapText="1"/>
    </xf>
    <xf numFmtId="0" fontId="0" fillId="29" borderId="0" xfId="0" applyFill="1"/>
    <xf numFmtId="0" fontId="48" fillId="29" borderId="28" xfId="0" applyFont="1" applyFill="1" applyBorder="1" applyAlignment="1">
      <alignment horizontal="right"/>
    </xf>
    <xf numFmtId="173" fontId="0" fillId="0" borderId="30" xfId="0" applyNumberFormat="1" applyBorder="1"/>
    <xf numFmtId="0" fontId="0" fillId="0" borderId="29" xfId="0" applyBorder="1" applyAlignment="1">
      <alignment wrapText="1"/>
    </xf>
    <xf numFmtId="0" fontId="8" fillId="29" borderId="33" xfId="0" applyFont="1" applyFill="1" applyBorder="1" applyAlignment="1">
      <alignment horizontal="left" vertical="top" wrapText="1"/>
    </xf>
    <xf numFmtId="0" fontId="8" fillId="8" borderId="33" xfId="0" applyFont="1" applyFill="1" applyBorder="1" applyAlignment="1">
      <alignment vertical="top" wrapText="1"/>
    </xf>
    <xf numFmtId="0" fontId="0" fillId="6" borderId="33" xfId="0" applyFill="1" applyBorder="1" applyAlignment="1">
      <alignment vertical="top" wrapText="1"/>
    </xf>
    <xf numFmtId="0" fontId="8" fillId="30" borderId="33" xfId="0" applyFont="1" applyFill="1" applyBorder="1" applyAlignment="1">
      <alignment vertical="top" wrapText="1"/>
    </xf>
    <xf numFmtId="0" fontId="8" fillId="29" borderId="33" xfId="0" applyFont="1" applyFill="1" applyBorder="1" applyAlignment="1">
      <alignment vertical="top" wrapText="1"/>
    </xf>
    <xf numFmtId="0" fontId="57" fillId="29" borderId="0" xfId="0" applyFont="1" applyFill="1" applyBorder="1" applyAlignment="1"/>
    <xf numFmtId="0" fontId="58" fillId="29" borderId="0" xfId="0" applyFont="1" applyFill="1" applyAlignment="1">
      <alignment horizontal="right" vertical="top"/>
    </xf>
    <xf numFmtId="0" fontId="0" fillId="0" borderId="30" xfId="0" applyBorder="1" applyAlignment="1">
      <alignment wrapText="1"/>
    </xf>
    <xf numFmtId="0" fontId="8" fillId="29" borderId="28" xfId="0" applyFont="1" applyFill="1" applyBorder="1" applyAlignment="1">
      <alignment horizontal="left" vertical="center" wrapText="1"/>
    </xf>
    <xf numFmtId="0" fontId="8" fillId="8" borderId="29" xfId="0" applyFont="1" applyFill="1" applyBorder="1" applyAlignment="1">
      <alignment vertical="center" wrapText="1"/>
    </xf>
    <xf numFmtId="0" fontId="8" fillId="29" borderId="29" xfId="0" applyFont="1" applyFill="1" applyBorder="1" applyAlignment="1">
      <alignment vertical="center" wrapText="1"/>
    </xf>
    <xf numFmtId="0" fontId="8" fillId="29" borderId="30" xfId="0" applyFont="1" applyFill="1" applyBorder="1" applyAlignment="1">
      <alignment vertical="center" wrapText="1"/>
    </xf>
    <xf numFmtId="0" fontId="0" fillId="29" borderId="0" xfId="0" applyFill="1" applyAlignment="1">
      <alignment horizontal="right" vertical="top" wrapText="1"/>
    </xf>
    <xf numFmtId="0" fontId="0" fillId="29" borderId="0" xfId="0" applyFill="1" applyAlignment="1">
      <alignment horizontal="center"/>
    </xf>
    <xf numFmtId="0" fontId="60" fillId="29" borderId="0" xfId="0" applyFont="1" applyFill="1" applyAlignment="1">
      <alignment horizontal="center"/>
    </xf>
    <xf numFmtId="0" fontId="61" fillId="29" borderId="0" xfId="0" applyFont="1" applyFill="1" applyBorder="1"/>
    <xf numFmtId="0" fontId="0" fillId="29" borderId="0" xfId="0" applyFill="1" applyAlignment="1">
      <alignment horizontal="center" wrapText="1"/>
    </xf>
    <xf numFmtId="0" fontId="60" fillId="29" borderId="38" xfId="0" applyFont="1" applyFill="1" applyBorder="1" applyAlignment="1">
      <alignment horizontal="center" wrapText="1"/>
    </xf>
    <xf numFmtId="0" fontId="0" fillId="29" borderId="0" xfId="0" applyFill="1" applyAlignment="1"/>
    <xf numFmtId="0" fontId="60" fillId="0" borderId="0" xfId="0" applyFont="1" applyAlignment="1"/>
    <xf numFmtId="0" fontId="0" fillId="29" borderId="0" xfId="0" applyFill="1" applyBorder="1" applyAlignment="1">
      <alignment horizontal="center"/>
    </xf>
    <xf numFmtId="0" fontId="62" fillId="29" borderId="32" xfId="0" applyFont="1" applyFill="1" applyBorder="1"/>
    <xf numFmtId="9" fontId="60" fillId="29" borderId="46" xfId="0" applyNumberFormat="1" applyFont="1" applyFill="1" applyBorder="1" applyAlignment="1">
      <alignment wrapText="1"/>
    </xf>
    <xf numFmtId="0" fontId="60" fillId="29" borderId="47" xfId="0" applyFont="1" applyFill="1" applyBorder="1" applyAlignment="1">
      <alignment wrapText="1"/>
    </xf>
    <xf numFmtId="0" fontId="60" fillId="29" borderId="48" xfId="0" applyFont="1" applyFill="1" applyBorder="1" applyAlignment="1">
      <alignment wrapText="1"/>
    </xf>
    <xf numFmtId="0" fontId="60" fillId="29" borderId="0" xfId="0" applyFont="1" applyFill="1"/>
    <xf numFmtId="0" fontId="0" fillId="29" borderId="10" xfId="0" applyFill="1" applyBorder="1" applyAlignment="1">
      <alignment wrapText="1"/>
    </xf>
    <xf numFmtId="0" fontId="0" fillId="29" borderId="12" xfId="0" applyFill="1" applyBorder="1" applyAlignment="1">
      <alignment wrapText="1"/>
    </xf>
    <xf numFmtId="0" fontId="0" fillId="29" borderId="0" xfId="0" applyFill="1" applyBorder="1" applyAlignment="1">
      <alignment wrapText="1"/>
    </xf>
    <xf numFmtId="0" fontId="60" fillId="29" borderId="32" xfId="0" applyFont="1" applyFill="1" applyBorder="1"/>
    <xf numFmtId="9" fontId="60" fillId="6" borderId="49" xfId="0" applyNumberFormat="1" applyFont="1" applyFill="1" applyBorder="1" applyAlignment="1">
      <alignment wrapText="1"/>
    </xf>
    <xf numFmtId="172" fontId="60" fillId="0" borderId="50" xfId="9" applyNumberFormat="1" applyFont="1" applyFill="1" applyBorder="1" applyAlignment="1">
      <alignment wrapText="1"/>
    </xf>
    <xf numFmtId="0" fontId="0" fillId="29" borderId="50" xfId="0" applyFill="1" applyBorder="1"/>
    <xf numFmtId="9" fontId="60" fillId="30" borderId="50" xfId="0" applyNumberFormat="1" applyFont="1" applyFill="1" applyBorder="1" applyAlignment="1">
      <alignment wrapText="1"/>
    </xf>
    <xf numFmtId="9" fontId="60" fillId="6" borderId="50" xfId="0" applyNumberFormat="1" applyFont="1" applyFill="1" applyBorder="1" applyAlignment="1">
      <alignment wrapText="1"/>
    </xf>
    <xf numFmtId="9" fontId="60" fillId="29" borderId="50" xfId="0" applyNumberFormat="1" applyFont="1" applyFill="1" applyBorder="1" applyAlignment="1">
      <alignment wrapText="1"/>
    </xf>
    <xf numFmtId="0" fontId="60" fillId="29" borderId="50" xfId="0" applyFont="1" applyFill="1" applyBorder="1" applyAlignment="1">
      <alignment wrapText="1"/>
    </xf>
    <xf numFmtId="9" fontId="60" fillId="30" borderId="50" xfId="10" applyFont="1" applyFill="1" applyBorder="1" applyAlignment="1">
      <alignment wrapText="1"/>
    </xf>
    <xf numFmtId="9" fontId="60" fillId="30" borderId="51" xfId="0" applyNumberFormat="1" applyFont="1" applyFill="1" applyBorder="1" applyAlignment="1">
      <alignment wrapText="1"/>
    </xf>
    <xf numFmtId="0" fontId="62" fillId="29" borderId="8" xfId="0" applyFont="1" applyFill="1" applyBorder="1"/>
    <xf numFmtId="171" fontId="0" fillId="29" borderId="0" xfId="0" applyNumberFormat="1" applyFill="1" applyAlignment="1">
      <alignment wrapText="1"/>
    </xf>
    <xf numFmtId="0" fontId="60" fillId="29" borderId="49" xfId="0" applyFont="1" applyFill="1" applyBorder="1" applyAlignment="1">
      <alignment wrapText="1"/>
    </xf>
    <xf numFmtId="0" fontId="62" fillId="29" borderId="43" xfId="0" applyFont="1" applyFill="1" applyBorder="1"/>
    <xf numFmtId="0" fontId="60" fillId="29" borderId="52" xfId="0" applyFont="1" applyFill="1" applyBorder="1" applyAlignment="1">
      <alignment wrapText="1"/>
    </xf>
    <xf numFmtId="172" fontId="60" fillId="0" borderId="53" xfId="9" applyNumberFormat="1" applyFont="1" applyFill="1" applyBorder="1" applyAlignment="1">
      <alignment wrapText="1"/>
    </xf>
    <xf numFmtId="9" fontId="60" fillId="6" borderId="53" xfId="0" applyNumberFormat="1" applyFont="1" applyFill="1" applyBorder="1" applyAlignment="1">
      <alignment wrapText="1"/>
    </xf>
    <xf numFmtId="0" fontId="60" fillId="29" borderId="53" xfId="0" applyFont="1" applyFill="1" applyBorder="1" applyAlignment="1">
      <alignment wrapText="1"/>
    </xf>
    <xf numFmtId="9" fontId="60" fillId="30" borderId="53" xfId="0" applyNumberFormat="1" applyFont="1" applyFill="1" applyBorder="1" applyAlignment="1">
      <alignment wrapText="1"/>
    </xf>
    <xf numFmtId="9" fontId="60" fillId="29" borderId="53" xfId="10" applyFont="1" applyFill="1" applyBorder="1" applyAlignment="1">
      <alignment wrapText="1"/>
    </xf>
    <xf numFmtId="9" fontId="60" fillId="29" borderId="53" xfId="0" applyNumberFormat="1" applyFont="1" applyFill="1" applyBorder="1" applyAlignment="1">
      <alignment wrapText="1"/>
    </xf>
    <xf numFmtId="9" fontId="60" fillId="29" borderId="45" xfId="0" applyNumberFormat="1" applyFont="1" applyFill="1" applyBorder="1" applyAlignment="1">
      <alignment wrapText="1"/>
    </xf>
    <xf numFmtId="171" fontId="8" fillId="29" borderId="54" xfId="0" applyNumberFormat="1" applyFont="1" applyFill="1" applyBorder="1" applyAlignment="1">
      <alignment wrapText="1"/>
    </xf>
    <xf numFmtId="171" fontId="8" fillId="29" borderId="0" xfId="0" applyNumberFormat="1" applyFont="1" applyFill="1" applyBorder="1" applyAlignment="1">
      <alignment wrapText="1"/>
    </xf>
    <xf numFmtId="0" fontId="8" fillId="0" borderId="0" xfId="0" applyFont="1" applyFill="1"/>
    <xf numFmtId="0" fontId="62" fillId="0" borderId="0" xfId="0" applyFont="1" applyFill="1" applyBorder="1" applyAlignment="1">
      <alignment wrapText="1"/>
    </xf>
    <xf numFmtId="172" fontId="62" fillId="0" borderId="0" xfId="9" applyNumberFormat="1" applyFont="1" applyFill="1" applyBorder="1" applyAlignment="1">
      <alignment wrapText="1"/>
    </xf>
    <xf numFmtId="9" fontId="62" fillId="0" borderId="0" xfId="0" applyNumberFormat="1" applyFont="1" applyFill="1" applyBorder="1" applyAlignment="1">
      <alignment wrapText="1"/>
    </xf>
    <xf numFmtId="0" fontId="8" fillId="29" borderId="0" xfId="0" applyFont="1" applyFill="1"/>
    <xf numFmtId="9" fontId="62" fillId="29" borderId="0" xfId="0" applyNumberFormat="1" applyFont="1" applyFill="1" applyBorder="1" applyAlignment="1">
      <alignment wrapText="1"/>
    </xf>
    <xf numFmtId="9" fontId="62" fillId="0" borderId="0" xfId="10" applyFont="1" applyFill="1" applyBorder="1" applyAlignment="1">
      <alignment wrapText="1"/>
    </xf>
    <xf numFmtId="9" fontId="62" fillId="29" borderId="0" xfId="10" applyFont="1" applyFill="1" applyBorder="1" applyAlignment="1">
      <alignment wrapText="1"/>
    </xf>
    <xf numFmtId="0" fontId="62" fillId="0" borderId="0" xfId="0" applyFont="1" applyFill="1"/>
    <xf numFmtId="0" fontId="8" fillId="29" borderId="0" xfId="0" applyFont="1" applyFill="1" applyAlignment="1"/>
    <xf numFmtId="0" fontId="8" fillId="0" borderId="0" xfId="0" applyFont="1" applyFill="1" applyAlignment="1">
      <alignment wrapText="1"/>
    </xf>
    <xf numFmtId="9" fontId="62" fillId="0" borderId="0" xfId="0" applyNumberFormat="1" applyFont="1" applyFill="1" applyBorder="1" applyAlignment="1"/>
    <xf numFmtId="0" fontId="0" fillId="0" borderId="0" xfId="0" applyFill="1"/>
    <xf numFmtId="0" fontId="60" fillId="0" borderId="0" xfId="0" applyFont="1" applyFill="1" applyBorder="1" applyAlignment="1">
      <alignment wrapText="1"/>
    </xf>
    <xf numFmtId="9" fontId="60" fillId="0" borderId="0" xfId="0" applyNumberFormat="1" applyFont="1" applyFill="1" applyBorder="1" applyAlignment="1">
      <alignment wrapText="1"/>
    </xf>
    <xf numFmtId="9" fontId="60" fillId="29" borderId="0" xfId="0" applyNumberFormat="1" applyFont="1" applyFill="1" applyBorder="1" applyAlignment="1">
      <alignment wrapText="1"/>
    </xf>
    <xf numFmtId="9" fontId="60" fillId="0" borderId="0" xfId="10" applyFont="1" applyFill="1" applyBorder="1" applyAlignment="1">
      <alignment wrapText="1"/>
    </xf>
    <xf numFmtId="9" fontId="60" fillId="29" borderId="0" xfId="10" applyFont="1" applyFill="1" applyBorder="1" applyAlignment="1">
      <alignment wrapText="1"/>
    </xf>
    <xf numFmtId="0" fontId="60" fillId="0" borderId="0" xfId="0" applyFont="1" applyFill="1"/>
    <xf numFmtId="0" fontId="0" fillId="0" borderId="0" xfId="0" applyFill="1" applyAlignment="1">
      <alignment wrapText="1"/>
    </xf>
    <xf numFmtId="0" fontId="8" fillId="0" borderId="5" xfId="0" applyFont="1" applyFill="1" applyBorder="1"/>
    <xf numFmtId="9" fontId="60" fillId="0" borderId="6" xfId="0" applyNumberFormat="1" applyFont="1" applyFill="1" applyBorder="1" applyAlignment="1">
      <alignment wrapText="1"/>
    </xf>
    <xf numFmtId="0" fontId="0" fillId="0" borderId="6" xfId="0" applyFill="1" applyBorder="1"/>
    <xf numFmtId="1" fontId="60" fillId="0" borderId="6" xfId="9" applyNumberFormat="1" applyFont="1" applyFill="1" applyBorder="1" applyAlignment="1">
      <alignment wrapText="1"/>
    </xf>
    <xf numFmtId="1" fontId="60" fillId="0" borderId="7" xfId="9" applyNumberFormat="1" applyFont="1" applyFill="1" applyBorder="1" applyAlignment="1">
      <alignment wrapText="1"/>
    </xf>
    <xf numFmtId="0" fontId="60" fillId="29" borderId="8" xfId="0" applyFont="1" applyFill="1" applyBorder="1" applyAlignment="1"/>
    <xf numFmtId="0" fontId="60" fillId="29" borderId="0" xfId="0" applyFont="1" applyFill="1" applyBorder="1" applyAlignment="1"/>
    <xf numFmtId="0" fontId="0" fillId="0" borderId="0" xfId="0" applyFill="1" applyBorder="1"/>
    <xf numFmtId="174" fontId="60" fillId="30" borderId="0" xfId="9" applyNumberFormat="1" applyFont="1" applyFill="1" applyBorder="1"/>
    <xf numFmtId="174" fontId="60" fillId="30" borderId="9" xfId="0" applyNumberFormat="1" applyFont="1" applyFill="1" applyBorder="1"/>
    <xf numFmtId="171" fontId="60" fillId="8" borderId="0" xfId="9" applyNumberFormat="1" applyFont="1" applyFill="1" applyBorder="1"/>
    <xf numFmtId="171" fontId="60" fillId="8" borderId="9" xfId="9" applyNumberFormat="1" applyFont="1" applyFill="1" applyBorder="1"/>
    <xf numFmtId="0" fontId="0" fillId="0" borderId="8" xfId="0" applyFill="1" applyBorder="1"/>
    <xf numFmtId="0" fontId="60" fillId="0" borderId="9" xfId="0" applyFont="1" applyFill="1" applyBorder="1" applyAlignment="1">
      <alignment wrapText="1"/>
    </xf>
    <xf numFmtId="9" fontId="60" fillId="0" borderId="8" xfId="10" applyFont="1" applyFill="1" applyBorder="1" applyAlignment="1"/>
    <xf numFmtId="9" fontId="60" fillId="0" borderId="10" xfId="10" applyFont="1" applyFill="1" applyBorder="1" applyAlignment="1"/>
    <xf numFmtId="9" fontId="60" fillId="0" borderId="11" xfId="0" applyNumberFormat="1" applyFont="1" applyFill="1" applyBorder="1" applyAlignment="1">
      <alignment wrapText="1"/>
    </xf>
    <xf numFmtId="9" fontId="60" fillId="0" borderId="11" xfId="10" applyFont="1" applyFill="1" applyBorder="1" applyAlignment="1">
      <alignment wrapText="1"/>
    </xf>
    <xf numFmtId="0" fontId="60" fillId="0" borderId="11" xfId="0" applyFont="1" applyFill="1" applyBorder="1" applyAlignment="1">
      <alignment wrapText="1"/>
    </xf>
    <xf numFmtId="0" fontId="60" fillId="0" borderId="12" xfId="0" applyFont="1" applyFill="1" applyBorder="1" applyAlignment="1">
      <alignment wrapText="1"/>
    </xf>
    <xf numFmtId="0" fontId="62" fillId="0" borderId="0" xfId="0" applyFont="1" applyFill="1" applyBorder="1"/>
    <xf numFmtId="172" fontId="60" fillId="0" borderId="0" xfId="9" applyNumberFormat="1" applyFont="1" applyFill="1" applyBorder="1" applyAlignment="1">
      <alignment wrapText="1"/>
    </xf>
    <xf numFmtId="0" fontId="8" fillId="0" borderId="5" xfId="0" applyFont="1" applyFill="1" applyBorder="1" applyAlignment="1"/>
    <xf numFmtId="0" fontId="0" fillId="0" borderId="6" xfId="0" applyFill="1" applyBorder="1" applyAlignment="1">
      <alignment wrapText="1"/>
    </xf>
    <xf numFmtId="0" fontId="0" fillId="0" borderId="7" xfId="0" applyFill="1" applyBorder="1" applyAlignment="1">
      <alignment wrapText="1"/>
    </xf>
    <xf numFmtId="0" fontId="0" fillId="0" borderId="31" xfId="0" applyFill="1" applyBorder="1" applyAlignment="1">
      <alignment wrapText="1"/>
    </xf>
    <xf numFmtId="0" fontId="0" fillId="0" borderId="8" xfId="0" applyFill="1" applyBorder="1" applyAlignment="1"/>
    <xf numFmtId="0" fontId="0" fillId="0" borderId="0" xfId="0" applyFill="1" applyBorder="1" applyAlignment="1">
      <alignment wrapText="1"/>
    </xf>
    <xf numFmtId="0" fontId="0" fillId="0" borderId="9" xfId="0" applyFill="1" applyBorder="1" applyAlignment="1">
      <alignment wrapText="1"/>
    </xf>
    <xf numFmtId="0" fontId="0" fillId="0" borderId="32" xfId="0" applyFill="1" applyBorder="1" applyAlignment="1">
      <alignment wrapText="1"/>
    </xf>
    <xf numFmtId="0" fontId="13" fillId="0" borderId="8" xfId="2" applyBorder="1"/>
    <xf numFmtId="0" fontId="0" fillId="0" borderId="0" xfId="0" applyFill="1" applyBorder="1" applyAlignment="1"/>
    <xf numFmtId="0" fontId="0" fillId="0" borderId="43" xfId="0" applyFill="1" applyBorder="1" applyAlignment="1">
      <alignment wrapText="1"/>
    </xf>
    <xf numFmtId="0" fontId="0" fillId="0" borderId="28" xfId="0" applyFill="1" applyBorder="1" applyAlignment="1">
      <alignment wrapText="1"/>
    </xf>
    <xf numFmtId="0" fontId="0" fillId="0" borderId="29" xfId="0" applyFill="1" applyBorder="1" applyAlignment="1">
      <alignment wrapText="1"/>
    </xf>
    <xf numFmtId="0" fontId="0" fillId="0" borderId="29" xfId="0" applyFill="1" applyBorder="1"/>
    <xf numFmtId="0" fontId="60" fillId="29" borderId="29" xfId="0" applyFont="1" applyFill="1" applyBorder="1" applyAlignment="1">
      <alignment horizontal="center" wrapText="1"/>
    </xf>
    <xf numFmtId="0" fontId="0" fillId="29" borderId="29" xfId="0" applyFill="1" applyBorder="1" applyAlignment="1">
      <alignment wrapText="1"/>
    </xf>
    <xf numFmtId="0" fontId="0" fillId="0" borderId="33" xfId="0" applyFill="1" applyBorder="1" applyAlignment="1">
      <alignment wrapText="1"/>
    </xf>
    <xf numFmtId="0" fontId="0" fillId="0" borderId="30" xfId="0" applyFill="1" applyBorder="1" applyAlignment="1">
      <alignment wrapText="1"/>
    </xf>
    <xf numFmtId="9" fontId="0" fillId="8" borderId="0" xfId="0" applyNumberFormat="1" applyFill="1" applyBorder="1" applyAlignment="1">
      <alignment wrapText="1"/>
    </xf>
    <xf numFmtId="0" fontId="0" fillId="29" borderId="31" xfId="0" applyFill="1" applyBorder="1" applyAlignment="1">
      <alignment horizontal="center"/>
    </xf>
    <xf numFmtId="175" fontId="0" fillId="29" borderId="11" xfId="9" applyNumberFormat="1" applyFont="1" applyFill="1" applyBorder="1"/>
    <xf numFmtId="43" fontId="0" fillId="30" borderId="11" xfId="9" applyFont="1" applyFill="1" applyBorder="1"/>
    <xf numFmtId="175" fontId="0" fillId="0" borderId="43" xfId="0" applyNumberFormat="1" applyFill="1" applyBorder="1"/>
    <xf numFmtId="176" fontId="0" fillId="29" borderId="12" xfId="9" applyNumberFormat="1" applyFont="1" applyFill="1" applyBorder="1" applyAlignment="1">
      <alignment horizontal="center"/>
    </xf>
    <xf numFmtId="176" fontId="0" fillId="29" borderId="43" xfId="0" applyNumberFormat="1" applyFill="1" applyBorder="1" applyAlignment="1">
      <alignment horizontal="center"/>
    </xf>
    <xf numFmtId="0" fontId="60" fillId="29" borderId="28" xfId="0" applyFont="1" applyFill="1" applyBorder="1" applyAlignment="1"/>
    <xf numFmtId="0" fontId="60" fillId="29" borderId="29" xfId="0" applyFont="1" applyFill="1" applyBorder="1" applyAlignment="1"/>
    <xf numFmtId="0" fontId="60" fillId="29" borderId="30" xfId="0" applyFont="1" applyFill="1" applyBorder="1" applyAlignment="1"/>
    <xf numFmtId="0" fontId="60" fillId="29" borderId="28" xfId="0" applyFont="1" applyFill="1" applyBorder="1" applyAlignment="1">
      <alignment wrapText="1"/>
    </xf>
    <xf numFmtId="0" fontId="60" fillId="29" borderId="30" xfId="0" applyFont="1" applyFill="1" applyBorder="1" applyAlignment="1">
      <alignment wrapText="1"/>
    </xf>
    <xf numFmtId="0" fontId="59" fillId="29" borderId="5" xfId="0" applyFont="1" applyFill="1" applyBorder="1" applyAlignment="1">
      <alignment wrapText="1"/>
    </xf>
    <xf numFmtId="0" fontId="60" fillId="29" borderId="5" xfId="0" applyFont="1" applyFill="1" applyBorder="1" applyAlignment="1"/>
    <xf numFmtId="0" fontId="60" fillId="29" borderId="6" xfId="0" applyFont="1" applyFill="1" applyBorder="1" applyAlignment="1"/>
    <xf numFmtId="0" fontId="0" fillId="29" borderId="6" xfId="0" applyFill="1" applyBorder="1" applyAlignment="1"/>
    <xf numFmtId="0" fontId="60" fillId="29" borderId="31" xfId="0" applyFont="1" applyFill="1" applyBorder="1" applyAlignment="1">
      <alignment wrapText="1"/>
    </xf>
    <xf numFmtId="0" fontId="60" fillId="29" borderId="8" xfId="0" applyFont="1" applyFill="1" applyBorder="1" applyAlignment="1">
      <alignment wrapText="1"/>
    </xf>
    <xf numFmtId="0" fontId="60" fillId="29" borderId="0" xfId="0" applyFont="1" applyFill="1" applyBorder="1" applyAlignment="1">
      <alignment wrapText="1"/>
    </xf>
    <xf numFmtId="0" fontId="60" fillId="29" borderId="9" xfId="0" applyFont="1" applyFill="1" applyBorder="1" applyAlignment="1">
      <alignment wrapText="1"/>
    </xf>
    <xf numFmtId="0" fontId="60" fillId="29" borderId="0" xfId="0" applyFont="1" applyFill="1" applyBorder="1" applyAlignment="1">
      <alignment horizontal="center" wrapText="1"/>
    </xf>
    <xf numFmtId="0" fontId="0" fillId="29" borderId="6" xfId="0" applyFill="1" applyBorder="1" applyAlignment="1">
      <alignment wrapText="1"/>
    </xf>
    <xf numFmtId="0" fontId="60" fillId="29" borderId="9" xfId="0" applyFont="1" applyFill="1" applyBorder="1" applyAlignment="1">
      <alignment horizontal="center" wrapText="1"/>
    </xf>
    <xf numFmtId="0" fontId="60" fillId="29" borderId="8" xfId="0" applyFont="1" applyFill="1" applyBorder="1" applyAlignment="1">
      <alignment horizontal="center" wrapText="1"/>
    </xf>
    <xf numFmtId="171" fontId="60" fillId="29" borderId="0" xfId="9" applyNumberFormat="1" applyFont="1" applyFill="1" applyBorder="1" applyAlignment="1">
      <alignment horizontal="center" wrapText="1"/>
    </xf>
    <xf numFmtId="0" fontId="60" fillId="29" borderId="8" xfId="0" applyFont="1" applyFill="1" applyBorder="1" applyAlignment="1">
      <alignment horizontal="center"/>
    </xf>
    <xf numFmtId="0" fontId="60" fillId="29" borderId="9" xfId="0" applyFont="1" applyFill="1" applyBorder="1" applyAlignment="1">
      <alignment horizontal="center"/>
    </xf>
    <xf numFmtId="0" fontId="60" fillId="29" borderId="0" xfId="0" applyFont="1" applyFill="1" applyBorder="1" applyAlignment="1">
      <alignment horizontal="center"/>
    </xf>
    <xf numFmtId="0" fontId="59" fillId="29" borderId="8" xfId="0" applyFont="1" applyFill="1" applyBorder="1" applyAlignment="1">
      <alignment wrapText="1"/>
    </xf>
    <xf numFmtId="0" fontId="60" fillId="29" borderId="5" xfId="0" applyFont="1" applyFill="1" applyBorder="1" applyAlignment="1">
      <alignment horizontal="center" wrapText="1"/>
    </xf>
    <xf numFmtId="0" fontId="60" fillId="29" borderId="6" xfId="0" applyFont="1" applyFill="1" applyBorder="1" applyAlignment="1">
      <alignment horizontal="center" wrapText="1"/>
    </xf>
    <xf numFmtId="0" fontId="60" fillId="29" borderId="7" xfId="0" applyFont="1" applyFill="1" applyBorder="1" applyAlignment="1">
      <alignment horizontal="center" wrapText="1"/>
    </xf>
    <xf numFmtId="0" fontId="60" fillId="29" borderId="55" xfId="0" applyFont="1" applyFill="1" applyBorder="1" applyAlignment="1">
      <alignment wrapText="1"/>
    </xf>
    <xf numFmtId="0" fontId="60" fillId="29" borderId="56" xfId="0" applyFont="1" applyFill="1" applyBorder="1" applyAlignment="1">
      <alignment horizontal="center" wrapText="1"/>
    </xf>
    <xf numFmtId="0" fontId="60" fillId="29" borderId="57" xfId="0" applyFont="1" applyFill="1" applyBorder="1" applyAlignment="1">
      <alignment horizontal="center" wrapText="1"/>
    </xf>
    <xf numFmtId="0" fontId="60" fillId="29" borderId="58" xfId="0" applyFont="1" applyFill="1" applyBorder="1" applyAlignment="1">
      <alignment horizontal="center" wrapText="1"/>
    </xf>
    <xf numFmtId="0" fontId="60" fillId="29" borderId="59" xfId="0" applyFont="1" applyFill="1" applyBorder="1" applyAlignment="1">
      <alignment horizontal="center" wrapText="1"/>
    </xf>
    <xf numFmtId="0" fontId="60" fillId="29" borderId="60" xfId="0" applyFont="1" applyFill="1" applyBorder="1" applyAlignment="1">
      <alignment horizontal="center" wrapText="1"/>
    </xf>
    <xf numFmtId="0" fontId="60" fillId="29" borderId="56" xfId="0" applyFont="1" applyFill="1" applyBorder="1" applyAlignment="1">
      <alignment horizontal="center"/>
    </xf>
    <xf numFmtId="0" fontId="60" fillId="29" borderId="58" xfId="0" applyFont="1" applyFill="1" applyBorder="1" applyAlignment="1">
      <alignment horizontal="center"/>
    </xf>
    <xf numFmtId="0" fontId="60" fillId="29" borderId="57" xfId="0" applyFont="1" applyFill="1" applyBorder="1" applyAlignment="1">
      <alignment horizontal="center"/>
    </xf>
    <xf numFmtId="0" fontId="59" fillId="29" borderId="10" xfId="0" applyFont="1" applyFill="1" applyBorder="1" applyAlignment="1">
      <alignment wrapText="1"/>
    </xf>
    <xf numFmtId="0" fontId="60" fillId="29" borderId="61" xfId="0" applyFont="1" applyFill="1" applyBorder="1" applyAlignment="1">
      <alignment horizontal="center" wrapText="1"/>
    </xf>
    <xf numFmtId="171" fontId="60" fillId="29" borderId="8" xfId="9" applyNumberFormat="1" applyFont="1" applyFill="1" applyBorder="1" applyAlignment="1">
      <alignment wrapText="1"/>
    </xf>
    <xf numFmtId="171" fontId="60" fillId="29" borderId="0" xfId="9" applyNumberFormat="1" applyFont="1" applyFill="1" applyAlignment="1">
      <alignment wrapText="1"/>
    </xf>
    <xf numFmtId="43" fontId="60" fillId="29" borderId="9" xfId="9" applyFont="1" applyFill="1" applyBorder="1" applyAlignment="1">
      <alignment wrapText="1"/>
    </xf>
    <xf numFmtId="0" fontId="60" fillId="29" borderId="5" xfId="0" applyFont="1" applyFill="1" applyBorder="1" applyAlignment="1">
      <alignment wrapText="1"/>
    </xf>
    <xf numFmtId="171" fontId="60" fillId="29" borderId="6" xfId="0" applyNumberFormat="1" applyFont="1" applyFill="1" applyBorder="1"/>
    <xf numFmtId="0" fontId="0" fillId="29" borderId="6" xfId="0" applyFill="1" applyBorder="1"/>
    <xf numFmtId="171" fontId="60" fillId="29" borderId="7" xfId="0" applyNumberFormat="1" applyFont="1" applyFill="1" applyBorder="1"/>
    <xf numFmtId="171" fontId="60" fillId="29" borderId="8" xfId="0" applyNumberFormat="1" applyFont="1" applyFill="1" applyBorder="1"/>
    <xf numFmtId="171" fontId="60" fillId="29" borderId="0" xfId="0" applyNumberFormat="1" applyFont="1" applyFill="1"/>
    <xf numFmtId="171" fontId="60" fillId="0" borderId="9" xfId="0" applyNumberFormat="1" applyFont="1" applyFill="1" applyBorder="1"/>
    <xf numFmtId="174" fontId="60" fillId="29" borderId="8" xfId="0" applyNumberFormat="1" applyFont="1" applyFill="1" applyBorder="1"/>
    <xf numFmtId="171" fontId="60" fillId="29" borderId="9" xfId="9" applyNumberFormat="1" applyFont="1" applyFill="1" applyBorder="1"/>
    <xf numFmtId="177" fontId="60" fillId="29" borderId="0" xfId="0" applyNumberFormat="1" applyFont="1" applyFill="1"/>
    <xf numFmtId="171" fontId="60" fillId="29" borderId="9" xfId="0" applyNumberFormat="1" applyFont="1" applyFill="1" applyBorder="1"/>
    <xf numFmtId="171" fontId="60" fillId="29" borderId="0" xfId="9" applyNumberFormat="1" applyFont="1" applyFill="1" applyBorder="1" applyAlignment="1">
      <alignment wrapText="1"/>
    </xf>
    <xf numFmtId="171" fontId="0" fillId="29" borderId="0" xfId="9" applyNumberFormat="1" applyFont="1" applyFill="1" applyBorder="1" applyAlignment="1">
      <alignment wrapText="1"/>
    </xf>
    <xf numFmtId="0" fontId="60" fillId="29" borderId="32" xfId="0" applyFont="1" applyFill="1" applyBorder="1" applyAlignment="1">
      <alignment wrapText="1"/>
    </xf>
    <xf numFmtId="0" fontId="60" fillId="29" borderId="8" xfId="0" applyFont="1" applyFill="1" applyBorder="1"/>
    <xf numFmtId="171" fontId="60" fillId="8" borderId="8" xfId="9" applyNumberFormat="1" applyFont="1" applyFill="1" applyBorder="1" applyAlignment="1">
      <alignment wrapText="1"/>
    </xf>
    <xf numFmtId="171" fontId="60" fillId="8" borderId="0" xfId="9" applyNumberFormat="1" applyFont="1" applyFill="1" applyAlignment="1">
      <alignment wrapText="1"/>
    </xf>
    <xf numFmtId="165" fontId="60" fillId="8" borderId="0" xfId="10" applyNumberFormat="1" applyFont="1" applyFill="1" applyAlignment="1">
      <alignment wrapText="1"/>
    </xf>
    <xf numFmtId="1" fontId="60" fillId="8" borderId="8" xfId="0" applyNumberFormat="1" applyFont="1" applyFill="1" applyBorder="1" applyAlignment="1">
      <alignment wrapText="1"/>
    </xf>
    <xf numFmtId="0" fontId="0" fillId="29" borderId="0" xfId="0" applyFill="1" applyBorder="1"/>
    <xf numFmtId="171" fontId="60" fillId="0" borderId="9" xfId="9" applyNumberFormat="1" applyFont="1" applyFill="1" applyBorder="1"/>
    <xf numFmtId="171" fontId="60" fillId="8" borderId="8" xfId="9" applyNumberFormat="1" applyFont="1" applyFill="1" applyBorder="1"/>
    <xf numFmtId="171" fontId="60" fillId="8" borderId="0" xfId="9" applyNumberFormat="1" applyFont="1" applyFill="1"/>
    <xf numFmtId="171" fontId="60" fillId="29" borderId="0" xfId="9" applyNumberFormat="1" applyFont="1" applyFill="1"/>
    <xf numFmtId="172" fontId="60" fillId="29" borderId="8" xfId="9" applyNumberFormat="1" applyFont="1" applyFill="1" applyBorder="1" applyAlignment="1">
      <alignment wrapText="1"/>
    </xf>
    <xf numFmtId="172" fontId="60" fillId="29" borderId="9" xfId="9" applyNumberFormat="1" applyFont="1" applyFill="1" applyBorder="1" applyAlignment="1">
      <alignment wrapText="1"/>
    </xf>
    <xf numFmtId="165" fontId="60" fillId="29" borderId="32" xfId="10" applyNumberFormat="1" applyFont="1" applyFill="1" applyBorder="1" applyAlignment="1">
      <alignment wrapText="1"/>
    </xf>
    <xf numFmtId="171" fontId="60" fillId="0" borderId="0" xfId="9" applyNumberFormat="1" applyFont="1" applyFill="1" applyAlignment="1">
      <alignment wrapText="1"/>
    </xf>
    <xf numFmtId="172" fontId="60" fillId="8" borderId="8" xfId="0" applyNumberFormat="1" applyFont="1" applyFill="1" applyBorder="1" applyAlignment="1">
      <alignment wrapText="1"/>
    </xf>
    <xf numFmtId="171" fontId="60" fillId="8" borderId="0" xfId="0" applyNumberFormat="1" applyFont="1" applyFill="1" applyBorder="1"/>
    <xf numFmtId="171" fontId="60" fillId="8" borderId="8" xfId="0" applyNumberFormat="1" applyFont="1" applyFill="1" applyBorder="1"/>
    <xf numFmtId="171" fontId="62" fillId="29" borderId="8" xfId="9" applyNumberFormat="1" applyFont="1" applyFill="1" applyBorder="1" applyAlignment="1">
      <alignment wrapText="1"/>
    </xf>
    <xf numFmtId="171" fontId="62" fillId="29" borderId="0" xfId="9" applyNumberFormat="1" applyFont="1" applyFill="1" applyBorder="1" applyAlignment="1">
      <alignment wrapText="1"/>
    </xf>
    <xf numFmtId="172" fontId="62" fillId="29" borderId="8" xfId="9" applyNumberFormat="1" applyFont="1" applyFill="1" applyBorder="1" applyAlignment="1">
      <alignment wrapText="1"/>
    </xf>
    <xf numFmtId="172" fontId="62" fillId="29" borderId="0" xfId="9" applyNumberFormat="1" applyFont="1" applyFill="1" applyBorder="1" applyAlignment="1">
      <alignment wrapText="1"/>
    </xf>
    <xf numFmtId="171" fontId="60" fillId="29" borderId="8" xfId="9" applyNumberFormat="1" applyFont="1" applyFill="1" applyBorder="1" applyAlignment="1">
      <alignment horizontal="center" wrapText="1"/>
    </xf>
    <xf numFmtId="171" fontId="60" fillId="29" borderId="0" xfId="9" applyNumberFormat="1" applyFont="1" applyFill="1" applyAlignment="1">
      <alignment vertical="center" wrapText="1"/>
    </xf>
    <xf numFmtId="0" fontId="60" fillId="8" borderId="8" xfId="0" applyFont="1" applyFill="1" applyBorder="1" applyAlignment="1">
      <alignment wrapText="1"/>
    </xf>
    <xf numFmtId="0" fontId="60" fillId="8" borderId="0" xfId="0" applyFont="1" applyFill="1"/>
    <xf numFmtId="0" fontId="60" fillId="29" borderId="0" xfId="0" applyFont="1" applyFill="1" applyBorder="1"/>
    <xf numFmtId="0" fontId="60" fillId="29" borderId="9" xfId="0" applyFont="1" applyFill="1" applyBorder="1"/>
    <xf numFmtId="172" fontId="60" fillId="29" borderId="0" xfId="9" applyNumberFormat="1" applyFont="1" applyFill="1" applyBorder="1" applyAlignment="1">
      <alignment wrapText="1"/>
    </xf>
    <xf numFmtId="0" fontId="60" fillId="29" borderId="10" xfId="0" applyFont="1" applyFill="1" applyBorder="1" applyAlignment="1">
      <alignment wrapText="1"/>
    </xf>
    <xf numFmtId="0" fontId="60" fillId="29" borderId="11" xfId="0" applyFont="1" applyFill="1" applyBorder="1"/>
    <xf numFmtId="0" fontId="0" fillId="29" borderId="11" xfId="0" applyFill="1" applyBorder="1"/>
    <xf numFmtId="0" fontId="60" fillId="29" borderId="12" xfId="0" applyFont="1" applyFill="1" applyBorder="1"/>
    <xf numFmtId="0" fontId="62" fillId="29" borderId="10" xfId="0" applyFont="1" applyFill="1" applyBorder="1"/>
    <xf numFmtId="171" fontId="62" fillId="29" borderId="10" xfId="9" applyNumberFormat="1" applyFont="1" applyFill="1" applyBorder="1" applyAlignment="1">
      <alignment wrapText="1"/>
    </xf>
    <xf numFmtId="171" fontId="62" fillId="29" borderId="11" xfId="9" applyNumberFormat="1" applyFont="1" applyFill="1" applyBorder="1" applyAlignment="1">
      <alignment wrapText="1"/>
    </xf>
    <xf numFmtId="43" fontId="62" fillId="29" borderId="12" xfId="9" applyFont="1" applyFill="1" applyBorder="1" applyAlignment="1">
      <alignment wrapText="1"/>
    </xf>
    <xf numFmtId="171" fontId="62" fillId="29" borderId="12" xfId="9" applyNumberFormat="1" applyFont="1" applyFill="1" applyBorder="1" applyAlignment="1">
      <alignment wrapText="1"/>
    </xf>
    <xf numFmtId="171" fontId="8" fillId="29" borderId="11" xfId="9" applyNumberFormat="1" applyFont="1" applyFill="1" applyBorder="1"/>
    <xf numFmtId="172" fontId="62" fillId="29" borderId="10" xfId="9" applyNumberFormat="1" applyFont="1" applyFill="1" applyBorder="1" applyAlignment="1">
      <alignment wrapText="1"/>
    </xf>
    <xf numFmtId="172" fontId="62" fillId="29" borderId="11" xfId="9" applyNumberFormat="1" applyFont="1" applyFill="1" applyBorder="1" applyAlignment="1">
      <alignment wrapText="1"/>
    </xf>
    <xf numFmtId="172" fontId="62" fillId="29" borderId="12" xfId="9" applyNumberFormat="1" applyFont="1" applyFill="1" applyBorder="1" applyAlignment="1">
      <alignment wrapText="1"/>
    </xf>
    <xf numFmtId="171" fontId="62" fillId="29" borderId="43" xfId="9" applyNumberFormat="1" applyFont="1" applyFill="1" applyBorder="1" applyAlignment="1">
      <alignment wrapText="1"/>
    </xf>
    <xf numFmtId="0" fontId="31" fillId="29" borderId="0" xfId="0" applyFont="1" applyFill="1"/>
    <xf numFmtId="0" fontId="60" fillId="29" borderId="0" xfId="0" applyFont="1" applyFill="1" applyAlignment="1">
      <alignment wrapText="1"/>
    </xf>
    <xf numFmtId="0" fontId="64" fillId="29" borderId="0" xfId="0" applyFont="1" applyFill="1" applyAlignment="1">
      <alignment horizontal="right"/>
    </xf>
    <xf numFmtId="172" fontId="60" fillId="29" borderId="0" xfId="9" applyNumberFormat="1" applyFont="1" applyFill="1" applyAlignment="1">
      <alignment wrapText="1"/>
    </xf>
    <xf numFmtId="0" fontId="60" fillId="29" borderId="7" xfId="0" applyFont="1" applyFill="1" applyBorder="1" applyAlignment="1">
      <alignment wrapText="1"/>
    </xf>
    <xf numFmtId="0" fontId="60" fillId="29" borderId="7" xfId="0" applyFont="1" applyFill="1" applyBorder="1" applyAlignment="1"/>
    <xf numFmtId="0" fontId="59" fillId="29" borderId="31" xfId="0" applyFont="1" applyFill="1" applyBorder="1" applyAlignment="1">
      <alignment wrapText="1"/>
    </xf>
    <xf numFmtId="172" fontId="60" fillId="29" borderId="5" xfId="9" applyNumberFormat="1" applyFont="1" applyFill="1" applyBorder="1" applyAlignment="1"/>
    <xf numFmtId="172" fontId="60" fillId="29" borderId="6" xfId="9" applyNumberFormat="1" applyFont="1" applyFill="1" applyBorder="1" applyAlignment="1"/>
    <xf numFmtId="0" fontId="59" fillId="29" borderId="32" xfId="0" applyFont="1" applyFill="1" applyBorder="1" applyAlignment="1">
      <alignment wrapText="1"/>
    </xf>
    <xf numFmtId="172" fontId="60" fillId="29" borderId="8" xfId="9" applyNumberFormat="1" applyFont="1" applyFill="1" applyBorder="1" applyAlignment="1">
      <alignment horizontal="center" wrapText="1"/>
    </xf>
    <xf numFmtId="172" fontId="60" fillId="29" borderId="0" xfId="9" applyNumberFormat="1" applyFont="1" applyFill="1" applyBorder="1" applyAlignment="1">
      <alignment horizontal="center" wrapText="1"/>
    </xf>
    <xf numFmtId="0" fontId="60" fillId="29" borderId="62" xfId="0" applyFont="1" applyFill="1" applyBorder="1" applyAlignment="1">
      <alignment horizontal="center" wrapText="1"/>
    </xf>
    <xf numFmtId="0" fontId="60" fillId="29" borderId="63" xfId="0" applyFont="1" applyFill="1" applyBorder="1" applyAlignment="1">
      <alignment horizontal="center" wrapText="1"/>
    </xf>
    <xf numFmtId="0" fontId="60" fillId="29" borderId="64" xfId="0" applyFont="1" applyFill="1" applyBorder="1" applyAlignment="1">
      <alignment horizontal="center" wrapText="1"/>
    </xf>
    <xf numFmtId="0" fontId="60" fillId="29" borderId="65" xfId="0" applyFont="1" applyFill="1" applyBorder="1" applyAlignment="1">
      <alignment horizontal="center" wrapText="1"/>
    </xf>
    <xf numFmtId="0" fontId="60" fillId="29" borderId="66" xfId="0" applyFont="1" applyFill="1" applyBorder="1" applyAlignment="1">
      <alignment horizontal="center" wrapText="1"/>
    </xf>
    <xf numFmtId="0" fontId="60" fillId="29" borderId="67" xfId="0" applyFont="1" applyFill="1" applyBorder="1" applyAlignment="1">
      <alignment horizontal="center" wrapText="1"/>
    </xf>
    <xf numFmtId="0" fontId="60" fillId="0" borderId="62" xfId="0" applyFont="1" applyBorder="1" applyAlignment="1">
      <alignment horizontal="center"/>
    </xf>
    <xf numFmtId="0" fontId="60" fillId="29" borderId="64" xfId="0" applyFont="1" applyFill="1" applyBorder="1" applyAlignment="1">
      <alignment horizontal="center"/>
    </xf>
    <xf numFmtId="0" fontId="60" fillId="29" borderId="63" xfId="0" applyFont="1" applyFill="1" applyBorder="1" applyAlignment="1">
      <alignment horizontal="center"/>
    </xf>
    <xf numFmtId="0" fontId="59" fillId="29" borderId="43" xfId="0" applyFont="1" applyFill="1" applyBorder="1" applyAlignment="1">
      <alignment wrapText="1"/>
    </xf>
    <xf numFmtId="172" fontId="60" fillId="29" borderId="63" xfId="9" applyNumberFormat="1" applyFont="1" applyFill="1" applyBorder="1" applyAlignment="1">
      <alignment horizontal="center" wrapText="1"/>
    </xf>
    <xf numFmtId="0" fontId="60" fillId="29" borderId="68" xfId="0" applyFont="1" applyFill="1" applyBorder="1" applyAlignment="1">
      <alignment horizontal="center" wrapText="1"/>
    </xf>
    <xf numFmtId="171" fontId="60" fillId="31" borderId="0" xfId="9" applyNumberFormat="1" applyFont="1" applyFill="1" applyAlignment="1">
      <alignment wrapText="1"/>
    </xf>
    <xf numFmtId="171" fontId="60" fillId="31" borderId="9" xfId="9" applyNumberFormat="1" applyFont="1" applyFill="1" applyBorder="1" applyAlignment="1">
      <alignment wrapText="1"/>
    </xf>
    <xf numFmtId="171" fontId="60" fillId="29" borderId="0" xfId="0" applyNumberFormat="1" applyFont="1" applyFill="1" applyBorder="1"/>
    <xf numFmtId="174" fontId="0" fillId="29" borderId="0" xfId="0" applyNumberFormat="1" applyFill="1"/>
    <xf numFmtId="171" fontId="0" fillId="29" borderId="0" xfId="0" applyNumberFormat="1" applyFill="1"/>
    <xf numFmtId="171" fontId="60" fillId="29" borderId="5" xfId="0" applyNumberFormat="1" applyFont="1" applyFill="1" applyBorder="1"/>
    <xf numFmtId="0" fontId="60" fillId="29" borderId="6" xfId="0" applyFont="1" applyFill="1" applyBorder="1" applyAlignment="1">
      <alignment wrapText="1"/>
    </xf>
    <xf numFmtId="9" fontId="60" fillId="29" borderId="0" xfId="9" applyNumberFormat="1" applyFont="1" applyFill="1" applyAlignment="1">
      <alignment wrapText="1"/>
    </xf>
    <xf numFmtId="1" fontId="60" fillId="29" borderId="8" xfId="0" applyNumberFormat="1" applyFont="1" applyFill="1" applyBorder="1" applyAlignment="1">
      <alignment wrapText="1"/>
    </xf>
    <xf numFmtId="171" fontId="60" fillId="29" borderId="0" xfId="9" applyNumberFormat="1" applyFont="1" applyFill="1" applyBorder="1"/>
    <xf numFmtId="171" fontId="60" fillId="29" borderId="8" xfId="9" applyNumberFormat="1" applyFont="1" applyFill="1" applyBorder="1"/>
    <xf numFmtId="175" fontId="60" fillId="29" borderId="9" xfId="9" applyNumberFormat="1" applyFont="1" applyFill="1" applyBorder="1"/>
    <xf numFmtId="175" fontId="60" fillId="29" borderId="0" xfId="9" applyNumberFormat="1" applyFont="1" applyFill="1" applyBorder="1" applyAlignment="1">
      <alignment wrapText="1"/>
    </xf>
    <xf numFmtId="171" fontId="60" fillId="29" borderId="9" xfId="9" applyNumberFormat="1" applyFont="1" applyFill="1" applyBorder="1" applyAlignment="1">
      <alignment wrapText="1"/>
    </xf>
    <xf numFmtId="172" fontId="60" fillId="29" borderId="8" xfId="0" applyNumberFormat="1" applyFont="1" applyFill="1" applyBorder="1" applyAlignment="1">
      <alignment wrapText="1"/>
    </xf>
    <xf numFmtId="171" fontId="60" fillId="30" borderId="0" xfId="0" applyNumberFormat="1" applyFont="1" applyFill="1" applyBorder="1"/>
    <xf numFmtId="176" fontId="60" fillId="30" borderId="0" xfId="0" applyNumberFormat="1" applyFont="1" applyFill="1" applyBorder="1"/>
    <xf numFmtId="171" fontId="0" fillId="30" borderId="0" xfId="9" applyNumberFormat="1" applyFont="1" applyFill="1" applyBorder="1"/>
    <xf numFmtId="171" fontId="62" fillId="29" borderId="8" xfId="0" applyNumberFormat="1" applyFont="1" applyFill="1" applyBorder="1" applyAlignment="1">
      <alignment wrapText="1"/>
    </xf>
    <xf numFmtId="175" fontId="62" fillId="29" borderId="0" xfId="9" applyNumberFormat="1" applyFont="1" applyFill="1" applyBorder="1" applyAlignment="1">
      <alignment wrapText="1"/>
    </xf>
    <xf numFmtId="171" fontId="62" fillId="29" borderId="9" xfId="9" applyNumberFormat="1" applyFont="1" applyFill="1" applyBorder="1" applyAlignment="1">
      <alignment wrapText="1"/>
    </xf>
    <xf numFmtId="172" fontId="62" fillId="29" borderId="0" xfId="9" applyNumberFormat="1" applyFont="1" applyFill="1" applyAlignment="1">
      <alignment wrapText="1"/>
    </xf>
    <xf numFmtId="0" fontId="62" fillId="29" borderId="8" xfId="0" applyFont="1" applyFill="1" applyBorder="1" applyAlignment="1">
      <alignment wrapText="1"/>
    </xf>
    <xf numFmtId="0" fontId="62" fillId="29" borderId="0" xfId="0" applyFont="1" applyFill="1" applyBorder="1" applyAlignment="1">
      <alignment wrapText="1"/>
    </xf>
    <xf numFmtId="1" fontId="62" fillId="29" borderId="8" xfId="0" applyNumberFormat="1" applyFont="1" applyFill="1" applyBorder="1" applyAlignment="1">
      <alignment wrapText="1"/>
    </xf>
    <xf numFmtId="171" fontId="60" fillId="29" borderId="32" xfId="9" applyNumberFormat="1" applyFont="1" applyFill="1" applyBorder="1" applyAlignment="1">
      <alignment wrapText="1"/>
    </xf>
    <xf numFmtId="0" fontId="8" fillId="29" borderId="0" xfId="0" applyFont="1" applyFill="1" applyBorder="1" applyAlignment="1">
      <alignment wrapText="1"/>
    </xf>
    <xf numFmtId="176" fontId="62" fillId="29" borderId="12" xfId="9" applyNumberFormat="1" applyFont="1" applyFill="1" applyBorder="1" applyAlignment="1">
      <alignment wrapText="1"/>
    </xf>
    <xf numFmtId="0" fontId="8" fillId="29" borderId="11" xfId="0" applyFont="1" applyFill="1" applyBorder="1"/>
    <xf numFmtId="172" fontId="0" fillId="29" borderId="0" xfId="9" applyNumberFormat="1" applyFont="1" applyFill="1" applyAlignment="1">
      <alignment wrapText="1"/>
    </xf>
    <xf numFmtId="9" fontId="0" fillId="29" borderId="0" xfId="10" applyFont="1" applyFill="1"/>
    <xf numFmtId="43" fontId="0" fillId="29" borderId="0" xfId="9" applyFont="1" applyFill="1"/>
    <xf numFmtId="1" fontId="0" fillId="29" borderId="0" xfId="0" applyNumberFormat="1" applyFill="1" applyAlignment="1">
      <alignment wrapText="1"/>
    </xf>
    <xf numFmtId="166" fontId="0" fillId="29" borderId="0" xfId="0" applyNumberFormat="1" applyFill="1" applyAlignment="1">
      <alignment wrapText="1"/>
    </xf>
    <xf numFmtId="170" fontId="0" fillId="0" borderId="0" xfId="0" applyNumberFormat="1"/>
    <xf numFmtId="170" fontId="12" fillId="0" borderId="0" xfId="0" applyNumberFormat="1" applyFont="1"/>
    <xf numFmtId="0" fontId="0" fillId="27" borderId="0" xfId="0" applyFill="1" applyBorder="1"/>
    <xf numFmtId="0" fontId="0" fillId="27" borderId="0" xfId="0" applyFill="1" applyBorder="1" applyAlignment="1">
      <alignment wrapText="1"/>
    </xf>
    <xf numFmtId="2" fontId="0" fillId="9" borderId="11" xfId="0" applyNumberFormat="1" applyFill="1" applyBorder="1"/>
    <xf numFmtId="1" fontId="0" fillId="27" borderId="0" xfId="0" applyNumberFormat="1" applyFill="1" applyBorder="1"/>
    <xf numFmtId="1" fontId="0" fillId="27" borderId="11" xfId="0" applyNumberFormat="1" applyFill="1" applyBorder="1"/>
    <xf numFmtId="0" fontId="0" fillId="28" borderId="5" xfId="0" applyFill="1" applyBorder="1"/>
    <xf numFmtId="0" fontId="0" fillId="28" borderId="6" xfId="0" applyFill="1" applyBorder="1"/>
    <xf numFmtId="0" fontId="0" fillId="28" borderId="7" xfId="0" applyFill="1" applyBorder="1"/>
    <xf numFmtId="0" fontId="0" fillId="28" borderId="8" xfId="0" applyFill="1" applyBorder="1"/>
    <xf numFmtId="0" fontId="0" fillId="28" borderId="0" xfId="0" applyFill="1" applyBorder="1"/>
    <xf numFmtId="0" fontId="0" fillId="28" borderId="9" xfId="0" applyFill="1" applyBorder="1"/>
    <xf numFmtId="1" fontId="0" fillId="7" borderId="8" xfId="0" applyNumberFormat="1" applyFill="1" applyBorder="1"/>
    <xf numFmtId="0" fontId="0" fillId="7" borderId="9" xfId="0" applyFill="1" applyBorder="1"/>
    <xf numFmtId="1" fontId="0" fillId="7" borderId="10" xfId="0" applyNumberFormat="1" applyFill="1" applyBorder="1"/>
    <xf numFmtId="0" fontId="0" fillId="9" borderId="9" xfId="0" applyFill="1" applyBorder="1"/>
    <xf numFmtId="1" fontId="0" fillId="7" borderId="12" xfId="0" applyNumberFormat="1" applyFill="1" applyBorder="1"/>
    <xf numFmtId="1" fontId="0" fillId="9" borderId="12" xfId="0" applyNumberFormat="1" applyFill="1" applyBorder="1"/>
    <xf numFmtId="0" fontId="0" fillId="0" borderId="0" xfId="0" applyFill="1" applyBorder="1" applyAlignment="1">
      <alignment horizontal="center" vertical="top" wrapText="1"/>
    </xf>
    <xf numFmtId="3" fontId="7" fillId="0" borderId="0" xfId="0" applyNumberFormat="1" applyFont="1" applyFill="1" applyBorder="1" applyAlignment="1">
      <alignment vertical="top" shrinkToFit="1"/>
    </xf>
    <xf numFmtId="0" fontId="0" fillId="0" borderId="5" xfId="0" applyFill="1" applyBorder="1" applyAlignment="1">
      <alignment horizontal="left" vertical="top" wrapText="1" indent="1"/>
    </xf>
    <xf numFmtId="0" fontId="0" fillId="0" borderId="7" xfId="0" applyFill="1" applyBorder="1" applyAlignment="1">
      <alignment horizontal="center" vertical="top" wrapText="1"/>
    </xf>
    <xf numFmtId="3" fontId="7" fillId="2" borderId="11" xfId="0" applyNumberFormat="1" applyFont="1" applyFill="1" applyBorder="1" applyAlignment="1">
      <alignment vertical="top" shrinkToFit="1"/>
    </xf>
    <xf numFmtId="9" fontId="7" fillId="2" borderId="11" xfId="0" applyNumberFormat="1" applyFont="1" applyFill="1" applyBorder="1" applyAlignment="1">
      <alignment horizontal="right" vertical="top" shrinkToFit="1"/>
    </xf>
    <xf numFmtId="1" fontId="7" fillId="3" borderId="11" xfId="0" applyNumberFormat="1" applyFont="1" applyFill="1" applyBorder="1" applyAlignment="1">
      <alignment vertical="top" shrinkToFit="1"/>
    </xf>
    <xf numFmtId="9" fontId="7" fillId="3" borderId="11" xfId="0" applyNumberFormat="1" applyFont="1" applyFill="1" applyBorder="1" applyAlignment="1">
      <alignment horizontal="right" vertical="top" indent="1" shrinkToFit="1"/>
    </xf>
    <xf numFmtId="3" fontId="7" fillId="5" borderId="11" xfId="0" applyNumberFormat="1" applyFont="1" applyFill="1" applyBorder="1" applyAlignment="1">
      <alignment horizontal="right" vertical="top" indent="1" shrinkToFit="1"/>
    </xf>
    <xf numFmtId="9" fontId="7" fillId="5" borderId="11" xfId="0" applyNumberFormat="1" applyFont="1" applyFill="1" applyBorder="1" applyAlignment="1">
      <alignment vertical="top" shrinkToFit="1"/>
    </xf>
    <xf numFmtId="3" fontId="7" fillId="0" borderId="12" xfId="0" applyNumberFormat="1" applyFont="1" applyFill="1" applyBorder="1" applyAlignment="1">
      <alignment vertical="top" shrinkToFit="1"/>
    </xf>
    <xf numFmtId="1" fontId="0" fillId="9" borderId="9" xfId="0" applyNumberFormat="1" applyFill="1" applyBorder="1"/>
    <xf numFmtId="0" fontId="0" fillId="0" borderId="0" xfId="0" applyAlignment="1">
      <alignment vertical="center" wrapText="1"/>
    </xf>
    <xf numFmtId="0" fontId="12" fillId="0" borderId="8" xfId="0" applyFont="1" applyBorder="1" applyAlignment="1">
      <alignment vertical="center" wrapText="1"/>
    </xf>
    <xf numFmtId="0" fontId="12" fillId="0" borderId="0" xfId="0" applyFont="1" applyBorder="1" applyAlignment="1">
      <alignment vertical="center" wrapText="1"/>
    </xf>
    <xf numFmtId="0" fontId="12" fillId="0" borderId="9" xfId="0" applyFont="1" applyBorder="1" applyAlignment="1">
      <alignment vertical="center" wrapText="1"/>
    </xf>
    <xf numFmtId="0" fontId="0" fillId="0" borderId="0" xfId="0" applyBorder="1" applyAlignment="1">
      <alignment vertical="center" wrapText="1"/>
    </xf>
    <xf numFmtId="0" fontId="47" fillId="0" borderId="5" xfId="0" applyFont="1" applyBorder="1"/>
    <xf numFmtId="165" fontId="0" fillId="0" borderId="9" xfId="1" applyNumberFormat="1" applyFont="1" applyBorder="1" applyAlignment="1"/>
    <xf numFmtId="9" fontId="0" fillId="0" borderId="9" xfId="1" applyNumberFormat="1" applyFont="1" applyBorder="1" applyAlignment="1"/>
    <xf numFmtId="0" fontId="0" fillId="7" borderId="8" xfId="0" applyFill="1" applyBorder="1"/>
    <xf numFmtId="9" fontId="0" fillId="7" borderId="0" xfId="0" applyNumberFormat="1" applyFill="1" applyBorder="1"/>
    <xf numFmtId="9" fontId="0" fillId="7" borderId="9" xfId="0" applyNumberFormat="1" applyFill="1" applyBorder="1"/>
    <xf numFmtId="9" fontId="0" fillId="7" borderId="9" xfId="1" applyFont="1" applyFill="1" applyBorder="1" applyAlignment="1"/>
    <xf numFmtId="165" fontId="0" fillId="7" borderId="0" xfId="1" applyNumberFormat="1" applyFont="1" applyFill="1" applyBorder="1" applyAlignment="1"/>
    <xf numFmtId="0" fontId="38" fillId="0" borderId="5" xfId="0" applyFont="1" applyBorder="1"/>
    <xf numFmtId="1" fontId="0" fillId="7" borderId="0" xfId="0" applyNumberFormat="1" applyFill="1"/>
    <xf numFmtId="0" fontId="61" fillId="0" borderId="0" xfId="0" applyFont="1"/>
    <xf numFmtId="0" fontId="68" fillId="0" borderId="0" xfId="0" applyFont="1"/>
    <xf numFmtId="0" fontId="69" fillId="0" borderId="0" xfId="0" applyFont="1"/>
    <xf numFmtId="0" fontId="0" fillId="30" borderId="0" xfId="0" applyFill="1"/>
    <xf numFmtId="0" fontId="68" fillId="30" borderId="0" xfId="0" applyFont="1" applyFill="1"/>
    <xf numFmtId="0" fontId="12" fillId="30" borderId="0" xfId="0" applyFont="1" applyFill="1"/>
    <xf numFmtId="1" fontId="0" fillId="30" borderId="0" xfId="0" applyNumberFormat="1" applyFill="1"/>
    <xf numFmtId="0" fontId="60" fillId="7" borderId="0" xfId="0" applyFont="1" applyFill="1"/>
    <xf numFmtId="1" fontId="60" fillId="7" borderId="0" xfId="0" applyNumberFormat="1" applyFont="1" applyFill="1"/>
    <xf numFmtId="9" fontId="7" fillId="2" borderId="11" xfId="0" applyNumberFormat="1" applyFont="1" applyFill="1" applyBorder="1" applyAlignment="1">
      <alignment horizontal="center" vertical="top" shrinkToFit="1"/>
    </xf>
    <xf numFmtId="3" fontId="7" fillId="3" borderId="11" xfId="0" applyNumberFormat="1" applyFont="1" applyFill="1" applyBorder="1" applyAlignment="1">
      <alignment vertical="top" shrinkToFit="1"/>
    </xf>
    <xf numFmtId="3" fontId="7" fillId="4" borderId="11" xfId="0" applyNumberFormat="1" applyFont="1" applyFill="1" applyBorder="1" applyAlignment="1">
      <alignment horizontal="right" vertical="top" indent="1" shrinkToFit="1"/>
    </xf>
    <xf numFmtId="9" fontId="7" fillId="4" borderId="11" xfId="0" applyNumberFormat="1" applyFont="1" applyFill="1" applyBorder="1" applyAlignment="1">
      <alignment vertical="top" shrinkToFit="1"/>
    </xf>
    <xf numFmtId="0" fontId="11" fillId="0" borderId="0" xfId="0" applyFont="1" applyAlignment="1">
      <alignment horizontal="left" wrapText="1"/>
    </xf>
    <xf numFmtId="0" fontId="0" fillId="0" borderId="0" xfId="0" applyAlignment="1">
      <alignment horizontal="left" wrapText="1"/>
    </xf>
    <xf numFmtId="0" fontId="16" fillId="0" borderId="0" xfId="3" applyFont="1" applyBorder="1" applyAlignment="1" applyProtection="1">
      <alignment horizontal="left" vertical="top" wrapText="1"/>
    </xf>
    <xf numFmtId="0" fontId="17" fillId="0" borderId="0" xfId="3" applyAlignment="1">
      <alignment wrapText="1"/>
    </xf>
    <xf numFmtId="0" fontId="17" fillId="0" borderId="0" xfId="3"/>
    <xf numFmtId="0" fontId="36" fillId="0" borderId="0" xfId="3" applyFont="1" applyBorder="1" applyAlignment="1" applyProtection="1">
      <alignment horizontal="left" vertical="top" wrapText="1"/>
    </xf>
    <xf numFmtId="0" fontId="37" fillId="0" borderId="0" xfId="3" applyFont="1" applyAlignment="1">
      <alignment wrapText="1"/>
    </xf>
    <xf numFmtId="0" fontId="16" fillId="0" borderId="0" xfId="3" applyFont="1" applyBorder="1" applyAlignment="1" applyProtection="1">
      <alignment horizontal="left" wrapText="1"/>
    </xf>
    <xf numFmtId="0" fontId="29" fillId="0" borderId="0" xfId="4" applyFont="1" applyAlignment="1">
      <alignment horizontal="left" vertical="top" wrapText="1"/>
    </xf>
    <xf numFmtId="0" fontId="23" fillId="0" borderId="0" xfId="4" applyFont="1" applyAlignment="1">
      <alignment horizontal="left" vertical="top" wrapText="1"/>
    </xf>
    <xf numFmtId="0" fontId="0" fillId="5" borderId="2" xfId="0" applyFill="1" applyBorder="1" applyAlignment="1">
      <alignment horizontal="center" vertical="top" wrapText="1"/>
    </xf>
    <xf numFmtId="0" fontId="0" fillId="5" borderId="3" xfId="0" applyFill="1" applyBorder="1" applyAlignment="1">
      <alignment horizontal="center" vertical="top" wrapText="1"/>
    </xf>
    <xf numFmtId="0" fontId="0" fillId="2" borderId="2" xfId="0" applyFill="1" applyBorder="1" applyAlignment="1">
      <alignment horizontal="center" vertical="top" wrapText="1"/>
    </xf>
    <xf numFmtId="0" fontId="0" fillId="2" borderId="4" xfId="0" applyFill="1" applyBorder="1" applyAlignment="1">
      <alignment horizontal="center" vertical="top" wrapText="1"/>
    </xf>
    <xf numFmtId="0" fontId="0" fillId="3" borderId="2" xfId="0" applyFill="1" applyBorder="1" applyAlignment="1">
      <alignment horizontal="center" vertical="top" wrapText="1"/>
    </xf>
    <xf numFmtId="0" fontId="0" fillId="3" borderId="4" xfId="0" applyFill="1" applyBorder="1" applyAlignment="1">
      <alignment horizontal="center" vertical="top" wrapText="1"/>
    </xf>
    <xf numFmtId="0" fontId="0" fillId="4" borderId="2" xfId="0" applyFill="1" applyBorder="1" applyAlignment="1">
      <alignment horizontal="center" vertical="top" wrapText="1"/>
    </xf>
    <xf numFmtId="0" fontId="0" fillId="4" borderId="3" xfId="0" applyFill="1" applyBorder="1" applyAlignment="1">
      <alignment horizontal="center" vertical="top" wrapText="1"/>
    </xf>
    <xf numFmtId="49" fontId="44" fillId="0" borderId="0" xfId="0" applyNumberFormat="1" applyFont="1" applyAlignment="1">
      <alignment horizontal="left" vertical="top" wrapText="1"/>
    </xf>
    <xf numFmtId="49" fontId="39" fillId="16" borderId="16" xfId="0" applyNumberFormat="1" applyFont="1" applyFill="1" applyBorder="1" applyAlignment="1">
      <alignment horizontal="left" vertical="center" wrapText="1"/>
    </xf>
    <xf numFmtId="49" fontId="39" fillId="16" borderId="18" xfId="0" applyNumberFormat="1" applyFont="1" applyFill="1" applyBorder="1" applyAlignment="1">
      <alignment horizontal="left" vertical="center" wrapText="1"/>
    </xf>
    <xf numFmtId="49" fontId="39" fillId="16" borderId="26" xfId="0" applyNumberFormat="1" applyFont="1" applyFill="1" applyBorder="1" applyAlignment="1">
      <alignment horizontal="left" vertical="center" wrapText="1"/>
    </xf>
    <xf numFmtId="49" fontId="39" fillId="16" borderId="27" xfId="0" applyNumberFormat="1" applyFont="1" applyFill="1" applyBorder="1" applyAlignment="1">
      <alignment horizontal="left" vertical="center" wrapText="1"/>
    </xf>
    <xf numFmtId="49" fontId="39" fillId="16" borderId="22" xfId="0" applyNumberFormat="1" applyFont="1" applyFill="1" applyBorder="1" applyAlignment="1">
      <alignment horizontal="left" vertical="center" wrapText="1"/>
    </xf>
    <xf numFmtId="49" fontId="39" fillId="16" borderId="24" xfId="0" applyNumberFormat="1" applyFont="1" applyFill="1" applyBorder="1" applyAlignment="1">
      <alignment horizontal="left" vertical="center" wrapText="1"/>
    </xf>
    <xf numFmtId="49" fontId="43" fillId="19" borderId="16" xfId="0" applyNumberFormat="1" applyFont="1" applyFill="1" applyBorder="1" applyAlignment="1">
      <alignment horizontal="left" vertical="center" wrapText="1"/>
    </xf>
    <xf numFmtId="49" fontId="43" fillId="19" borderId="18" xfId="0" applyNumberFormat="1" applyFont="1" applyFill="1" applyBorder="1" applyAlignment="1">
      <alignment horizontal="left" vertical="center" wrapText="1"/>
    </xf>
    <xf numFmtId="49" fontId="43" fillId="19" borderId="26" xfId="0" applyNumberFormat="1" applyFont="1" applyFill="1" applyBorder="1" applyAlignment="1">
      <alignment horizontal="left" vertical="center" wrapText="1"/>
    </xf>
    <xf numFmtId="49" fontId="43" fillId="19" borderId="27" xfId="0" applyNumberFormat="1" applyFont="1" applyFill="1" applyBorder="1" applyAlignment="1">
      <alignment horizontal="left" vertical="center" wrapText="1"/>
    </xf>
    <xf numFmtId="49" fontId="43" fillId="19" borderId="22" xfId="0" applyNumberFormat="1" applyFont="1" applyFill="1" applyBorder="1" applyAlignment="1">
      <alignment horizontal="left" vertical="center" wrapText="1"/>
    </xf>
    <xf numFmtId="49" fontId="43" fillId="19" borderId="24" xfId="0" applyNumberFormat="1" applyFont="1" applyFill="1" applyBorder="1" applyAlignment="1">
      <alignment horizontal="left" vertical="center" wrapText="1"/>
    </xf>
    <xf numFmtId="0" fontId="44" fillId="0" borderId="0" xfId="0" applyFont="1" applyAlignment="1">
      <alignment wrapText="1"/>
    </xf>
    <xf numFmtId="0" fontId="51" fillId="0" borderId="0" xfId="0" applyFont="1" applyAlignment="1">
      <alignment horizontal="left" wrapText="1"/>
    </xf>
    <xf numFmtId="49" fontId="39" fillId="13" borderId="16" xfId="0" applyNumberFormat="1" applyFont="1" applyFill="1" applyBorder="1" applyAlignment="1">
      <alignment horizontal="center" vertical="center" wrapText="1"/>
    </xf>
    <xf numFmtId="49" fontId="39" fillId="13" borderId="17" xfId="0" applyNumberFormat="1" applyFont="1" applyFill="1" applyBorder="1" applyAlignment="1">
      <alignment horizontal="center" vertical="center" wrapText="1"/>
    </xf>
    <xf numFmtId="49" fontId="39" fillId="13" borderId="18" xfId="0" applyNumberFormat="1" applyFont="1" applyFill="1" applyBorder="1" applyAlignment="1">
      <alignment horizontal="center" vertical="center" wrapText="1"/>
    </xf>
    <xf numFmtId="49" fontId="39" fillId="13" borderId="22" xfId="0" applyNumberFormat="1" applyFont="1" applyFill="1" applyBorder="1" applyAlignment="1">
      <alignment horizontal="center" vertical="center" wrapText="1"/>
    </xf>
    <xf numFmtId="49" fontId="39" fillId="13" borderId="23" xfId="0" applyNumberFormat="1" applyFont="1" applyFill="1" applyBorder="1" applyAlignment="1">
      <alignment horizontal="center" vertical="center" wrapText="1"/>
    </xf>
    <xf numFmtId="49" fontId="39" fillId="13" borderId="24" xfId="0" applyNumberFormat="1" applyFont="1" applyFill="1" applyBorder="1" applyAlignment="1">
      <alignment horizontal="center" vertical="center" wrapText="1"/>
    </xf>
    <xf numFmtId="49" fontId="39" fillId="13" borderId="19" xfId="0" applyNumberFormat="1" applyFont="1" applyFill="1" applyBorder="1" applyAlignment="1">
      <alignment horizontal="center" vertical="center" wrapText="1"/>
    </xf>
    <xf numFmtId="49" fontId="39" fillId="13" borderId="20" xfId="0" applyNumberFormat="1" applyFont="1" applyFill="1" applyBorder="1" applyAlignment="1">
      <alignment horizontal="center" vertical="center" wrapText="1"/>
    </xf>
    <xf numFmtId="49" fontId="39" fillId="13" borderId="21" xfId="0" applyNumberFormat="1" applyFont="1" applyFill="1" applyBorder="1" applyAlignment="1">
      <alignment horizontal="center" vertical="center" wrapText="1"/>
    </xf>
    <xf numFmtId="49" fontId="39" fillId="14" borderId="19" xfId="0" applyNumberFormat="1" applyFont="1" applyFill="1" applyBorder="1" applyAlignment="1">
      <alignment horizontal="center" vertical="center" wrapText="1"/>
    </xf>
    <xf numFmtId="49" fontId="39" fillId="14" borderId="20" xfId="0" applyNumberFormat="1" applyFont="1" applyFill="1" applyBorder="1" applyAlignment="1">
      <alignment horizontal="center" vertical="center" wrapText="1"/>
    </xf>
    <xf numFmtId="49" fontId="39" fillId="14" borderId="21" xfId="0" applyNumberFormat="1" applyFont="1" applyFill="1" applyBorder="1" applyAlignment="1">
      <alignment horizontal="center" vertical="center" wrapText="1"/>
    </xf>
    <xf numFmtId="49" fontId="39" fillId="16" borderId="19" xfId="0" applyNumberFormat="1" applyFont="1" applyFill="1" applyBorder="1" applyAlignment="1">
      <alignment horizontal="left" vertical="center" wrapText="1"/>
    </xf>
    <xf numFmtId="49" fontId="39" fillId="16" borderId="21" xfId="0" applyNumberFormat="1" applyFont="1" applyFill="1" applyBorder="1" applyAlignment="1">
      <alignment horizontal="left" vertical="center" wrapText="1"/>
    </xf>
    <xf numFmtId="49" fontId="41" fillId="17" borderId="19" xfId="0" applyNumberFormat="1" applyFont="1" applyFill="1" applyBorder="1" applyAlignment="1">
      <alignment horizontal="left" vertical="center" wrapText="1"/>
    </xf>
    <xf numFmtId="49" fontId="41" fillId="17" borderId="20" xfId="0" applyNumberFormat="1" applyFont="1" applyFill="1" applyBorder="1" applyAlignment="1">
      <alignment horizontal="left" vertical="center" wrapText="1"/>
    </xf>
    <xf numFmtId="49" fontId="41" fillId="17" borderId="21" xfId="0" applyNumberFormat="1" applyFont="1" applyFill="1" applyBorder="1" applyAlignment="1">
      <alignment horizontal="left" vertical="center" wrapText="1"/>
    </xf>
    <xf numFmtId="0" fontId="34" fillId="0" borderId="0" xfId="0" applyFont="1" applyAlignment="1">
      <alignment horizontal="left"/>
    </xf>
    <xf numFmtId="0" fontId="0" fillId="29" borderId="5" xfId="0" applyFill="1" applyBorder="1" applyAlignment="1">
      <alignment horizontal="center"/>
    </xf>
    <xf numFmtId="0" fontId="0" fillId="29" borderId="7" xfId="0" applyFill="1" applyBorder="1" applyAlignment="1">
      <alignment horizontal="center"/>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59" fillId="29" borderId="31" xfId="0" applyFont="1" applyFill="1" applyBorder="1" applyAlignment="1">
      <alignment horizontal="center" wrapText="1"/>
    </xf>
    <xf numFmtId="0" fontId="59" fillId="29" borderId="32" xfId="0" applyFont="1" applyFill="1" applyBorder="1" applyAlignment="1">
      <alignment horizontal="center" wrapText="1"/>
    </xf>
    <xf numFmtId="0" fontId="59" fillId="29" borderId="43" xfId="0" applyFont="1" applyFill="1" applyBorder="1" applyAlignment="1">
      <alignment horizontal="center" wrapText="1"/>
    </xf>
    <xf numFmtId="0" fontId="60" fillId="29" borderId="28" xfId="0" applyFont="1" applyFill="1" applyBorder="1" applyAlignment="1">
      <alignment horizontal="center" wrapText="1"/>
    </xf>
    <xf numFmtId="0" fontId="60" fillId="29" borderId="29" xfId="0" applyFont="1" applyFill="1" applyBorder="1" applyAlignment="1">
      <alignment horizontal="center" wrapText="1"/>
    </xf>
    <xf numFmtId="0" fontId="60" fillId="29" borderId="30" xfId="0" applyFont="1" applyFill="1" applyBorder="1" applyAlignment="1">
      <alignment horizontal="center" wrapText="1"/>
    </xf>
    <xf numFmtId="171" fontId="60" fillId="0" borderId="0" xfId="9" applyNumberFormat="1" applyFont="1" applyFill="1" applyAlignment="1">
      <alignment horizontal="center" vertical="center" wrapText="1"/>
    </xf>
    <xf numFmtId="171" fontId="60" fillId="29" borderId="0" xfId="9" applyNumberFormat="1" applyFont="1" applyFill="1" applyAlignment="1">
      <alignment horizontal="center" vertical="center" wrapText="1"/>
    </xf>
    <xf numFmtId="43" fontId="60" fillId="29" borderId="9" xfId="9" applyFont="1" applyFill="1" applyBorder="1" applyAlignment="1">
      <alignment horizontal="center" vertical="center" wrapText="1"/>
    </xf>
    <xf numFmtId="0" fontId="59" fillId="29" borderId="31" xfId="0" applyFont="1" applyFill="1" applyBorder="1" applyAlignment="1">
      <alignment horizontal="center" vertical="center" wrapText="1"/>
    </xf>
    <xf numFmtId="0" fontId="59" fillId="29" borderId="43" xfId="0" applyFont="1" applyFill="1" applyBorder="1" applyAlignment="1">
      <alignment horizontal="center" vertical="center"/>
    </xf>
    <xf numFmtId="0" fontId="60" fillId="29" borderId="34" xfId="0" applyFont="1" applyFill="1" applyBorder="1" applyAlignment="1">
      <alignment horizontal="center" wrapText="1"/>
    </xf>
    <xf numFmtId="0" fontId="60" fillId="29" borderId="40" xfId="0" applyFont="1" applyFill="1" applyBorder="1" applyAlignment="1">
      <alignment horizontal="center" wrapText="1"/>
    </xf>
    <xf numFmtId="0" fontId="60" fillId="29" borderId="35" xfId="0" applyFont="1" applyFill="1" applyBorder="1" applyAlignment="1">
      <alignment horizontal="center" wrapText="1"/>
    </xf>
    <xf numFmtId="0" fontId="60" fillId="29" borderId="44" xfId="0" applyFont="1" applyFill="1" applyBorder="1" applyAlignment="1">
      <alignment horizontal="center" wrapText="1"/>
    </xf>
    <xf numFmtId="0" fontId="60" fillId="29" borderId="36" xfId="0" applyFont="1" applyFill="1" applyBorder="1" applyAlignment="1">
      <alignment horizontal="center" wrapText="1"/>
    </xf>
    <xf numFmtId="0" fontId="60" fillId="29" borderId="37" xfId="0" applyFont="1" applyFill="1" applyBorder="1" applyAlignment="1">
      <alignment horizontal="center" wrapText="1"/>
    </xf>
    <xf numFmtId="0" fontId="60" fillId="29" borderId="38" xfId="0" applyFont="1" applyFill="1" applyBorder="1" applyAlignment="1">
      <alignment horizontal="center" wrapText="1"/>
    </xf>
    <xf numFmtId="0" fontId="60" fillId="29" borderId="39" xfId="0" applyFont="1" applyFill="1" applyBorder="1" applyAlignment="1">
      <alignment horizontal="center" wrapText="1"/>
    </xf>
    <xf numFmtId="0" fontId="60" fillId="29" borderId="41" xfId="0" applyFont="1" applyFill="1" applyBorder="1" applyAlignment="1">
      <alignment horizontal="center" wrapText="1"/>
    </xf>
    <xf numFmtId="0" fontId="60" fillId="29" borderId="42" xfId="0" applyFont="1" applyFill="1" applyBorder="1" applyAlignment="1">
      <alignment horizontal="center" wrapText="1"/>
    </xf>
    <xf numFmtId="0" fontId="60" fillId="29" borderId="45" xfId="0" applyFont="1" applyFill="1" applyBorder="1" applyAlignment="1">
      <alignment horizontal="center" wrapText="1"/>
    </xf>
    <xf numFmtId="171" fontId="60" fillId="29" borderId="0" xfId="9" applyNumberFormat="1" applyFont="1" applyFill="1" applyAlignment="1">
      <alignment horizontal="center" wrapText="1"/>
    </xf>
    <xf numFmtId="0" fontId="60" fillId="29" borderId="5" xfId="0" applyFont="1" applyFill="1" applyBorder="1" applyAlignment="1">
      <alignment horizontal="center" wrapText="1"/>
    </xf>
    <xf numFmtId="0" fontId="60" fillId="29" borderId="6" xfId="0" applyFont="1" applyFill="1" applyBorder="1" applyAlignment="1">
      <alignment horizontal="center" wrapText="1"/>
    </xf>
    <xf numFmtId="0" fontId="60" fillId="29" borderId="7" xfId="0" applyFont="1" applyFill="1" applyBorder="1" applyAlignment="1">
      <alignment horizontal="center" wrapText="1"/>
    </xf>
    <xf numFmtId="0" fontId="60" fillId="29" borderId="28" xfId="0" applyFont="1" applyFill="1" applyBorder="1" applyAlignment="1">
      <alignment horizontal="center"/>
    </xf>
    <xf numFmtId="0" fontId="60" fillId="29" borderId="29" xfId="0" applyFont="1" applyFill="1" applyBorder="1" applyAlignment="1">
      <alignment horizontal="center"/>
    </xf>
    <xf numFmtId="0" fontId="60" fillId="29" borderId="30" xfId="0" applyFont="1" applyFill="1" applyBorder="1" applyAlignment="1">
      <alignment horizontal="center"/>
    </xf>
    <xf numFmtId="171" fontId="60" fillId="29" borderId="9" xfId="9" applyNumberFormat="1" applyFont="1" applyFill="1" applyBorder="1" applyAlignment="1">
      <alignment horizontal="center" vertical="center" wrapText="1"/>
    </xf>
    <xf numFmtId="0" fontId="12" fillId="0" borderId="9" xfId="0" applyFont="1" applyBorder="1" applyAlignment="1">
      <alignment horizontal="center" wrapText="1"/>
    </xf>
    <xf numFmtId="0" fontId="12" fillId="0" borderId="0" xfId="0" applyFont="1" applyBorder="1" applyAlignment="1">
      <alignment horizontal="center"/>
    </xf>
    <xf numFmtId="0" fontId="0" fillId="4" borderId="0" xfId="0" applyFill="1" applyBorder="1" applyAlignment="1">
      <alignment horizontal="center" vertical="top" wrapText="1"/>
    </xf>
    <xf numFmtId="0" fontId="0" fillId="2" borderId="6" xfId="0" applyFill="1" applyBorder="1" applyAlignment="1">
      <alignment horizontal="center" vertical="top" wrapText="1"/>
    </xf>
    <xf numFmtId="0" fontId="0" fillId="3" borderId="6" xfId="0" applyFill="1" applyBorder="1" applyAlignment="1">
      <alignment horizontal="center" vertical="top" wrapText="1"/>
    </xf>
    <xf numFmtId="0" fontId="0" fillId="5" borderId="6" xfId="0" applyFill="1" applyBorder="1" applyAlignment="1">
      <alignment horizontal="center" vertical="top" wrapText="1"/>
    </xf>
    <xf numFmtId="0" fontId="0" fillId="2" borderId="0" xfId="0" applyFill="1" applyBorder="1" applyAlignment="1">
      <alignment horizontal="center" vertical="top" wrapText="1"/>
    </xf>
    <xf numFmtId="0" fontId="0" fillId="3" borderId="0" xfId="0" applyFill="1" applyBorder="1" applyAlignment="1">
      <alignment horizontal="center" vertical="top" wrapText="1"/>
    </xf>
    <xf numFmtId="0" fontId="0" fillId="5" borderId="0" xfId="0" applyFill="1" applyBorder="1" applyAlignment="1">
      <alignment horizontal="center" vertical="top" wrapText="1"/>
    </xf>
    <xf numFmtId="165" fontId="0" fillId="6" borderId="0" xfId="1" applyNumberFormat="1" applyFont="1" applyFill="1" applyBorder="1" applyAlignment="1">
      <alignment vertical="top"/>
    </xf>
    <xf numFmtId="165" fontId="0" fillId="6" borderId="9" xfId="1" applyNumberFormat="1" applyFont="1" applyFill="1" applyBorder="1" applyAlignment="1">
      <alignment vertical="top"/>
    </xf>
    <xf numFmtId="0" fontId="0" fillId="32" borderId="0" xfId="0" applyFill="1"/>
    <xf numFmtId="0" fontId="0" fillId="32" borderId="0" xfId="0" applyFill="1" applyAlignment="1">
      <alignment horizontal="left"/>
    </xf>
  </cellXfs>
  <cellStyles count="11">
    <cellStyle name="Hyperlink" xfId="2" builtinId="8"/>
    <cellStyle name="Normal" xfId="0" builtinId="0"/>
    <cellStyle name="Percent" xfId="1" builtinId="5"/>
    <cellStyle name="千位分隔 2" xfId="9" xr:uid="{00000000-0005-0000-0000-00000A000000}"/>
    <cellStyle name="常规 2" xfId="3" xr:uid="{00000000-0005-0000-0000-000003000000}"/>
    <cellStyle name="常规 3" xfId="4" xr:uid="{00000000-0005-0000-0000-000004000000}"/>
    <cellStyle name="常规 3 2" xfId="6" xr:uid="{00000000-0005-0000-0000-000005000000}"/>
    <cellStyle name="常规 4" xfId="7" xr:uid="{00000000-0005-0000-0000-000006000000}"/>
    <cellStyle name="常规 5" xfId="8" xr:uid="{00000000-0005-0000-0000-000007000000}"/>
    <cellStyle name="百分比 2" xfId="10" xr:uid="{00000000-0005-0000-0000-000001000000}"/>
    <cellStyle name="超链接 2" xfId="5" xr:uid="{00000000-0005-0000-0000-00000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1.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emissions form building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Building!$V$5</c:f>
              <c:strCache>
                <c:ptCount val="1"/>
                <c:pt idx="0">
                  <c:v>Residential</c:v>
                </c:pt>
              </c:strCache>
            </c:strRef>
          </c:tx>
          <c:spPr>
            <a:solidFill>
              <a:schemeClr val="accent1"/>
            </a:solidFill>
            <a:ln>
              <a:noFill/>
            </a:ln>
            <a:effectLst/>
          </c:spPr>
          <c:invertIfNegative val="0"/>
          <c:cat>
            <c:numRef>
              <c:f>Building!$W$4:$X$4</c:f>
              <c:numCache>
                <c:formatCode>General</c:formatCode>
                <c:ptCount val="2"/>
                <c:pt idx="0">
                  <c:v>2016</c:v>
                </c:pt>
                <c:pt idx="1">
                  <c:v>2050</c:v>
                </c:pt>
              </c:numCache>
            </c:numRef>
          </c:cat>
          <c:val>
            <c:numRef>
              <c:f>Building!$W$5:$X$5</c:f>
              <c:numCache>
                <c:formatCode>_(* #,##0_);_(* \(#,##0\);_(* "-"??_);_(@_)</c:formatCode>
                <c:ptCount val="2"/>
                <c:pt idx="0">
                  <c:v>8318.1618261587591</c:v>
                </c:pt>
                <c:pt idx="1">
                  <c:v>138.12678197719634</c:v>
                </c:pt>
              </c:numCache>
            </c:numRef>
          </c:val>
          <c:extLst>
            <c:ext xmlns:c16="http://schemas.microsoft.com/office/drawing/2014/chart" uri="{C3380CC4-5D6E-409C-BE32-E72D297353CC}">
              <c16:uniqueId val="{00000000-FCA1-4E63-A7E9-2C8CB8D413D1}"/>
            </c:ext>
          </c:extLst>
        </c:ser>
        <c:ser>
          <c:idx val="1"/>
          <c:order val="1"/>
          <c:tx>
            <c:strRef>
              <c:f>Building!$V$6</c:f>
              <c:strCache>
                <c:ptCount val="1"/>
                <c:pt idx="0">
                  <c:v>Commercial</c:v>
                </c:pt>
              </c:strCache>
            </c:strRef>
          </c:tx>
          <c:spPr>
            <a:solidFill>
              <a:schemeClr val="accent2"/>
            </a:solidFill>
            <a:ln>
              <a:noFill/>
            </a:ln>
            <a:effectLst/>
          </c:spPr>
          <c:invertIfNegative val="0"/>
          <c:cat>
            <c:numRef>
              <c:f>Building!$W$4:$X$4</c:f>
              <c:numCache>
                <c:formatCode>General</c:formatCode>
                <c:ptCount val="2"/>
                <c:pt idx="0">
                  <c:v>2016</c:v>
                </c:pt>
                <c:pt idx="1">
                  <c:v>2050</c:v>
                </c:pt>
              </c:numCache>
            </c:numRef>
          </c:cat>
          <c:val>
            <c:numRef>
              <c:f>Building!$W$6:$X$6</c:f>
              <c:numCache>
                <c:formatCode>_(* #,##0_);_(* \(#,##0\);_(* "-"??_);_(@_)</c:formatCode>
                <c:ptCount val="2"/>
                <c:pt idx="0">
                  <c:v>18461.146452432065</c:v>
                </c:pt>
                <c:pt idx="1">
                  <c:v>209.22299843245273</c:v>
                </c:pt>
              </c:numCache>
            </c:numRef>
          </c:val>
          <c:extLst>
            <c:ext xmlns:c16="http://schemas.microsoft.com/office/drawing/2014/chart" uri="{C3380CC4-5D6E-409C-BE32-E72D297353CC}">
              <c16:uniqueId val="{00000001-FCA1-4E63-A7E9-2C8CB8D413D1}"/>
            </c:ext>
          </c:extLst>
        </c:ser>
        <c:ser>
          <c:idx val="2"/>
          <c:order val="2"/>
          <c:tx>
            <c:strRef>
              <c:f>Building!$V$7</c:f>
              <c:strCache>
                <c:ptCount val="1"/>
                <c:pt idx="0">
                  <c:v>Industrial</c:v>
                </c:pt>
              </c:strCache>
            </c:strRef>
          </c:tx>
          <c:spPr>
            <a:solidFill>
              <a:schemeClr val="accent3"/>
            </a:solidFill>
            <a:ln>
              <a:noFill/>
            </a:ln>
            <a:effectLst/>
          </c:spPr>
          <c:invertIfNegative val="0"/>
          <c:cat>
            <c:numRef>
              <c:f>Building!$W$4:$X$4</c:f>
              <c:numCache>
                <c:formatCode>General</c:formatCode>
                <c:ptCount val="2"/>
                <c:pt idx="0">
                  <c:v>2016</c:v>
                </c:pt>
                <c:pt idx="1">
                  <c:v>2050</c:v>
                </c:pt>
              </c:numCache>
            </c:numRef>
          </c:cat>
          <c:val>
            <c:numRef>
              <c:f>Building!$W$7:$X$7</c:f>
              <c:numCache>
                <c:formatCode>_(* #,##0_);_(* \(#,##0\);_(* "-"??_);_(@_)</c:formatCode>
                <c:ptCount val="2"/>
                <c:pt idx="0">
                  <c:v>1783.1720574981559</c:v>
                </c:pt>
                <c:pt idx="1">
                  <c:v>28.11811987628359</c:v>
                </c:pt>
              </c:numCache>
            </c:numRef>
          </c:val>
          <c:extLst>
            <c:ext xmlns:c16="http://schemas.microsoft.com/office/drawing/2014/chart" uri="{C3380CC4-5D6E-409C-BE32-E72D297353CC}">
              <c16:uniqueId val="{00000002-FCA1-4E63-A7E9-2C8CB8D413D1}"/>
            </c:ext>
          </c:extLst>
        </c:ser>
        <c:dLbls>
          <c:showLegendKey val="0"/>
          <c:showVal val="0"/>
          <c:showCatName val="0"/>
          <c:showSerName val="0"/>
          <c:showPercent val="0"/>
          <c:showBubbleSize val="0"/>
        </c:dLbls>
        <c:gapWidth val="219"/>
        <c:overlap val="100"/>
        <c:axId val="1558183503"/>
        <c:axId val="1559114383"/>
      </c:barChart>
      <c:catAx>
        <c:axId val="1558183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114383"/>
        <c:crosses val="autoZero"/>
        <c:auto val="1"/>
        <c:lblAlgn val="ctr"/>
        <c:lblOffset val="100"/>
        <c:noMultiLvlLbl val="0"/>
      </c:catAx>
      <c:valAx>
        <c:axId val="1559114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millin tonCO2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183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4803149606299213" l="0.70866141732283472" r="0.70866141732283472" t="0.74803149606299213" header="0.31496062992125984" footer="0.31496062992125984"/>
    <c:pageSetup paperSize="8"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FittingHH!$A$3</c:f>
              <c:strCache>
                <c:ptCount val="1"/>
                <c:pt idx="0">
                  <c:v>Domestic Household (HK C&amp;SD Pred)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3"/>
            <c:dispRSqr val="1"/>
            <c:dispEq val="1"/>
            <c:trendlineLbl>
              <c:layout>
                <c:manualLayout>
                  <c:x val="8.5199366053684181E-2"/>
                  <c:y val="0.20039301008426577"/>
                </c:manualLayout>
              </c:layout>
              <c:numFmt formatCode="#,##0.000000000_);[Red]\(#,##0.000000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FittingHH!$B$2:$BP$2</c:f>
              <c:numCache>
                <c:formatCode>0_);[Red]\(0\)</c:formatCode>
                <c:ptCount val="6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2026</c:v>
                </c:pt>
                <c:pt idx="14">
                  <c:v>2031</c:v>
                </c:pt>
                <c:pt idx="15">
                  <c:v>2036</c:v>
                </c:pt>
                <c:pt idx="16">
                  <c:v>2041</c:v>
                </c:pt>
                <c:pt idx="17">
                  <c:v>2046</c:v>
                </c:pt>
                <c:pt idx="18">
                  <c:v>2051</c:v>
                </c:pt>
              </c:numCache>
            </c:numRef>
          </c:xVal>
          <c:yVal>
            <c:numRef>
              <c:f>FittingHH!$B$3:$BP$3</c:f>
              <c:numCache>
                <c:formatCode>0.00_);[Red]\(0.00\)</c:formatCode>
                <c:ptCount val="67"/>
                <c:pt idx="0">
                  <c:v>2.1970999999999998</c:v>
                </c:pt>
                <c:pt idx="1">
                  <c:v>2.2208999999999999</c:v>
                </c:pt>
                <c:pt idx="2">
                  <c:v>2.2499000000000002</c:v>
                </c:pt>
                <c:pt idx="3">
                  <c:v>2.2791000000000001</c:v>
                </c:pt>
                <c:pt idx="4">
                  <c:v>2.2971999999999997</c:v>
                </c:pt>
                <c:pt idx="5">
                  <c:v>2.3250999999999999</c:v>
                </c:pt>
                <c:pt idx="6">
                  <c:v>2.3593000000000002</c:v>
                </c:pt>
                <c:pt idx="7">
                  <c:v>2.3861999999999997</c:v>
                </c:pt>
                <c:pt idx="8">
                  <c:v>2.4073000000000002</c:v>
                </c:pt>
                <c:pt idx="9">
                  <c:v>2.4323999999999999</c:v>
                </c:pt>
                <c:pt idx="10">
                  <c:v>2.4710999999999999</c:v>
                </c:pt>
                <c:pt idx="11">
                  <c:v>2.4988999999999999</c:v>
                </c:pt>
                <c:pt idx="12">
                  <c:v>2.5347</c:v>
                </c:pt>
                <c:pt idx="13">
                  <c:v>2.7688999999999999</c:v>
                </c:pt>
                <c:pt idx="14">
                  <c:v>2.8544999999999998</c:v>
                </c:pt>
                <c:pt idx="15">
                  <c:v>2.9201999999999999</c:v>
                </c:pt>
                <c:pt idx="16">
                  <c:v>2.9613999999999998</c:v>
                </c:pt>
                <c:pt idx="17">
                  <c:v>2.9723000000000002</c:v>
                </c:pt>
                <c:pt idx="18">
                  <c:v>2.9495</c:v>
                </c:pt>
              </c:numCache>
            </c:numRef>
          </c:yVal>
          <c:smooth val="0"/>
          <c:extLst>
            <c:ext xmlns:c16="http://schemas.microsoft.com/office/drawing/2014/chart" uri="{C3380CC4-5D6E-409C-BE32-E72D297353CC}">
              <c16:uniqueId val="{00000000-AA33-4014-8060-D13EBDCBB1BF}"/>
            </c:ext>
          </c:extLst>
        </c:ser>
        <c:dLbls>
          <c:showLegendKey val="0"/>
          <c:showVal val="0"/>
          <c:showCatName val="0"/>
          <c:showSerName val="0"/>
          <c:showPercent val="0"/>
          <c:showBubbleSize val="0"/>
        </c:dLbls>
        <c:axId val="366960624"/>
        <c:axId val="366966032"/>
      </c:scatterChart>
      <c:valAx>
        <c:axId val="36696062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6032"/>
        <c:crosses val="autoZero"/>
        <c:crossBetween val="midCat"/>
      </c:valAx>
      <c:valAx>
        <c:axId val="36696603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FittingHH!$A$3</c:f>
              <c:strCache>
                <c:ptCount val="1"/>
                <c:pt idx="0">
                  <c:v>Domestic Household (HK C&amp;SD Pred)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8.5199366053684181E-2"/>
                  <c:y val="0.20039301008426577"/>
                </c:manualLayout>
              </c:layout>
              <c:numFmt formatCode="#,##0.0000000000_);[Red]\(#,##0.0000000000\)"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FittingHH!$B$2:$BP$2</c:f>
              <c:numCache>
                <c:formatCode>0_);[Red]\(0\)</c:formatCode>
                <c:ptCount val="6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2026</c:v>
                </c:pt>
                <c:pt idx="14">
                  <c:v>2031</c:v>
                </c:pt>
                <c:pt idx="15">
                  <c:v>2036</c:v>
                </c:pt>
                <c:pt idx="16">
                  <c:v>2041</c:v>
                </c:pt>
                <c:pt idx="17">
                  <c:v>2046</c:v>
                </c:pt>
                <c:pt idx="18">
                  <c:v>2051</c:v>
                </c:pt>
              </c:numCache>
            </c:numRef>
          </c:xVal>
          <c:yVal>
            <c:numRef>
              <c:f>FittingHH!$B$3:$BP$3</c:f>
              <c:numCache>
                <c:formatCode>0.00_);[Red]\(0.00\)</c:formatCode>
                <c:ptCount val="67"/>
                <c:pt idx="0">
                  <c:v>2.1970999999999998</c:v>
                </c:pt>
                <c:pt idx="1">
                  <c:v>2.2208999999999999</c:v>
                </c:pt>
                <c:pt idx="2">
                  <c:v>2.2499000000000002</c:v>
                </c:pt>
                <c:pt idx="3">
                  <c:v>2.2791000000000001</c:v>
                </c:pt>
                <c:pt idx="4">
                  <c:v>2.2971999999999997</c:v>
                </c:pt>
                <c:pt idx="5">
                  <c:v>2.3250999999999999</c:v>
                </c:pt>
                <c:pt idx="6">
                  <c:v>2.3593000000000002</c:v>
                </c:pt>
                <c:pt idx="7">
                  <c:v>2.3861999999999997</c:v>
                </c:pt>
                <c:pt idx="8">
                  <c:v>2.4073000000000002</c:v>
                </c:pt>
                <c:pt idx="9">
                  <c:v>2.4323999999999999</c:v>
                </c:pt>
                <c:pt idx="10">
                  <c:v>2.4710999999999999</c:v>
                </c:pt>
                <c:pt idx="11">
                  <c:v>2.4988999999999999</c:v>
                </c:pt>
                <c:pt idx="12">
                  <c:v>2.5347</c:v>
                </c:pt>
                <c:pt idx="13">
                  <c:v>2.7688999999999999</c:v>
                </c:pt>
                <c:pt idx="14">
                  <c:v>2.8544999999999998</c:v>
                </c:pt>
                <c:pt idx="15">
                  <c:v>2.9201999999999999</c:v>
                </c:pt>
                <c:pt idx="16">
                  <c:v>2.9613999999999998</c:v>
                </c:pt>
                <c:pt idx="17">
                  <c:v>2.9723000000000002</c:v>
                </c:pt>
                <c:pt idx="18">
                  <c:v>2.9495</c:v>
                </c:pt>
              </c:numCache>
            </c:numRef>
          </c:yVal>
          <c:smooth val="0"/>
          <c:extLst>
            <c:ext xmlns:c16="http://schemas.microsoft.com/office/drawing/2014/chart" uri="{C3380CC4-5D6E-409C-BE32-E72D297353CC}">
              <c16:uniqueId val="{00000000-8D7D-4D83-AF68-F4515335CC5C}"/>
            </c:ext>
          </c:extLst>
        </c:ser>
        <c:dLbls>
          <c:showLegendKey val="0"/>
          <c:showVal val="0"/>
          <c:showCatName val="0"/>
          <c:showSerName val="0"/>
          <c:showPercent val="0"/>
          <c:showBubbleSize val="0"/>
        </c:dLbls>
        <c:axId val="366960624"/>
        <c:axId val="366966032"/>
      </c:scatterChart>
      <c:valAx>
        <c:axId val="36696062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6032"/>
        <c:crosses val="autoZero"/>
        <c:crossBetween val="midCat"/>
      </c:valAx>
      <c:valAx>
        <c:axId val="36696603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033030615582001E-2"/>
          <c:y val="0.16267543859649125"/>
          <c:w val="0.8620532816784483"/>
          <c:h val="0.73557777317309025"/>
        </c:manualLayout>
      </c:layout>
      <c:scatterChart>
        <c:scatterStyle val="lineMarker"/>
        <c:varyColors val="0"/>
        <c:ser>
          <c:idx val="0"/>
          <c:order val="0"/>
          <c:tx>
            <c:strRef>
              <c:f>FittingHH!$A$3</c:f>
              <c:strCache>
                <c:ptCount val="1"/>
                <c:pt idx="0">
                  <c:v>Domestic Household (HK C&amp;SD Pred)</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4"/>
            <c:dispRSqr val="1"/>
            <c:dispEq val="1"/>
            <c:trendlineLbl>
              <c:layout>
                <c:manualLayout>
                  <c:x val="8.5199366053684181E-2"/>
                  <c:y val="0.200393010084265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FittingHH!$B$2:$BP$2</c:f>
              <c:numCache>
                <c:formatCode>0_);[Red]\(0\)</c:formatCode>
                <c:ptCount val="67"/>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2026</c:v>
                </c:pt>
                <c:pt idx="14">
                  <c:v>2031</c:v>
                </c:pt>
                <c:pt idx="15">
                  <c:v>2036</c:v>
                </c:pt>
                <c:pt idx="16">
                  <c:v>2041</c:v>
                </c:pt>
                <c:pt idx="17">
                  <c:v>2046</c:v>
                </c:pt>
                <c:pt idx="18">
                  <c:v>2051</c:v>
                </c:pt>
              </c:numCache>
            </c:numRef>
          </c:xVal>
          <c:yVal>
            <c:numRef>
              <c:f>FittingHH!$B$3:$BP$3</c:f>
              <c:numCache>
                <c:formatCode>0.00_);[Red]\(0.00\)</c:formatCode>
                <c:ptCount val="67"/>
                <c:pt idx="0">
                  <c:v>2.1970999999999998</c:v>
                </c:pt>
                <c:pt idx="1">
                  <c:v>2.2208999999999999</c:v>
                </c:pt>
                <c:pt idx="2">
                  <c:v>2.2499000000000002</c:v>
                </c:pt>
                <c:pt idx="3">
                  <c:v>2.2791000000000001</c:v>
                </c:pt>
                <c:pt idx="4">
                  <c:v>2.2971999999999997</c:v>
                </c:pt>
                <c:pt idx="5">
                  <c:v>2.3250999999999999</c:v>
                </c:pt>
                <c:pt idx="6">
                  <c:v>2.3593000000000002</c:v>
                </c:pt>
                <c:pt idx="7">
                  <c:v>2.3861999999999997</c:v>
                </c:pt>
                <c:pt idx="8">
                  <c:v>2.4073000000000002</c:v>
                </c:pt>
                <c:pt idx="9">
                  <c:v>2.4323999999999999</c:v>
                </c:pt>
                <c:pt idx="10">
                  <c:v>2.4710999999999999</c:v>
                </c:pt>
                <c:pt idx="11">
                  <c:v>2.4988999999999999</c:v>
                </c:pt>
                <c:pt idx="12">
                  <c:v>2.5347</c:v>
                </c:pt>
                <c:pt idx="13">
                  <c:v>2.7688999999999999</c:v>
                </c:pt>
                <c:pt idx="14">
                  <c:v>2.8544999999999998</c:v>
                </c:pt>
                <c:pt idx="15">
                  <c:v>2.9201999999999999</c:v>
                </c:pt>
                <c:pt idx="16">
                  <c:v>2.9613999999999998</c:v>
                </c:pt>
                <c:pt idx="17">
                  <c:v>2.9723000000000002</c:v>
                </c:pt>
                <c:pt idx="18">
                  <c:v>2.9495</c:v>
                </c:pt>
              </c:numCache>
            </c:numRef>
          </c:yVal>
          <c:smooth val="0"/>
          <c:extLst>
            <c:ext xmlns:c16="http://schemas.microsoft.com/office/drawing/2014/chart" uri="{C3380CC4-5D6E-409C-BE32-E72D297353CC}">
              <c16:uniqueId val="{00000000-0B74-4275-989F-32B1B15131DE}"/>
            </c:ext>
          </c:extLst>
        </c:ser>
        <c:dLbls>
          <c:showLegendKey val="0"/>
          <c:showVal val="0"/>
          <c:showCatName val="0"/>
          <c:showSerName val="0"/>
          <c:showPercent val="0"/>
          <c:showBubbleSize val="0"/>
        </c:dLbls>
        <c:axId val="366960624"/>
        <c:axId val="366966032"/>
      </c:scatterChart>
      <c:valAx>
        <c:axId val="366960624"/>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6032"/>
        <c:crosses val="autoZero"/>
        <c:crossBetween val="midCat"/>
      </c:valAx>
      <c:valAx>
        <c:axId val="36696603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6062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latin typeface="Arial" panose="020B0604020202020204" pitchFamily="34" charset="0"/>
                <a:cs typeface="Arial" panose="020B0604020202020204" pitchFamily="34" charset="0"/>
              </a:rPr>
              <a:t>Private Housing Total</a:t>
            </a:r>
            <a:r>
              <a:rPr lang="en-US" altLang="zh-CN" baseline="0">
                <a:latin typeface="Arial" panose="020B0604020202020204" pitchFamily="34" charset="0"/>
                <a:cs typeface="Arial" panose="020B0604020202020204" pitchFamily="34" charset="0"/>
              </a:rPr>
              <a:t> Energy Use</a:t>
            </a:r>
            <a:endParaRPr lang="en-US" altLang="zh-CN" sz="1000">
              <a:latin typeface="Arial" panose="020B0604020202020204" pitchFamily="34" charset="0"/>
              <a:cs typeface="Arial" panose="020B0604020202020204" pitchFamily="34" charset="0"/>
            </a:endParaRPr>
          </a:p>
        </c:rich>
      </c:tx>
      <c:layout>
        <c:manualLayout>
          <c:xMode val="edge"/>
          <c:yMode val="edge"/>
          <c:x val="0.20736708912189869"/>
          <c:y val="3.69462591095114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'Future Type Share'!$C$6</c:f>
              <c:strCache>
                <c:ptCount val="1"/>
                <c:pt idx="0">
                  <c:v>Private</c:v>
                </c:pt>
              </c:strCache>
            </c:strRef>
          </c:tx>
          <c:spPr>
            <a:ln w="28575" cap="rnd">
              <a:solidFill>
                <a:schemeClr val="accent1"/>
              </a:solidFill>
              <a:round/>
            </a:ln>
            <a:effectLst/>
          </c:spPr>
          <c:marker>
            <c:symbol val="none"/>
          </c:marker>
          <c:cat>
            <c:numRef>
              <c:f>'Future Type Share'!$B$7:$B$51</c:f>
              <c:numCache>
                <c:formatCode>General</c:formatCode>
                <c:ptCount val="45"/>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pt idx="18">
                  <c:v>2024</c:v>
                </c:pt>
                <c:pt idx="19">
                  <c:v>2025</c:v>
                </c:pt>
                <c:pt idx="20">
                  <c:v>2026</c:v>
                </c:pt>
                <c:pt idx="21">
                  <c:v>2027</c:v>
                </c:pt>
                <c:pt idx="22">
                  <c:v>2028</c:v>
                </c:pt>
                <c:pt idx="23">
                  <c:v>2029</c:v>
                </c:pt>
                <c:pt idx="24">
                  <c:v>2030</c:v>
                </c:pt>
                <c:pt idx="25">
                  <c:v>2031</c:v>
                </c:pt>
                <c:pt idx="26">
                  <c:v>2032</c:v>
                </c:pt>
                <c:pt idx="27">
                  <c:v>2033</c:v>
                </c:pt>
                <c:pt idx="28">
                  <c:v>2034</c:v>
                </c:pt>
                <c:pt idx="29">
                  <c:v>2035</c:v>
                </c:pt>
                <c:pt idx="30">
                  <c:v>2036</c:v>
                </c:pt>
                <c:pt idx="31">
                  <c:v>2037</c:v>
                </c:pt>
                <c:pt idx="32">
                  <c:v>2038</c:v>
                </c:pt>
                <c:pt idx="33">
                  <c:v>2039</c:v>
                </c:pt>
                <c:pt idx="34">
                  <c:v>2040</c:v>
                </c:pt>
                <c:pt idx="35">
                  <c:v>2041</c:v>
                </c:pt>
                <c:pt idx="36">
                  <c:v>2042</c:v>
                </c:pt>
                <c:pt idx="37">
                  <c:v>2043</c:v>
                </c:pt>
                <c:pt idx="38">
                  <c:v>2044</c:v>
                </c:pt>
                <c:pt idx="39">
                  <c:v>2045</c:v>
                </c:pt>
                <c:pt idx="40">
                  <c:v>2046</c:v>
                </c:pt>
                <c:pt idx="41">
                  <c:v>2047</c:v>
                </c:pt>
                <c:pt idx="42">
                  <c:v>2048</c:v>
                </c:pt>
                <c:pt idx="43">
                  <c:v>2049</c:v>
                </c:pt>
                <c:pt idx="44">
                  <c:v>2050</c:v>
                </c:pt>
              </c:numCache>
            </c:numRef>
          </c:cat>
          <c:val>
            <c:numRef>
              <c:f>'Future Type Share'!$C$7:$C$51</c:f>
              <c:numCache>
                <c:formatCode>0</c:formatCode>
                <c:ptCount val="45"/>
                <c:pt idx="0">
                  <c:v>26211</c:v>
                </c:pt>
                <c:pt idx="1">
                  <c:v>26733</c:v>
                </c:pt>
                <c:pt idx="2">
                  <c:v>27701</c:v>
                </c:pt>
                <c:pt idx="3">
                  <c:v>28544</c:v>
                </c:pt>
                <c:pt idx="4">
                  <c:v>28730</c:v>
                </c:pt>
                <c:pt idx="5">
                  <c:v>29117</c:v>
                </c:pt>
                <c:pt idx="6">
                  <c:v>29268</c:v>
                </c:pt>
                <c:pt idx="7">
                  <c:v>28407</c:v>
                </c:pt>
                <c:pt idx="8">
                  <c:v>30480</c:v>
                </c:pt>
                <c:pt idx="9">
                  <c:v>29125</c:v>
                </c:pt>
                <c:pt idx="10">
                  <c:v>30284</c:v>
                </c:pt>
                <c:pt idx="11">
                  <c:v>30826.871717167014</c:v>
                </c:pt>
                <c:pt idx="12">
                  <c:v>31206.484686862073</c:v>
                </c:pt>
                <c:pt idx="13">
                  <c:v>31555.794032156769</c:v>
                </c:pt>
                <c:pt idx="14">
                  <c:v>31923.365836592031</c:v>
                </c:pt>
                <c:pt idx="15">
                  <c:v>32270.790287957265</c:v>
                </c:pt>
                <c:pt idx="16">
                  <c:v>32615.658380992183</c:v>
                </c:pt>
                <c:pt idx="17">
                  <c:v>32955.328967069116</c:v>
                </c:pt>
                <c:pt idx="18">
                  <c:v>33276.381015512867</c:v>
                </c:pt>
                <c:pt idx="19">
                  <c:v>33587.166154696642</c:v>
                </c:pt>
                <c:pt idx="20">
                  <c:v>33882.754058530241</c:v>
                </c:pt>
                <c:pt idx="21">
                  <c:v>34170.30950094224</c:v>
                </c:pt>
                <c:pt idx="22">
                  <c:v>34464.100987374775</c:v>
                </c:pt>
                <c:pt idx="23">
                  <c:v>34757.591197806396</c:v>
                </c:pt>
                <c:pt idx="24">
                  <c:v>35043.256334684476</c:v>
                </c:pt>
                <c:pt idx="25">
                  <c:v>35325.822583508263</c:v>
                </c:pt>
                <c:pt idx="26">
                  <c:v>35606.544269885613</c:v>
                </c:pt>
                <c:pt idx="27">
                  <c:v>35888.922266829133</c:v>
                </c:pt>
                <c:pt idx="28">
                  <c:v>36163.995986746129</c:v>
                </c:pt>
                <c:pt idx="29">
                  <c:v>36425.357627028621</c:v>
                </c:pt>
                <c:pt idx="30">
                  <c:v>36675.96209044315</c:v>
                </c:pt>
                <c:pt idx="31">
                  <c:v>36914.742853285512</c:v>
                </c:pt>
                <c:pt idx="32">
                  <c:v>37138.803960864119</c:v>
                </c:pt>
                <c:pt idx="33">
                  <c:v>37343.386033208262</c:v>
                </c:pt>
                <c:pt idx="34">
                  <c:v>37532.351080383698</c:v>
                </c:pt>
                <c:pt idx="35">
                  <c:v>37702.737844227515</c:v>
                </c:pt>
                <c:pt idx="36">
                  <c:v>37856.612987660301</c:v>
                </c:pt>
                <c:pt idx="37">
                  <c:v>38001.164107921817</c:v>
                </c:pt>
                <c:pt idx="38">
                  <c:v>38134.405641740108</c:v>
                </c:pt>
                <c:pt idx="39">
                  <c:v>38252.928523995804</c:v>
                </c:pt>
                <c:pt idx="40">
                  <c:v>38358.419061009066</c:v>
                </c:pt>
                <c:pt idx="41">
                  <c:v>38446.024645145058</c:v>
                </c:pt>
                <c:pt idx="42">
                  <c:v>38523.065229508655</c:v>
                </c:pt>
                <c:pt idx="43">
                  <c:v>38585.159410710789</c:v>
                </c:pt>
                <c:pt idx="44">
                  <c:v>38633.081288637804</c:v>
                </c:pt>
              </c:numCache>
            </c:numRef>
          </c:val>
          <c:smooth val="0"/>
          <c:extLst>
            <c:ext xmlns:c16="http://schemas.microsoft.com/office/drawing/2014/chart" uri="{C3380CC4-5D6E-409C-BE32-E72D297353CC}">
              <c16:uniqueId val="{00000000-4EF9-4B01-A51E-5A4082B9FC20}"/>
            </c:ext>
          </c:extLst>
        </c:ser>
        <c:dLbls>
          <c:showLegendKey val="0"/>
          <c:showVal val="0"/>
          <c:showCatName val="0"/>
          <c:showSerName val="0"/>
          <c:showPercent val="0"/>
          <c:showBubbleSize val="0"/>
        </c:dLbls>
        <c:smooth val="0"/>
        <c:axId val="186495808"/>
        <c:axId val="186506208"/>
      </c:lineChart>
      <c:catAx>
        <c:axId val="18649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506208"/>
        <c:crosses val="autoZero"/>
        <c:auto val="1"/>
        <c:lblAlgn val="ctr"/>
        <c:lblOffset val="100"/>
        <c:noMultiLvlLbl val="0"/>
      </c:catAx>
      <c:valAx>
        <c:axId val="186506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49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latin typeface="Arial" panose="020B0604020202020204" pitchFamily="34" charset="0"/>
                <a:cs typeface="Arial" panose="020B0604020202020204" pitchFamily="34" charset="0"/>
              </a:rPr>
              <a:t>Commercial Total Energy Use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'Future Type Share'!$E$6</c:f>
              <c:strCache>
                <c:ptCount val="1"/>
              </c:strCache>
            </c:strRef>
          </c:tx>
          <c:spPr>
            <a:ln w="28575" cap="rnd">
              <a:solidFill>
                <a:schemeClr val="accent4">
                  <a:lumMod val="60000"/>
                  <a:lumOff val="40000"/>
                </a:schemeClr>
              </a:solidFill>
              <a:round/>
            </a:ln>
            <a:effectLst/>
          </c:spPr>
          <c:marker>
            <c:symbol val="none"/>
          </c:marker>
          <c:cat>
            <c:numRef>
              <c:f>'Future Type Share'!$B$7:$B$51</c:f>
              <c:numCache>
                <c:formatCode>General</c:formatCode>
                <c:ptCount val="45"/>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pt idx="17">
                  <c:v>2023</c:v>
                </c:pt>
                <c:pt idx="18">
                  <c:v>2024</c:v>
                </c:pt>
                <c:pt idx="19">
                  <c:v>2025</c:v>
                </c:pt>
                <c:pt idx="20">
                  <c:v>2026</c:v>
                </c:pt>
                <c:pt idx="21">
                  <c:v>2027</c:v>
                </c:pt>
                <c:pt idx="22">
                  <c:v>2028</c:v>
                </c:pt>
                <c:pt idx="23">
                  <c:v>2029</c:v>
                </c:pt>
                <c:pt idx="24">
                  <c:v>2030</c:v>
                </c:pt>
                <c:pt idx="25">
                  <c:v>2031</c:v>
                </c:pt>
                <c:pt idx="26">
                  <c:v>2032</c:v>
                </c:pt>
                <c:pt idx="27">
                  <c:v>2033</c:v>
                </c:pt>
                <c:pt idx="28">
                  <c:v>2034</c:v>
                </c:pt>
                <c:pt idx="29">
                  <c:v>2035</c:v>
                </c:pt>
                <c:pt idx="30">
                  <c:v>2036</c:v>
                </c:pt>
                <c:pt idx="31">
                  <c:v>2037</c:v>
                </c:pt>
                <c:pt idx="32">
                  <c:v>2038</c:v>
                </c:pt>
                <c:pt idx="33">
                  <c:v>2039</c:v>
                </c:pt>
                <c:pt idx="34">
                  <c:v>2040</c:v>
                </c:pt>
                <c:pt idx="35">
                  <c:v>2041</c:v>
                </c:pt>
                <c:pt idx="36">
                  <c:v>2042</c:v>
                </c:pt>
                <c:pt idx="37">
                  <c:v>2043</c:v>
                </c:pt>
                <c:pt idx="38">
                  <c:v>2044</c:v>
                </c:pt>
                <c:pt idx="39">
                  <c:v>2045</c:v>
                </c:pt>
                <c:pt idx="40">
                  <c:v>2046</c:v>
                </c:pt>
                <c:pt idx="41">
                  <c:v>2047</c:v>
                </c:pt>
                <c:pt idx="42">
                  <c:v>2048</c:v>
                </c:pt>
                <c:pt idx="43">
                  <c:v>2049</c:v>
                </c:pt>
                <c:pt idx="44">
                  <c:v>2050</c:v>
                </c:pt>
              </c:numCache>
            </c:numRef>
          </c:cat>
          <c:val>
            <c:numRef>
              <c:f>'Future Type Share'!$E$7:$E$51</c:f>
              <c:numCache>
                <c:formatCode>General</c:formatCode>
                <c:ptCount val="45"/>
                <c:pt idx="0">
                  <c:v>111884</c:v>
                </c:pt>
                <c:pt idx="1">
                  <c:v>113914</c:v>
                </c:pt>
                <c:pt idx="2">
                  <c:v>113753</c:v>
                </c:pt>
                <c:pt idx="3">
                  <c:v>114297</c:v>
                </c:pt>
                <c:pt idx="4">
                  <c:v>116391</c:v>
                </c:pt>
                <c:pt idx="5">
                  <c:v>118558</c:v>
                </c:pt>
                <c:pt idx="6">
                  <c:v>120970</c:v>
                </c:pt>
                <c:pt idx="7">
                  <c:v>121215</c:v>
                </c:pt>
                <c:pt idx="8">
                  <c:v>122711</c:v>
                </c:pt>
                <c:pt idx="9">
                  <c:v>123674</c:v>
                </c:pt>
                <c:pt idx="10">
                  <c:v>123969</c:v>
                </c:pt>
                <c:pt idx="11" formatCode="0">
                  <c:v>124415.30940279546</c:v>
                </c:pt>
                <c:pt idx="12" formatCode="0">
                  <c:v>124861.61880559093</c:v>
                </c:pt>
                <c:pt idx="13" formatCode="0">
                  <c:v>125307.92820838625</c:v>
                </c:pt>
                <c:pt idx="14" formatCode="0">
                  <c:v>125754.23761118173</c:v>
                </c:pt>
                <c:pt idx="15" formatCode="0">
                  <c:v>126725.61689961882</c:v>
                </c:pt>
                <c:pt idx="16" formatCode="0">
                  <c:v>127696.99618805594</c:v>
                </c:pt>
                <c:pt idx="17" formatCode="0">
                  <c:v>128668.37547649305</c:v>
                </c:pt>
                <c:pt idx="18" formatCode="0">
                  <c:v>129639.75476493019</c:v>
                </c:pt>
                <c:pt idx="19" formatCode="0">
                  <c:v>130611.13405336729</c:v>
                </c:pt>
                <c:pt idx="20" formatCode="0">
                  <c:v>131582.51334180441</c:v>
                </c:pt>
                <c:pt idx="21" formatCode="0">
                  <c:v>132553.89263024152</c:v>
                </c:pt>
                <c:pt idx="22" formatCode="0">
                  <c:v>133525.27191867863</c:v>
                </c:pt>
                <c:pt idx="23" formatCode="0">
                  <c:v>134496.65120711573</c:v>
                </c:pt>
                <c:pt idx="24" formatCode="0">
                  <c:v>135468.03049555287</c:v>
                </c:pt>
                <c:pt idx="25" formatCode="0">
                  <c:v>136439.40978398998</c:v>
                </c:pt>
                <c:pt idx="26" formatCode="0">
                  <c:v>137410.78907242708</c:v>
                </c:pt>
                <c:pt idx="27" formatCode="0">
                  <c:v>138382.16836086422</c:v>
                </c:pt>
                <c:pt idx="28" formatCode="0">
                  <c:v>139353.54764930133</c:v>
                </c:pt>
                <c:pt idx="29" formatCode="0">
                  <c:v>140324.92693773843</c:v>
                </c:pt>
                <c:pt idx="30" formatCode="0">
                  <c:v>141296.30622617525</c:v>
                </c:pt>
                <c:pt idx="31" formatCode="0">
                  <c:v>142267.68551461236</c:v>
                </c:pt>
                <c:pt idx="32" formatCode="0">
                  <c:v>143239.06480304949</c:v>
                </c:pt>
                <c:pt idx="33" formatCode="0">
                  <c:v>144210.4440914866</c:v>
                </c:pt>
                <c:pt idx="34" formatCode="0">
                  <c:v>145181.82337992371</c:v>
                </c:pt>
                <c:pt idx="35" formatCode="0">
                  <c:v>146153.20266836084</c:v>
                </c:pt>
                <c:pt idx="36" formatCode="0">
                  <c:v>147124.58195679795</c:v>
                </c:pt>
                <c:pt idx="37" formatCode="0">
                  <c:v>148095.96124523506</c:v>
                </c:pt>
                <c:pt idx="38" formatCode="0">
                  <c:v>149067.34053367219</c:v>
                </c:pt>
                <c:pt idx="39" formatCode="0">
                  <c:v>150038.7198221093</c:v>
                </c:pt>
                <c:pt idx="40" formatCode="0">
                  <c:v>151010.09911054641</c:v>
                </c:pt>
                <c:pt idx="41" formatCode="0">
                  <c:v>151981.47839898354</c:v>
                </c:pt>
                <c:pt idx="42" formatCode="0">
                  <c:v>152952.85768742065</c:v>
                </c:pt>
                <c:pt idx="43" formatCode="0">
                  <c:v>153924.23697585776</c:v>
                </c:pt>
                <c:pt idx="44" formatCode="0">
                  <c:v>154895.61626429489</c:v>
                </c:pt>
              </c:numCache>
            </c:numRef>
          </c:val>
          <c:smooth val="0"/>
          <c:extLst>
            <c:ext xmlns:c16="http://schemas.microsoft.com/office/drawing/2014/chart" uri="{C3380CC4-5D6E-409C-BE32-E72D297353CC}">
              <c16:uniqueId val="{00000000-ABC3-4540-923B-F293745F32DA}"/>
            </c:ext>
          </c:extLst>
        </c:ser>
        <c:dLbls>
          <c:showLegendKey val="0"/>
          <c:showVal val="0"/>
          <c:showCatName val="0"/>
          <c:showSerName val="0"/>
          <c:showPercent val="0"/>
          <c:showBubbleSize val="0"/>
        </c:dLbls>
        <c:smooth val="0"/>
        <c:axId val="181527552"/>
        <c:axId val="181528800"/>
      </c:lineChart>
      <c:catAx>
        <c:axId val="18152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1528800"/>
        <c:crosses val="autoZero"/>
        <c:auto val="1"/>
        <c:lblAlgn val="ctr"/>
        <c:lblOffset val="100"/>
        <c:noMultiLvlLbl val="0"/>
      </c:catAx>
      <c:valAx>
        <c:axId val="18152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1527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latin typeface="Arial" panose="020B0604020202020204" pitchFamily="34" charset="0"/>
                <a:cs typeface="Arial" panose="020B0604020202020204" pitchFamily="34" charset="0"/>
              </a:rPr>
              <a:t>Public Housing Total</a:t>
            </a:r>
            <a:r>
              <a:rPr lang="en-US" altLang="zh-CN" baseline="0">
                <a:latin typeface="Arial" panose="020B0604020202020204" pitchFamily="34" charset="0"/>
                <a:cs typeface="Arial" panose="020B0604020202020204" pitchFamily="34" charset="0"/>
              </a:rPr>
              <a:t> Energy Use</a:t>
            </a:r>
            <a:endParaRPr lang="en-US" altLang="zh-CN" sz="1000">
              <a:latin typeface="Arial" panose="020B0604020202020204" pitchFamily="34" charset="0"/>
              <a:cs typeface="Arial" panose="020B0604020202020204" pitchFamily="34" charset="0"/>
            </a:endParaRPr>
          </a:p>
        </c:rich>
      </c:tx>
      <c:layout>
        <c:manualLayout>
          <c:xMode val="edge"/>
          <c:yMode val="edge"/>
          <c:x val="0.20736708912189869"/>
          <c:y val="3.69462591095114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'Future Type Share'!$D$6</c:f>
              <c:strCache>
                <c:ptCount val="1"/>
                <c:pt idx="0">
                  <c:v>Public</c:v>
                </c:pt>
              </c:strCache>
            </c:strRef>
          </c:tx>
          <c:spPr>
            <a:ln w="28575" cap="rnd">
              <a:solidFill>
                <a:schemeClr val="accent1"/>
              </a:solidFill>
              <a:round/>
            </a:ln>
            <a:effectLst/>
          </c:spPr>
          <c:marker>
            <c:symbol val="none"/>
          </c:marker>
          <c:cat>
            <c:strRef>
              <c:f>'Future Type Share'!$B$6:$B$51</c:f>
              <c:strCache>
                <c:ptCount val="46"/>
                <c:pt idx="0">
                  <c:v>Year</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pt idx="19">
                  <c:v>2024</c:v>
                </c:pt>
                <c:pt idx="20">
                  <c:v>2025</c:v>
                </c:pt>
                <c:pt idx="21">
                  <c:v>2026</c:v>
                </c:pt>
                <c:pt idx="22">
                  <c:v>2027</c:v>
                </c:pt>
                <c:pt idx="23">
                  <c:v>2028</c:v>
                </c:pt>
                <c:pt idx="24">
                  <c:v>2029</c:v>
                </c:pt>
                <c:pt idx="25">
                  <c:v>2030</c:v>
                </c:pt>
                <c:pt idx="26">
                  <c:v>2031</c:v>
                </c:pt>
                <c:pt idx="27">
                  <c:v>2032</c:v>
                </c:pt>
                <c:pt idx="28">
                  <c:v>2033</c:v>
                </c:pt>
                <c:pt idx="29">
                  <c:v>2034</c:v>
                </c:pt>
                <c:pt idx="30">
                  <c:v>2035</c:v>
                </c:pt>
                <c:pt idx="31">
                  <c:v>2036</c:v>
                </c:pt>
                <c:pt idx="32">
                  <c:v>2037</c:v>
                </c:pt>
                <c:pt idx="33">
                  <c:v>2038</c:v>
                </c:pt>
                <c:pt idx="34">
                  <c:v>2039</c:v>
                </c:pt>
                <c:pt idx="35">
                  <c:v>2040</c:v>
                </c:pt>
                <c:pt idx="36">
                  <c:v>2041</c:v>
                </c:pt>
                <c:pt idx="37">
                  <c:v>2042</c:v>
                </c:pt>
                <c:pt idx="38">
                  <c:v>2043</c:v>
                </c:pt>
                <c:pt idx="39">
                  <c:v>2044</c:v>
                </c:pt>
                <c:pt idx="40">
                  <c:v>2045</c:v>
                </c:pt>
                <c:pt idx="41">
                  <c:v>2046</c:v>
                </c:pt>
                <c:pt idx="42">
                  <c:v>2047</c:v>
                </c:pt>
                <c:pt idx="43">
                  <c:v>2048</c:v>
                </c:pt>
                <c:pt idx="44">
                  <c:v>2049</c:v>
                </c:pt>
                <c:pt idx="45">
                  <c:v>2050</c:v>
                </c:pt>
              </c:strCache>
            </c:strRef>
          </c:cat>
          <c:val>
            <c:numRef>
              <c:f>'Future Type Share'!$D$7:$D$51</c:f>
              <c:numCache>
                <c:formatCode>0</c:formatCode>
                <c:ptCount val="45"/>
                <c:pt idx="0">
                  <c:v>24967</c:v>
                </c:pt>
                <c:pt idx="1">
                  <c:v>25185</c:v>
                </c:pt>
                <c:pt idx="2">
                  <c:v>25533</c:v>
                </c:pt>
                <c:pt idx="3">
                  <c:v>26068</c:v>
                </c:pt>
                <c:pt idx="4">
                  <c:v>26236</c:v>
                </c:pt>
                <c:pt idx="5">
                  <c:v>26080</c:v>
                </c:pt>
                <c:pt idx="6">
                  <c:v>26648</c:v>
                </c:pt>
                <c:pt idx="7">
                  <c:v>26084</c:v>
                </c:pt>
                <c:pt idx="8">
                  <c:v>27392</c:v>
                </c:pt>
                <c:pt idx="9">
                  <c:v>26763</c:v>
                </c:pt>
                <c:pt idx="10">
                  <c:v>27077</c:v>
                </c:pt>
                <c:pt idx="11">
                  <c:v>27636.608404858052</c:v>
                </c:pt>
                <c:pt idx="12">
                  <c:v>27934.510387419203</c:v>
                </c:pt>
                <c:pt idx="13">
                  <c:v>28197.964734378009</c:v>
                </c:pt>
                <c:pt idx="14">
                  <c:v>28470.382375214707</c:v>
                </c:pt>
                <c:pt idx="15">
                  <c:v>28717.436243150252</c:v>
                </c:pt>
                <c:pt idx="16">
                  <c:v>28954.825146667703</c:v>
                </c:pt>
                <c:pt idx="17">
                  <c:v>29180.196371485119</c:v>
                </c:pt>
                <c:pt idx="18">
                  <c:v>29381.711246799878</c:v>
                </c:pt>
                <c:pt idx="19">
                  <c:v>29566.848743714698</c:v>
                </c:pt>
                <c:pt idx="20">
                  <c:v>29731.36033726293</c:v>
                </c:pt>
                <c:pt idx="21">
                  <c:v>29881.645867425723</c:v>
                </c:pt>
                <c:pt idx="22">
                  <c:v>30030.221417619105</c:v>
                </c:pt>
                <c:pt idx="23">
                  <c:v>30171.363570811609</c:v>
                </c:pt>
                <c:pt idx="24">
                  <c:v>30298.582102780689</c:v>
                </c:pt>
                <c:pt idx="25">
                  <c:v>30416.044122850672</c:v>
                </c:pt>
                <c:pt idx="26">
                  <c:v>30524.877949908485</c:v>
                </c:pt>
                <c:pt idx="27">
                  <c:v>30628.113575801028</c:v>
                </c:pt>
                <c:pt idx="28">
                  <c:v>30718.142684357994</c:v>
                </c:pt>
                <c:pt idx="29">
                  <c:v>30789.662642065734</c:v>
                </c:pt>
                <c:pt idx="30">
                  <c:v>30845.360726907147</c:v>
                </c:pt>
                <c:pt idx="31">
                  <c:v>30884.518855696038</c:v>
                </c:pt>
                <c:pt idx="32">
                  <c:v>30904.924035283948</c:v>
                </c:pt>
                <c:pt idx="33">
                  <c:v>30902.88323562832</c:v>
                </c:pt>
                <c:pt idx="34">
                  <c:v>30881.897200009356</c:v>
                </c:pt>
                <c:pt idx="35">
                  <c:v>30839.823389246114</c:v>
                </c:pt>
                <c:pt idx="36">
                  <c:v>30778.675186985343</c:v>
                </c:pt>
                <c:pt idx="37">
                  <c:v>30704.572805377444</c:v>
                </c:pt>
                <c:pt idx="38">
                  <c:v>30616.132987703884</c:v>
                </c:pt>
                <c:pt idx="39">
                  <c:v>30510.883041527926</c:v>
                </c:pt>
                <c:pt idx="40">
                  <c:v>30390.46512529605</c:v>
                </c:pt>
                <c:pt idx="41">
                  <c:v>30251.34637778316</c:v>
                </c:pt>
                <c:pt idx="42">
                  <c:v>30099.617268287635</c:v>
                </c:pt>
                <c:pt idx="43">
                  <c:v>29932.134697344358</c:v>
                </c:pt>
                <c:pt idx="44">
                  <c:v>29749.828647365968</c:v>
                </c:pt>
              </c:numCache>
            </c:numRef>
          </c:val>
          <c:smooth val="0"/>
          <c:extLst>
            <c:ext xmlns:c16="http://schemas.microsoft.com/office/drawing/2014/chart" uri="{C3380CC4-5D6E-409C-BE32-E72D297353CC}">
              <c16:uniqueId val="{00000001-5BB8-473A-9FC5-487003037AFC}"/>
            </c:ext>
          </c:extLst>
        </c:ser>
        <c:dLbls>
          <c:showLegendKey val="0"/>
          <c:showVal val="0"/>
          <c:showCatName val="0"/>
          <c:showSerName val="0"/>
          <c:showPercent val="0"/>
          <c:showBubbleSize val="0"/>
        </c:dLbls>
        <c:smooth val="0"/>
        <c:axId val="186495808"/>
        <c:axId val="186506208"/>
      </c:lineChart>
      <c:catAx>
        <c:axId val="186495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10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506208"/>
        <c:crosses val="autoZero"/>
        <c:auto val="1"/>
        <c:lblAlgn val="ctr"/>
        <c:lblOffset val="100"/>
        <c:noMultiLvlLbl val="0"/>
      </c:catAx>
      <c:valAx>
        <c:axId val="1865062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186495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png"/><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9</xdr:col>
      <xdr:colOff>367396</xdr:colOff>
      <xdr:row>0</xdr:row>
      <xdr:rowOff>101600</xdr:rowOff>
    </xdr:from>
    <xdr:to>
      <xdr:col>14</xdr:col>
      <xdr:colOff>301064</xdr:colOff>
      <xdr:row>25</xdr:row>
      <xdr:rowOff>94481</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310996" y="101600"/>
          <a:ext cx="3235668" cy="44378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371683</xdr:colOff>
      <xdr:row>47</xdr:row>
      <xdr:rowOff>116215</xdr:rowOff>
    </xdr:from>
    <xdr:to>
      <xdr:col>16</xdr:col>
      <xdr:colOff>522078</xdr:colOff>
      <xdr:row>49</xdr:row>
      <xdr:rowOff>99504</xdr:rowOff>
    </xdr:to>
    <xdr:sp macro="" textlink="">
      <xdr:nvSpPr>
        <xdr:cNvPr id="2" name="右箭头 1">
          <a:extLst>
            <a:ext uri="{FF2B5EF4-FFF2-40B4-BE49-F238E27FC236}">
              <a16:creationId xmlns:a16="http://schemas.microsoft.com/office/drawing/2014/main" id="{00000000-0008-0000-0800-000002000000}"/>
            </a:ext>
          </a:extLst>
        </xdr:cNvPr>
        <xdr:cNvSpPr/>
      </xdr:nvSpPr>
      <xdr:spPr>
        <a:xfrm>
          <a:off x="11234031" y="8602124"/>
          <a:ext cx="814259" cy="3296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40189</xdr:colOff>
      <xdr:row>50</xdr:row>
      <xdr:rowOff>112532</xdr:rowOff>
    </xdr:from>
    <xdr:to>
      <xdr:col>16</xdr:col>
      <xdr:colOff>195334</xdr:colOff>
      <xdr:row>52</xdr:row>
      <xdr:rowOff>88514</xdr:rowOff>
    </xdr:to>
    <xdr:sp macro="" textlink="">
      <xdr:nvSpPr>
        <xdr:cNvPr id="2" name="右箭头 1">
          <a:extLst>
            <a:ext uri="{FF2B5EF4-FFF2-40B4-BE49-F238E27FC236}">
              <a16:creationId xmlns:a16="http://schemas.microsoft.com/office/drawing/2014/main" id="{00000000-0008-0000-0A00-000002000000}"/>
            </a:ext>
          </a:extLst>
        </xdr:cNvPr>
        <xdr:cNvSpPr/>
      </xdr:nvSpPr>
      <xdr:spPr>
        <a:xfrm>
          <a:off x="11060252" y="8954304"/>
          <a:ext cx="814259" cy="3296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743239</xdr:colOff>
      <xdr:row>27</xdr:row>
      <xdr:rowOff>135455</xdr:rowOff>
    </xdr:from>
    <xdr:to>
      <xdr:col>8</xdr:col>
      <xdr:colOff>519102</xdr:colOff>
      <xdr:row>48</xdr:row>
      <xdr:rowOff>151928</xdr:rowOff>
    </xdr:to>
    <xdr:pic>
      <xdr:nvPicPr>
        <xdr:cNvPr id="2" name="图片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743239" y="4825796"/>
          <a:ext cx="8098674" cy="3804826"/>
        </a:xfrm>
        <a:prstGeom prst="rect">
          <a:avLst/>
        </a:prstGeom>
      </xdr:spPr>
    </xdr:pic>
    <xdr:clientData/>
  </xdr:twoCellAnchor>
  <xdr:twoCellAnchor editAs="oneCell">
    <xdr:from>
      <xdr:col>12</xdr:col>
      <xdr:colOff>158750</xdr:colOff>
      <xdr:row>28</xdr:row>
      <xdr:rowOff>149411</xdr:rowOff>
    </xdr:from>
    <xdr:to>
      <xdr:col>18</xdr:col>
      <xdr:colOff>408214</xdr:colOff>
      <xdr:row>43</xdr:row>
      <xdr:rowOff>71651</xdr:rowOff>
    </xdr:to>
    <xdr:pic>
      <xdr:nvPicPr>
        <xdr:cNvPr id="4" name="图片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9449405" y="4866554"/>
          <a:ext cx="4195535" cy="2643668"/>
        </a:xfrm>
        <a:prstGeom prst="rect">
          <a:avLst/>
        </a:prstGeom>
      </xdr:spPr>
    </xdr:pic>
    <xdr:clientData/>
  </xdr:twoCellAnchor>
  <xdr:twoCellAnchor editAs="oneCell">
    <xdr:from>
      <xdr:col>12</xdr:col>
      <xdr:colOff>268883</xdr:colOff>
      <xdr:row>44</xdr:row>
      <xdr:rowOff>143631</xdr:rowOff>
    </xdr:from>
    <xdr:to>
      <xdr:col>18</xdr:col>
      <xdr:colOff>269226</xdr:colOff>
      <xdr:row>54</xdr:row>
      <xdr:rowOff>175833</xdr:rowOff>
    </xdr:to>
    <xdr:pic>
      <xdr:nvPicPr>
        <xdr:cNvPr id="5" name="图片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3"/>
        <a:stretch>
          <a:fillRect/>
        </a:stretch>
      </xdr:blipFill>
      <xdr:spPr>
        <a:xfrm>
          <a:off x="9559538" y="7763631"/>
          <a:ext cx="3946414" cy="1846487"/>
        </a:xfrm>
        <a:prstGeom prst="rect">
          <a:avLst/>
        </a:prstGeom>
      </xdr:spPr>
    </xdr:pic>
    <xdr:clientData/>
  </xdr:twoCellAnchor>
  <xdr:twoCellAnchor editAs="oneCell">
    <xdr:from>
      <xdr:col>1</xdr:col>
      <xdr:colOff>279702</xdr:colOff>
      <xdr:row>60</xdr:row>
      <xdr:rowOff>83154</xdr:rowOff>
    </xdr:from>
    <xdr:to>
      <xdr:col>9</xdr:col>
      <xdr:colOff>110854</xdr:colOff>
      <xdr:row>84</xdr:row>
      <xdr:rowOff>147915</xdr:rowOff>
    </xdr:to>
    <xdr:pic>
      <xdr:nvPicPr>
        <xdr:cNvPr id="6" name="图片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4"/>
        <a:stretch>
          <a:fillRect/>
        </a:stretch>
      </xdr:blipFill>
      <xdr:spPr>
        <a:xfrm>
          <a:off x="1950357" y="10606011"/>
          <a:ext cx="5533333" cy="4419048"/>
        </a:xfrm>
        <a:prstGeom prst="rect">
          <a:avLst/>
        </a:prstGeom>
      </xdr:spPr>
    </xdr:pic>
    <xdr:clientData/>
  </xdr:twoCellAnchor>
  <xdr:twoCellAnchor editAs="oneCell">
    <xdr:from>
      <xdr:col>0</xdr:col>
      <xdr:colOff>1005418</xdr:colOff>
      <xdr:row>57</xdr:row>
      <xdr:rowOff>22679</xdr:rowOff>
    </xdr:from>
    <xdr:to>
      <xdr:col>4</xdr:col>
      <xdr:colOff>70438</xdr:colOff>
      <xdr:row>58</xdr:row>
      <xdr:rowOff>174585</xdr:rowOff>
    </xdr:to>
    <xdr:pic>
      <xdr:nvPicPr>
        <xdr:cNvPr id="7" name="图片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5"/>
        <a:stretch>
          <a:fillRect/>
        </a:stretch>
      </xdr:blipFill>
      <xdr:spPr>
        <a:xfrm>
          <a:off x="1005418" y="10001250"/>
          <a:ext cx="4714286" cy="333333"/>
        </a:xfrm>
        <a:prstGeom prst="rect">
          <a:avLst/>
        </a:prstGeom>
      </xdr:spPr>
    </xdr:pic>
    <xdr:clientData/>
  </xdr:twoCellAnchor>
  <xdr:twoCellAnchor editAs="oneCell">
    <xdr:from>
      <xdr:col>15</xdr:col>
      <xdr:colOff>128512</xdr:colOff>
      <xdr:row>57</xdr:row>
      <xdr:rowOff>52917</xdr:rowOff>
    </xdr:from>
    <xdr:to>
      <xdr:col>21</xdr:col>
      <xdr:colOff>287202</xdr:colOff>
      <xdr:row>68</xdr:row>
      <xdr:rowOff>47679</xdr:rowOff>
    </xdr:to>
    <xdr:pic>
      <xdr:nvPicPr>
        <xdr:cNvPr id="8" name="图片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6"/>
        <a:stretch>
          <a:fillRect/>
        </a:stretch>
      </xdr:blipFill>
      <xdr:spPr>
        <a:xfrm>
          <a:off x="11392202" y="10031488"/>
          <a:ext cx="4104762" cy="1990476"/>
        </a:xfrm>
        <a:prstGeom prst="rect">
          <a:avLst/>
        </a:prstGeom>
      </xdr:spPr>
    </xdr:pic>
    <xdr:clientData/>
  </xdr:twoCellAnchor>
  <xdr:twoCellAnchor editAs="oneCell">
    <xdr:from>
      <xdr:col>0</xdr:col>
      <xdr:colOff>1610178</xdr:colOff>
      <xdr:row>87</xdr:row>
      <xdr:rowOff>113393</xdr:rowOff>
    </xdr:from>
    <xdr:to>
      <xdr:col>8</xdr:col>
      <xdr:colOff>630368</xdr:colOff>
      <xdr:row>126</xdr:row>
      <xdr:rowOff>151964</xdr:rowOff>
    </xdr:to>
    <xdr:pic>
      <xdr:nvPicPr>
        <xdr:cNvPr id="9" name="图片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7"/>
        <a:stretch>
          <a:fillRect/>
        </a:stretch>
      </xdr:blipFill>
      <xdr:spPr>
        <a:xfrm>
          <a:off x="1610178" y="15716250"/>
          <a:ext cx="7295238" cy="71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16</xdr:col>
      <xdr:colOff>103419</xdr:colOff>
      <xdr:row>9</xdr:row>
      <xdr:rowOff>71438</xdr:rowOff>
    </xdr:from>
    <xdr:to>
      <xdr:col>23</xdr:col>
      <xdr:colOff>793050</xdr:colOff>
      <xdr:row>24</xdr:row>
      <xdr:rowOff>119063</xdr:rowOff>
    </xdr:to>
    <xdr:graphicFrame macro="">
      <xdr:nvGraphicFramePr>
        <xdr:cNvPr id="2" name="Chart 3">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43656</xdr:colOff>
      <xdr:row>10</xdr:row>
      <xdr:rowOff>87313</xdr:rowOff>
    </xdr:from>
    <xdr:to>
      <xdr:col>2</xdr:col>
      <xdr:colOff>536170</xdr:colOff>
      <xdr:row>23</xdr:row>
      <xdr:rowOff>65615</xdr:rowOff>
    </xdr:to>
    <xdr:pic>
      <xdr:nvPicPr>
        <xdr:cNvPr id="3" name="Picture 1">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43656" y="2538413"/>
          <a:ext cx="2981714" cy="2467502"/>
        </a:xfrm>
        <a:prstGeom prst="rect">
          <a:avLst/>
        </a:prstGeom>
      </xdr:spPr>
    </xdr:pic>
    <xdr:clientData/>
  </xdr:twoCellAnchor>
  <xdr:twoCellAnchor editAs="oneCell">
    <xdr:from>
      <xdr:col>3</xdr:col>
      <xdr:colOff>98426</xdr:colOff>
      <xdr:row>10</xdr:row>
      <xdr:rowOff>47686</xdr:rowOff>
    </xdr:from>
    <xdr:to>
      <xdr:col>8</xdr:col>
      <xdr:colOff>297640</xdr:colOff>
      <xdr:row>23</xdr:row>
      <xdr:rowOff>78594</xdr:rowOff>
    </xdr:to>
    <xdr:pic>
      <xdr:nvPicPr>
        <xdr:cNvPr id="4" name="Picture 5">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3">
          <a:lum bright="-20000" contrast="40000"/>
          <a:extLst>
            <a:ext uri="{28A0092B-C50C-407E-A947-70E740481C1C}">
              <a14:useLocalDpi xmlns:a14="http://schemas.microsoft.com/office/drawing/2010/main" val="0"/>
            </a:ext>
          </a:extLst>
        </a:blip>
        <a:srcRect/>
        <a:stretch>
          <a:fillRect/>
        </a:stretch>
      </xdr:blipFill>
      <xdr:spPr bwMode="auto">
        <a:xfrm>
          <a:off x="4079876" y="2498786"/>
          <a:ext cx="5520514" cy="2520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41</xdr:col>
      <xdr:colOff>209550</xdr:colOff>
      <xdr:row>1</xdr:row>
      <xdr:rowOff>425450</xdr:rowOff>
    </xdr:from>
    <xdr:to>
      <xdr:col>43</xdr:col>
      <xdr:colOff>57150</xdr:colOff>
      <xdr:row>5</xdr:row>
      <xdr:rowOff>146050</xdr:rowOff>
    </xdr:to>
    <xdr:cxnSp macro="">
      <xdr:nvCxnSpPr>
        <xdr:cNvPr id="4" name="直接箭头连接符 3">
          <a:extLst>
            <a:ext uri="{FF2B5EF4-FFF2-40B4-BE49-F238E27FC236}">
              <a16:creationId xmlns:a16="http://schemas.microsoft.com/office/drawing/2014/main" id="{00000000-0008-0000-0E00-000004000000}"/>
            </a:ext>
          </a:extLst>
        </xdr:cNvPr>
        <xdr:cNvCxnSpPr/>
      </xdr:nvCxnSpPr>
      <xdr:spPr>
        <a:xfrm flipH="1" flipV="1">
          <a:off x="30283150" y="781050"/>
          <a:ext cx="1168400"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890067</xdr:colOff>
      <xdr:row>5</xdr:row>
      <xdr:rowOff>163285</xdr:rowOff>
    </xdr:from>
    <xdr:ext cx="813228" cy="665567"/>
    <xdr:sp macro="" textlink="">
      <xdr:nvSpPr>
        <xdr:cNvPr id="5" name="文本框 4">
          <a:extLst>
            <a:ext uri="{FF2B5EF4-FFF2-40B4-BE49-F238E27FC236}">
              <a16:creationId xmlns:a16="http://schemas.microsoft.com/office/drawing/2014/main" id="{00000000-0008-0000-0E00-000005000000}"/>
            </a:ext>
          </a:extLst>
        </xdr:cNvPr>
        <xdr:cNvSpPr txBox="1"/>
      </xdr:nvSpPr>
      <xdr:spPr>
        <a:xfrm>
          <a:off x="17646596" y="1605109"/>
          <a:ext cx="813228" cy="6655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历史值</a:t>
          </a:r>
          <a:endParaRPr lang="en-US" altLang="zh-CN" sz="1100">
            <a:solidFill>
              <a:schemeClr val="accent4">
                <a:lumMod val="75000"/>
              </a:schemeClr>
            </a:solidFill>
          </a:endParaRPr>
        </a:p>
        <a:p>
          <a:r>
            <a:rPr lang="en-US" altLang="zh-CN" sz="1100">
              <a:solidFill>
                <a:schemeClr val="accent4">
                  <a:lumMod val="75000"/>
                </a:schemeClr>
              </a:solidFill>
            </a:rPr>
            <a:t>=</a:t>
          </a:r>
          <a:r>
            <a:rPr lang="zh-CN" altLang="en-US" sz="1100">
              <a:solidFill>
                <a:schemeClr val="accent4">
                  <a:lumMod val="75000"/>
                </a:schemeClr>
              </a:solidFill>
            </a:rPr>
            <a:t>历史能耗</a:t>
          </a:r>
          <a:r>
            <a:rPr lang="en-US" altLang="zh-CN" sz="1100">
              <a:solidFill>
                <a:schemeClr val="accent4">
                  <a:lumMod val="75000"/>
                </a:schemeClr>
              </a:solidFill>
            </a:rPr>
            <a:t>/</a:t>
          </a:r>
          <a:r>
            <a:rPr lang="zh-CN" altLang="en-US" sz="1100">
              <a:solidFill>
                <a:schemeClr val="accent4">
                  <a:lumMod val="75000"/>
                </a:schemeClr>
              </a:solidFill>
            </a:rPr>
            <a:t>人口</a:t>
          </a:r>
        </a:p>
      </xdr:txBody>
    </xdr:sp>
    <xdr:clientData/>
  </xdr:oneCellAnchor>
  <xdr:oneCellAnchor>
    <xdr:from>
      <xdr:col>25</xdr:col>
      <xdr:colOff>63500</xdr:colOff>
      <xdr:row>13</xdr:row>
      <xdr:rowOff>172357</xdr:rowOff>
    </xdr:from>
    <xdr:ext cx="689428" cy="283411"/>
    <xdr:sp macro="" textlink="">
      <xdr:nvSpPr>
        <xdr:cNvPr id="6" name="文本框 5">
          <a:extLst>
            <a:ext uri="{FF2B5EF4-FFF2-40B4-BE49-F238E27FC236}">
              <a16:creationId xmlns:a16="http://schemas.microsoft.com/office/drawing/2014/main" id="{00000000-0008-0000-0E00-000006000000}"/>
            </a:ext>
          </a:extLst>
        </xdr:cNvPr>
        <xdr:cNvSpPr txBox="1"/>
      </xdr:nvSpPr>
      <xdr:spPr>
        <a:xfrm>
          <a:off x="17580429" y="3066143"/>
          <a:ext cx="68942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预测值</a:t>
          </a:r>
        </a:p>
      </xdr:txBody>
    </xdr:sp>
    <xdr:clientData/>
  </xdr:oneCellAnchor>
  <xdr:oneCellAnchor>
    <xdr:from>
      <xdr:col>26</xdr:col>
      <xdr:colOff>798820</xdr:colOff>
      <xdr:row>5</xdr:row>
      <xdr:rowOff>133934</xdr:rowOff>
    </xdr:from>
    <xdr:ext cx="822298" cy="665567"/>
    <xdr:sp macro="" textlink="">
      <xdr:nvSpPr>
        <xdr:cNvPr id="8" name="文本框 7">
          <a:extLst>
            <a:ext uri="{FF2B5EF4-FFF2-40B4-BE49-F238E27FC236}">
              <a16:creationId xmlns:a16="http://schemas.microsoft.com/office/drawing/2014/main" id="{00000000-0008-0000-0E00-000008000000}"/>
            </a:ext>
          </a:extLst>
        </xdr:cNvPr>
        <xdr:cNvSpPr txBox="1"/>
      </xdr:nvSpPr>
      <xdr:spPr>
        <a:xfrm>
          <a:off x="19721820" y="1575758"/>
          <a:ext cx="822298" cy="6655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历史值</a:t>
          </a:r>
          <a:endParaRPr lang="en-US" altLang="zh-CN" sz="1100">
            <a:solidFill>
              <a:schemeClr val="accent4">
                <a:lumMod val="75000"/>
              </a:schemeClr>
            </a:solidFill>
          </a:endParaRPr>
        </a:p>
        <a:p>
          <a:r>
            <a:rPr lang="en-US" altLang="zh-CN" sz="1100">
              <a:solidFill>
                <a:schemeClr val="accent4">
                  <a:lumMod val="75000"/>
                </a:schemeClr>
              </a:solidFill>
            </a:rPr>
            <a:t>=</a:t>
          </a:r>
          <a:r>
            <a:rPr lang="zh-CN" altLang="en-US" sz="1100">
              <a:solidFill>
                <a:schemeClr val="accent4">
                  <a:lumMod val="75000"/>
                </a:schemeClr>
              </a:solidFill>
            </a:rPr>
            <a:t>历史能耗</a:t>
          </a:r>
          <a:r>
            <a:rPr lang="en-US" altLang="zh-CN" sz="1100">
              <a:solidFill>
                <a:schemeClr val="accent4">
                  <a:lumMod val="75000"/>
                </a:schemeClr>
              </a:solidFill>
            </a:rPr>
            <a:t>/</a:t>
          </a:r>
          <a:r>
            <a:rPr lang="zh-CN" altLang="en-US" sz="1100">
              <a:solidFill>
                <a:schemeClr val="accent4">
                  <a:lumMod val="75000"/>
                </a:schemeClr>
              </a:solidFill>
            </a:rPr>
            <a:t>人口</a:t>
          </a:r>
        </a:p>
      </xdr:txBody>
    </xdr:sp>
    <xdr:clientData/>
  </xdr:oneCellAnchor>
  <xdr:oneCellAnchor>
    <xdr:from>
      <xdr:col>27</xdr:col>
      <xdr:colOff>54430</xdr:colOff>
      <xdr:row>13</xdr:row>
      <xdr:rowOff>145143</xdr:rowOff>
    </xdr:from>
    <xdr:ext cx="689428" cy="283411"/>
    <xdr:sp macro="" textlink="">
      <xdr:nvSpPr>
        <xdr:cNvPr id="10" name="文本框 9">
          <a:extLst>
            <a:ext uri="{FF2B5EF4-FFF2-40B4-BE49-F238E27FC236}">
              <a16:creationId xmlns:a16="http://schemas.microsoft.com/office/drawing/2014/main" id="{00000000-0008-0000-0E00-00000A000000}"/>
            </a:ext>
          </a:extLst>
        </xdr:cNvPr>
        <xdr:cNvSpPr txBox="1"/>
      </xdr:nvSpPr>
      <xdr:spPr>
        <a:xfrm>
          <a:off x="19806665" y="3021319"/>
          <a:ext cx="68942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100">
              <a:solidFill>
                <a:schemeClr val="accent4">
                  <a:lumMod val="75000"/>
                </a:schemeClr>
              </a:solidFill>
            </a:rPr>
            <a:t>预测值</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9</xdr:col>
      <xdr:colOff>60324</xdr:colOff>
      <xdr:row>8</xdr:row>
      <xdr:rowOff>31750</xdr:rowOff>
    </xdr:from>
    <xdr:to>
      <xdr:col>16</xdr:col>
      <xdr:colOff>406399</xdr:colOff>
      <xdr:row>24</xdr:row>
      <xdr:rowOff>82550</xdr:rowOff>
    </xdr:to>
    <xdr:graphicFrame macro="">
      <xdr:nvGraphicFramePr>
        <xdr:cNvPr id="2" name="图表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8</xdr:col>
      <xdr:colOff>346075</xdr:colOff>
      <xdr:row>24</xdr:row>
      <xdr:rowOff>50800</xdr:rowOff>
    </xdr:to>
    <xdr:graphicFrame macro="">
      <xdr:nvGraphicFramePr>
        <xdr:cNvPr id="3" name="图表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127000</xdr:colOff>
      <xdr:row>8</xdr:row>
      <xdr:rowOff>38100</xdr:rowOff>
    </xdr:from>
    <xdr:to>
      <xdr:col>24</xdr:col>
      <xdr:colOff>473075</xdr:colOff>
      <xdr:row>24</xdr:row>
      <xdr:rowOff>88900</xdr:rowOff>
    </xdr:to>
    <xdr:graphicFrame macro="">
      <xdr:nvGraphicFramePr>
        <xdr:cNvPr id="5" name="图表 4">
          <a:extLst>
            <a:ext uri="{FF2B5EF4-FFF2-40B4-BE49-F238E27FC236}">
              <a16:creationId xmlns:a16="http://schemas.microsoft.com/office/drawing/2014/main" id="{00000000-0008-0000-0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95250</xdr:colOff>
      <xdr:row>8</xdr:row>
      <xdr:rowOff>103188</xdr:rowOff>
    </xdr:from>
    <xdr:to>
      <xdr:col>5</xdr:col>
      <xdr:colOff>1714500</xdr:colOff>
      <xdr:row>11</xdr:row>
      <xdr:rowOff>31750</xdr:rowOff>
    </xdr:to>
    <xdr:sp macro="" textlink="">
      <xdr:nvSpPr>
        <xdr:cNvPr id="2" name="右箭头 1">
          <a:extLst>
            <a:ext uri="{FF2B5EF4-FFF2-40B4-BE49-F238E27FC236}">
              <a16:creationId xmlns:a16="http://schemas.microsoft.com/office/drawing/2014/main" id="{00000000-0008-0000-1000-000002000000}"/>
            </a:ext>
          </a:extLst>
        </xdr:cNvPr>
        <xdr:cNvSpPr/>
      </xdr:nvSpPr>
      <xdr:spPr>
        <a:xfrm>
          <a:off x="4021667" y="1658938"/>
          <a:ext cx="1619250" cy="46831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171901</xdr:colOff>
      <xdr:row>52</xdr:row>
      <xdr:rowOff>119074</xdr:rowOff>
    </xdr:from>
    <xdr:to>
      <xdr:col>4</xdr:col>
      <xdr:colOff>740833</xdr:colOff>
      <xdr:row>68</xdr:row>
      <xdr:rowOff>47783</xdr:rowOff>
    </xdr:to>
    <xdr:graphicFrame macro="">
      <xdr:nvGraphicFramePr>
        <xdr:cNvPr id="3" name="图表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433480</xdr:colOff>
      <xdr:row>52</xdr:row>
      <xdr:rowOff>101470</xdr:rowOff>
    </xdr:from>
    <xdr:to>
      <xdr:col>13</xdr:col>
      <xdr:colOff>653437</xdr:colOff>
      <xdr:row>68</xdr:row>
      <xdr:rowOff>34457</xdr:rowOff>
    </xdr:to>
    <xdr:graphicFrame macro="">
      <xdr:nvGraphicFramePr>
        <xdr:cNvPr id="4" name="图表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910167</xdr:colOff>
      <xdr:row>52</xdr:row>
      <xdr:rowOff>118906</xdr:rowOff>
    </xdr:from>
    <xdr:to>
      <xdr:col>8</xdr:col>
      <xdr:colOff>336721</xdr:colOff>
      <xdr:row>68</xdr:row>
      <xdr:rowOff>48237</xdr:rowOff>
    </xdr:to>
    <xdr:graphicFrame macro="">
      <xdr:nvGraphicFramePr>
        <xdr:cNvPr id="5" name="图表 4">
          <a:extLst>
            <a:ext uri="{FF2B5EF4-FFF2-40B4-BE49-F238E27FC236}">
              <a16:creationId xmlns:a16="http://schemas.microsoft.com/office/drawing/2014/main" id="{00000000-0008-0000-1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7470</xdr:colOff>
      <xdr:row>1</xdr:row>
      <xdr:rowOff>0</xdr:rowOff>
    </xdr:from>
    <xdr:to>
      <xdr:col>12</xdr:col>
      <xdr:colOff>366059</xdr:colOff>
      <xdr:row>5</xdr:row>
      <xdr:rowOff>59764</xdr:rowOff>
    </xdr:to>
    <xdr:cxnSp macro="">
      <xdr:nvCxnSpPr>
        <xdr:cNvPr id="7" name="直接箭头连接符 6">
          <a:extLst>
            <a:ext uri="{FF2B5EF4-FFF2-40B4-BE49-F238E27FC236}">
              <a16:creationId xmlns:a16="http://schemas.microsoft.com/office/drawing/2014/main" id="{00000000-0008-0000-1000-000007000000}"/>
            </a:ext>
          </a:extLst>
        </xdr:cNvPr>
        <xdr:cNvCxnSpPr/>
      </xdr:nvCxnSpPr>
      <xdr:spPr>
        <a:xfrm flipH="1">
          <a:off x="15523882" y="373529"/>
          <a:ext cx="1016001" cy="118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346636</xdr:colOff>
      <xdr:row>1</xdr:row>
      <xdr:rowOff>0</xdr:rowOff>
    </xdr:from>
    <xdr:to>
      <xdr:col>16</xdr:col>
      <xdr:colOff>425823</xdr:colOff>
      <xdr:row>5</xdr:row>
      <xdr:rowOff>134470</xdr:rowOff>
    </xdr:to>
    <xdr:cxnSp macro="">
      <xdr:nvCxnSpPr>
        <xdr:cNvPr id="9" name="直接箭头连接符 8">
          <a:extLst>
            <a:ext uri="{FF2B5EF4-FFF2-40B4-BE49-F238E27FC236}">
              <a16:creationId xmlns:a16="http://schemas.microsoft.com/office/drawing/2014/main" id="{00000000-0008-0000-1000-000009000000}"/>
            </a:ext>
          </a:extLst>
        </xdr:cNvPr>
        <xdr:cNvCxnSpPr/>
      </xdr:nvCxnSpPr>
      <xdr:spPr>
        <a:xfrm>
          <a:off x="18701871" y="354105"/>
          <a:ext cx="736599" cy="12744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84667</xdr:colOff>
      <xdr:row>6</xdr:row>
      <xdr:rowOff>158750</xdr:rowOff>
    </xdr:from>
    <xdr:ext cx="1715662" cy="280205"/>
    <xdr:sp macro="" textlink="">
      <xdr:nvSpPr>
        <xdr:cNvPr id="13" name="文本框 12">
          <a:extLst>
            <a:ext uri="{FF2B5EF4-FFF2-40B4-BE49-F238E27FC236}">
              <a16:creationId xmlns:a16="http://schemas.microsoft.com/office/drawing/2014/main" id="{00000000-0008-0000-1000-00000D000000}"/>
            </a:ext>
          </a:extLst>
        </xdr:cNvPr>
        <xdr:cNvSpPr txBox="1"/>
      </xdr:nvSpPr>
      <xdr:spPr>
        <a:xfrm>
          <a:off x="4011084" y="1354667"/>
          <a:ext cx="171566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200"/>
            <a:t>Breakdown by Fuel Type</a:t>
          </a:r>
          <a:endParaRPr lang="zh-CN" altLang="en-US" sz="1200"/>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31</xdr:col>
      <xdr:colOff>749998</xdr:colOff>
      <xdr:row>129</xdr:row>
      <xdr:rowOff>89402</xdr:rowOff>
    </xdr:from>
    <xdr:to>
      <xdr:col>34</xdr:col>
      <xdr:colOff>354424</xdr:colOff>
      <xdr:row>132</xdr:row>
      <xdr:rowOff>24616</xdr:rowOff>
    </xdr:to>
    <xdr:sp macro="" textlink="">
      <xdr:nvSpPr>
        <xdr:cNvPr id="3" name="右箭头 2">
          <a:extLst>
            <a:ext uri="{FF2B5EF4-FFF2-40B4-BE49-F238E27FC236}">
              <a16:creationId xmlns:a16="http://schemas.microsoft.com/office/drawing/2014/main" id="{00000000-0008-0000-1200-000003000000}"/>
            </a:ext>
          </a:extLst>
        </xdr:cNvPr>
        <xdr:cNvSpPr/>
      </xdr:nvSpPr>
      <xdr:spPr>
        <a:xfrm>
          <a:off x="26568351" y="13999637"/>
          <a:ext cx="2024897" cy="47309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kustconnect-my.sharepoint.com/Users/lawrenceiu/Downloads/20190110%206pm%20TLG_HK%20emissions%20Dataset_0801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ser\Documents\WeChat%20Files\yz761241\FileStorage\File\2019-09\PCM%2020190611%20Li(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otal emissions"/>
      <sheetName val="Emission intensity"/>
      <sheetName val="Electricity emissions"/>
      <sheetName val="Electricity emission by sector"/>
      <sheetName val="Transport emissions"/>
      <sheetName val="Gas emissions"/>
      <sheetName val="Emissions by technology"/>
      <sheetName val="Demand forecast"/>
      <sheetName val="Future supply"/>
    </sheetNames>
    <sheetDataSet>
      <sheetData sheetId="0" refreshError="1"/>
      <sheetData sheetId="1" refreshError="1"/>
      <sheetData sheetId="2" refreshError="1"/>
      <sheetData sheetId="3">
        <row r="38">
          <cell r="H38">
            <v>0.55279387856548279</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AMEWORK"/>
      <sheetName val="GHG &amp; Energy rpt"/>
      <sheetName val="Results summary rpt"/>
      <sheetName val="Result Report"/>
      <sheetName val="Key parameters rpt"/>
      <sheetName val="Sheet4"/>
      <sheetName val="2016 Data Source"/>
      <sheetName val="Pivot_Table"/>
      <sheetName val="Population and GDP"/>
      <sheetName val="Population and GDP (1)"/>
      <sheetName val="Sheet3"/>
      <sheetName val="Building"/>
      <sheetName val="Transport"/>
      <sheetName val="Transport-1"/>
      <sheetName val="Transport-2"/>
      <sheetName val="Electricity"/>
      <sheetName val="Waste"/>
      <sheetName val="PMC ref file ---&gt;"/>
      <sheetName val="Trans rough work"/>
      <sheetName val="Trans analysis"/>
      <sheetName val="EF-1"/>
      <sheetName val="Elc"/>
      <sheetName val="Housing demand"/>
      <sheetName val="Commerical demand"/>
      <sheetName val="Elderly &amp; Children pax trips"/>
      <sheetName val="Marine VKM"/>
      <sheetName val="Sheet1"/>
      <sheetName val="Sheet2"/>
      <sheetName val="data demand"/>
    </sheetNames>
    <sheetDataSet>
      <sheetData sheetId="0">
        <row r="2">
          <cell r="B2">
            <v>43599</v>
          </cell>
          <cell r="D2" t="str">
            <v>Core higher population</v>
          </cell>
        </row>
      </sheetData>
      <sheetData sheetId="1"/>
      <sheetData sheetId="2"/>
      <sheetData sheetId="3"/>
      <sheetData sheetId="4">
        <row r="25">
          <cell r="O25">
            <v>0.4</v>
          </cell>
        </row>
        <row r="26">
          <cell r="O26">
            <v>0.6</v>
          </cell>
        </row>
        <row r="27">
          <cell r="O27">
            <v>2174901.2425941145</v>
          </cell>
        </row>
        <row r="28">
          <cell r="O28">
            <v>2121852.1582866181</v>
          </cell>
        </row>
        <row r="30">
          <cell r="O30">
            <v>5.9026996398998897</v>
          </cell>
        </row>
        <row r="31">
          <cell r="O31">
            <v>3.6728616334859097</v>
          </cell>
        </row>
        <row r="33">
          <cell r="O33">
            <v>0.1</v>
          </cell>
        </row>
        <row r="34">
          <cell r="O34">
            <v>0.5</v>
          </cell>
        </row>
        <row r="35">
          <cell r="O35">
            <v>0.35</v>
          </cell>
        </row>
        <row r="36">
          <cell r="O36">
            <v>0.55000000000000004</v>
          </cell>
        </row>
        <row r="37">
          <cell r="O37">
            <v>0.08</v>
          </cell>
        </row>
        <row r="38">
          <cell r="O38">
            <v>0.15</v>
          </cell>
        </row>
        <row r="39">
          <cell r="O39">
            <v>2.21</v>
          </cell>
        </row>
        <row r="40">
          <cell r="O40">
            <v>0.05</v>
          </cell>
        </row>
        <row r="41">
          <cell r="O41">
            <v>0</v>
          </cell>
        </row>
        <row r="42">
          <cell r="O42">
            <v>1</v>
          </cell>
        </row>
        <row r="43">
          <cell r="O43">
            <v>0</v>
          </cell>
        </row>
      </sheetData>
      <sheetData sheetId="5"/>
      <sheetData sheetId="6"/>
      <sheetData sheetId="7"/>
      <sheetData sheetId="8">
        <row r="6">
          <cell r="E6">
            <v>7116800</v>
          </cell>
        </row>
        <row r="41">
          <cell r="E41">
            <v>9066500</v>
          </cell>
        </row>
      </sheetData>
      <sheetData sheetId="9"/>
      <sheetData sheetId="10"/>
      <sheetData sheetId="11"/>
      <sheetData sheetId="12"/>
      <sheetData sheetId="13"/>
      <sheetData sheetId="14"/>
      <sheetData sheetId="15">
        <row r="6">
          <cell r="K6">
            <v>8.765039029278613E-3</v>
          </cell>
        </row>
        <row r="94">
          <cell r="I94">
            <v>0.59421285392666068</v>
          </cell>
        </row>
      </sheetData>
      <sheetData sheetId="16"/>
      <sheetData sheetId="17"/>
      <sheetData sheetId="18"/>
      <sheetData sheetId="19"/>
      <sheetData sheetId="20">
        <row r="5">
          <cell r="R5">
            <v>3600000</v>
          </cell>
        </row>
        <row r="6">
          <cell r="R6">
            <v>2.7777777777777776E-7</v>
          </cell>
        </row>
        <row r="7">
          <cell r="R7">
            <v>35588000</v>
          </cell>
        </row>
        <row r="8">
          <cell r="R8">
            <v>2.8099359334607172E-8</v>
          </cell>
        </row>
        <row r="20">
          <cell r="S20" t="str">
            <v>Mj / L</v>
          </cell>
        </row>
      </sheetData>
      <sheetData sheetId="21"/>
      <sheetData sheetId="22"/>
      <sheetData sheetId="23">
        <row r="46">
          <cell r="D46">
            <v>4819866.666666667</v>
          </cell>
        </row>
        <row r="47">
          <cell r="D47">
            <v>5034266.666666667</v>
          </cell>
        </row>
        <row r="48">
          <cell r="D48">
            <v>3552000</v>
          </cell>
        </row>
        <row r="49">
          <cell r="D49">
            <v>1953866.6666666667</v>
          </cell>
        </row>
        <row r="50">
          <cell r="D50">
            <v>14844266.666666666</v>
          </cell>
        </row>
        <row r="51">
          <cell r="D51">
            <v>16850133.333333332</v>
          </cell>
        </row>
        <row r="52">
          <cell r="D52">
            <v>22305466.666666668</v>
          </cell>
        </row>
      </sheetData>
      <sheetData sheetId="24"/>
      <sheetData sheetId="25"/>
      <sheetData sheetId="26"/>
      <sheetData sheetId="27"/>
      <sheetData sheetId="28"/>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pland.gov.hk/pland_en/p_study/comp_s/hk2030/eng/finalreport/" TargetMode="External"/><Relationship Id="rId2" Type="http://schemas.openxmlformats.org/officeDocument/2006/relationships/hyperlink" Target="https://www.censtatd.gov.hk/hkstat/sub/sp190.jsp?productCode=D5320185" TargetMode="External"/><Relationship Id="rId1" Type="http://schemas.openxmlformats.org/officeDocument/2006/relationships/hyperlink" Target="https://www.censtatd.gov.hk/hkstat/sub/sp150.jsp?tableID=005&amp;ID=0&amp;productType=8" TargetMode="External"/><Relationship Id="rId4" Type="http://schemas.openxmlformats.org/officeDocument/2006/relationships/hyperlink" Target="https://www.bycensus2016.gov.hk/en/bc-mt.html?search=E129c"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www.emsd.gov.hk/energyland/en/building/district_cooling_sys/dcs_benefits.html"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5.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1"/>
  <sheetViews>
    <sheetView tabSelected="1" topLeftCell="A10" workbookViewId="0">
      <selection activeCell="B9" sqref="B9"/>
    </sheetView>
  </sheetViews>
  <sheetFormatPr defaultRowHeight="15"/>
  <cols>
    <col min="1" max="1" width="12.140625" customWidth="1"/>
    <col min="2" max="2" width="46.42578125" customWidth="1"/>
    <col min="6" max="6" width="58.85546875" customWidth="1"/>
  </cols>
  <sheetData>
    <row r="1" spans="1:6">
      <c r="A1" s="18" t="s">
        <v>91</v>
      </c>
    </row>
    <row r="2" spans="1:6">
      <c r="A2" s="18"/>
      <c r="B2" s="65" t="s">
        <v>654</v>
      </c>
      <c r="C2" t="s">
        <v>655</v>
      </c>
    </row>
    <row r="3" spans="1:6">
      <c r="B3" t="s">
        <v>92</v>
      </c>
    </row>
    <row r="4" spans="1:6">
      <c r="B4" s="66" t="s">
        <v>93</v>
      </c>
    </row>
    <row r="5" spans="1:6">
      <c r="B5" s="67" t="s">
        <v>90</v>
      </c>
    </row>
    <row r="6" spans="1:6">
      <c r="B6" t="s">
        <v>94</v>
      </c>
    </row>
    <row r="8" spans="1:6" s="103" customFormat="1">
      <c r="B8" s="104" t="s">
        <v>653</v>
      </c>
      <c r="F8" s="104" t="s">
        <v>537</v>
      </c>
    </row>
    <row r="9" spans="1:6" s="103" customFormat="1">
      <c r="B9" s="103" t="s">
        <v>979</v>
      </c>
      <c r="F9" s="103" t="s">
        <v>534</v>
      </c>
    </row>
    <row r="10" spans="1:6" s="103" customFormat="1">
      <c r="B10" s="105">
        <v>2017</v>
      </c>
      <c r="F10" s="105">
        <v>2017</v>
      </c>
    </row>
    <row r="11" spans="1:6" s="103" customFormat="1">
      <c r="B11" s="103" t="s">
        <v>536</v>
      </c>
      <c r="F11" s="103" t="s">
        <v>533</v>
      </c>
    </row>
    <row r="12" spans="1:6" s="103" customFormat="1">
      <c r="B12" s="111" t="s">
        <v>535</v>
      </c>
      <c r="F12" s="103" t="s">
        <v>532</v>
      </c>
    </row>
    <row r="13" spans="1:6" s="103" customFormat="1"/>
    <row r="14" spans="1:6">
      <c r="B14" s="104" t="s">
        <v>651</v>
      </c>
      <c r="F14" s="104" t="s">
        <v>652</v>
      </c>
    </row>
    <row r="15" spans="1:6">
      <c r="B15" s="103" t="s">
        <v>484</v>
      </c>
      <c r="F15" s="103" t="s">
        <v>484</v>
      </c>
    </row>
    <row r="16" spans="1:6">
      <c r="B16" s="105">
        <v>2019</v>
      </c>
      <c r="F16" s="105">
        <v>2019</v>
      </c>
    </row>
    <row r="17" spans="1:6">
      <c r="B17" s="103" t="s">
        <v>647</v>
      </c>
      <c r="F17" s="103" t="s">
        <v>648</v>
      </c>
    </row>
    <row r="18" spans="1:6">
      <c r="B18" s="111" t="s">
        <v>486</v>
      </c>
      <c r="F18" s="111" t="s">
        <v>485</v>
      </c>
    </row>
    <row r="19" spans="1:6" s="103" customFormat="1">
      <c r="B19" s="111"/>
      <c r="F19" s="111"/>
    </row>
    <row r="20" spans="1:6" s="103" customFormat="1">
      <c r="B20" s="104" t="s">
        <v>650</v>
      </c>
      <c r="F20" s="111"/>
    </row>
    <row r="21" spans="1:6" s="103" customFormat="1">
      <c r="B21" s="103" t="s">
        <v>676</v>
      </c>
      <c r="F21" s="111"/>
    </row>
    <row r="22" spans="1:6" s="103" customFormat="1">
      <c r="B22" s="105">
        <v>2017</v>
      </c>
      <c r="F22" s="111"/>
    </row>
    <row r="23" spans="1:6" s="103" customFormat="1">
      <c r="B23" s="103" t="s">
        <v>646</v>
      </c>
      <c r="F23" s="111"/>
    </row>
    <row r="24" spans="1:6" s="103" customFormat="1">
      <c r="B24" s="111" t="s">
        <v>649</v>
      </c>
      <c r="F24" s="111"/>
    </row>
    <row r="25" spans="1:6" s="103" customFormat="1">
      <c r="B25" s="111"/>
      <c r="F25" s="111"/>
    </row>
    <row r="26" spans="1:6" s="103" customFormat="1">
      <c r="B26" s="104" t="s">
        <v>739</v>
      </c>
      <c r="F26" s="111"/>
    </row>
    <row r="27" spans="1:6" s="103" customFormat="1">
      <c r="B27" s="669" t="s">
        <v>740</v>
      </c>
      <c r="F27" s="111"/>
    </row>
    <row r="28" spans="1:6" s="103" customFormat="1">
      <c r="B28" s="670">
        <v>2017</v>
      </c>
      <c r="F28" s="111"/>
    </row>
    <row r="29" spans="1:6" s="103" customFormat="1">
      <c r="B29" s="669" t="s">
        <v>741</v>
      </c>
      <c r="F29" s="111"/>
    </row>
    <row r="30" spans="1:6" s="103" customFormat="1">
      <c r="B30" s="111"/>
      <c r="F30" s="111"/>
    </row>
    <row r="31" spans="1:6">
      <c r="B31" s="111"/>
    </row>
    <row r="32" spans="1:6">
      <c r="A32" s="60" t="s">
        <v>658</v>
      </c>
    </row>
    <row r="33" spans="1:3">
      <c r="A33" s="60" t="s">
        <v>538</v>
      </c>
    </row>
    <row r="34" spans="1:3">
      <c r="A34" t="s">
        <v>95</v>
      </c>
    </row>
    <row r="35" spans="1:3">
      <c r="A35" t="s">
        <v>96</v>
      </c>
      <c r="B35" t="s">
        <v>721</v>
      </c>
    </row>
    <row r="36" spans="1:3">
      <c r="B36" t="s">
        <v>97</v>
      </c>
    </row>
    <row r="37" spans="1:3">
      <c r="C37" t="s">
        <v>98</v>
      </c>
    </row>
    <row r="38" spans="1:3" ht="14.45" customHeight="1">
      <c r="C38" t="s">
        <v>99</v>
      </c>
    </row>
    <row r="39" spans="1:3">
      <c r="C39" t="s">
        <v>100</v>
      </c>
    </row>
    <row r="40" spans="1:3">
      <c r="A40" s="60" t="s">
        <v>539</v>
      </c>
    </row>
    <row r="41" spans="1:3">
      <c r="A41" t="s">
        <v>487</v>
      </c>
      <c r="B41" t="s">
        <v>722</v>
      </c>
    </row>
    <row r="42" spans="1:3">
      <c r="B42" t="s">
        <v>723</v>
      </c>
    </row>
    <row r="43" spans="1:3">
      <c r="B43" t="s">
        <v>540</v>
      </c>
    </row>
    <row r="44" spans="1:3">
      <c r="A44" s="60" t="s">
        <v>680</v>
      </c>
    </row>
    <row r="45" spans="1:3">
      <c r="A45" t="s">
        <v>681</v>
      </c>
      <c r="B45" t="s">
        <v>682</v>
      </c>
    </row>
    <row r="46" spans="1:3">
      <c r="B46" t="s">
        <v>683</v>
      </c>
    </row>
    <row r="47" spans="1:3">
      <c r="A47" s="60" t="s">
        <v>684</v>
      </c>
    </row>
    <row r="48" spans="1:3">
      <c r="A48" s="103" t="s">
        <v>744</v>
      </c>
      <c r="B48" t="s">
        <v>724</v>
      </c>
    </row>
    <row r="49" spans="1:2">
      <c r="B49" t="s">
        <v>725</v>
      </c>
    </row>
    <row r="50" spans="1:2">
      <c r="B50" t="s">
        <v>742</v>
      </c>
    </row>
    <row r="51" spans="1:2">
      <c r="B51" t="s">
        <v>743</v>
      </c>
    </row>
    <row r="52" spans="1:2">
      <c r="A52" s="60" t="s">
        <v>757</v>
      </c>
    </row>
    <row r="53" spans="1:2">
      <c r="A53" t="s">
        <v>758</v>
      </c>
      <c r="B53" t="s">
        <v>769</v>
      </c>
    </row>
    <row r="54" spans="1:2">
      <c r="B54" t="s">
        <v>770</v>
      </c>
    </row>
    <row r="55" spans="1:2">
      <c r="B55" t="s">
        <v>768</v>
      </c>
    </row>
    <row r="56" spans="1:2">
      <c r="B56" t="s">
        <v>767</v>
      </c>
    </row>
    <row r="58" spans="1:2">
      <c r="A58" s="60" t="s">
        <v>966</v>
      </c>
    </row>
    <row r="59" spans="1:2">
      <c r="A59" t="s">
        <v>771</v>
      </c>
      <c r="B59" t="s">
        <v>967</v>
      </c>
    </row>
    <row r="60" spans="1:2">
      <c r="B60" t="s">
        <v>772</v>
      </c>
    </row>
    <row r="61" spans="1:2">
      <c r="B61" t="s">
        <v>968</v>
      </c>
    </row>
  </sheetData>
  <phoneticPr fontId="3" type="noConversion"/>
  <hyperlinks>
    <hyperlink ref="B18" r:id="rId1" xr:uid="{00000000-0004-0000-0000-000000000000}"/>
    <hyperlink ref="F18" r:id="rId2" xr:uid="{00000000-0004-0000-0000-000001000000}"/>
    <hyperlink ref="B12" r:id="rId3" xr:uid="{00000000-0004-0000-0000-000002000000}"/>
    <hyperlink ref="B24" r:id="rId4" xr:uid="{00000000-0004-0000-0000-000003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1"/>
  <sheetViews>
    <sheetView workbookViewId="0">
      <selection activeCell="D11" sqref="D11"/>
    </sheetView>
  </sheetViews>
  <sheetFormatPr defaultRowHeight="15"/>
  <cols>
    <col min="2" max="2" width="12.28515625" customWidth="1"/>
  </cols>
  <sheetData>
    <row r="1" spans="1:2">
      <c r="A1" s="18" t="s">
        <v>969</v>
      </c>
    </row>
    <row r="2" spans="1:2" s="103" customFormat="1">
      <c r="A2" s="103" t="s">
        <v>773</v>
      </c>
    </row>
    <row r="3" spans="1:2" s="103" customFormat="1">
      <c r="B3" s="103" t="s">
        <v>780</v>
      </c>
    </row>
    <row r="4" spans="1:2" s="103" customFormat="1">
      <c r="A4" s="103" t="s">
        <v>774</v>
      </c>
    </row>
    <row r="5" spans="1:2" s="103" customFormat="1">
      <c r="A5" s="103" t="s">
        <v>775</v>
      </c>
    </row>
    <row r="6" spans="1:2" s="103" customFormat="1"/>
    <row r="7" spans="1:2">
      <c r="A7" s="59"/>
    </row>
    <row r="8" spans="1:2">
      <c r="A8" s="60" t="s">
        <v>778</v>
      </c>
    </row>
    <row r="9" spans="1:2">
      <c r="A9" s="59" t="s">
        <v>776</v>
      </c>
    </row>
    <row r="10" spans="1:2">
      <c r="A10" s="59" t="s">
        <v>777</v>
      </c>
    </row>
    <row r="11" spans="1:2">
      <c r="A11" s="59" t="s">
        <v>799</v>
      </c>
    </row>
    <row r="12" spans="1:2">
      <c r="A12" s="59" t="s">
        <v>779</v>
      </c>
    </row>
    <row r="13" spans="1:2" s="103" customFormat="1">
      <c r="A13" s="59" t="s">
        <v>970</v>
      </c>
    </row>
    <row r="14" spans="1:2" s="103" customFormat="1">
      <c r="A14" s="59"/>
    </row>
    <row r="15" spans="1:2" s="103" customFormat="1" ht="13.5" customHeight="1">
      <c r="A15" s="60" t="s">
        <v>781</v>
      </c>
    </row>
    <row r="16" spans="1:2" s="103" customFormat="1" ht="13.5" customHeight="1">
      <c r="A16" s="103" t="s">
        <v>782</v>
      </c>
    </row>
    <row r="17" spans="1:12" s="103" customFormat="1" ht="13.5" customHeight="1">
      <c r="A17" s="103" t="s">
        <v>783</v>
      </c>
    </row>
    <row r="18" spans="1:12" s="103" customFormat="1" ht="13.5" customHeight="1">
      <c r="A18" s="103" t="s">
        <v>784</v>
      </c>
    </row>
    <row r="19" spans="1:12" s="103" customFormat="1" ht="13.5" customHeight="1">
      <c r="A19" s="103" t="s">
        <v>785</v>
      </c>
    </row>
    <row r="20" spans="1:12" s="103" customFormat="1" ht="13.5" customHeight="1">
      <c r="A20" s="103" t="s">
        <v>786</v>
      </c>
    </row>
    <row r="21" spans="1:12" s="103" customFormat="1" ht="15.6" customHeight="1">
      <c r="A21" s="573" t="s">
        <v>787</v>
      </c>
      <c r="B21" s="574"/>
      <c r="C21" s="574"/>
      <c r="D21" s="574"/>
      <c r="E21" s="574"/>
      <c r="F21" s="574"/>
      <c r="G21" s="574"/>
      <c r="H21" s="574"/>
      <c r="I21" s="574"/>
      <c r="J21" s="574"/>
      <c r="K21" s="574"/>
      <c r="L21" s="574"/>
    </row>
    <row r="22" spans="1:12" s="103" customFormat="1" ht="13.5" customHeight="1">
      <c r="A22" s="103" t="s">
        <v>788</v>
      </c>
    </row>
    <row r="27" spans="1:12">
      <c r="A27" s="103"/>
    </row>
    <row r="51" spans="1:1">
      <c r="A51" t="s">
        <v>664</v>
      </c>
    </row>
  </sheetData>
  <mergeCells count="1">
    <mergeCell ref="A21:L21"/>
  </mergeCells>
  <phoneticPr fontId="3"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18"/>
  <sheetViews>
    <sheetView zoomScale="92" workbookViewId="0">
      <selection activeCell="E23" sqref="E23"/>
    </sheetView>
  </sheetViews>
  <sheetFormatPr defaultRowHeight="15"/>
  <sheetData>
    <row r="2" spans="1:1">
      <c r="A2" s="111" t="s">
        <v>541</v>
      </c>
    </row>
    <row r="3" spans="1:1">
      <c r="A3" t="s">
        <v>542</v>
      </c>
    </row>
    <row r="4" spans="1:1">
      <c r="A4" s="111" t="s">
        <v>543</v>
      </c>
    </row>
    <row r="5" spans="1:1">
      <c r="A5" s="111" t="s">
        <v>544</v>
      </c>
    </row>
    <row r="6" spans="1:1">
      <c r="A6" s="111" t="s">
        <v>545</v>
      </c>
    </row>
    <row r="7" spans="1:1">
      <c r="A7" s="111" t="s">
        <v>546</v>
      </c>
    </row>
    <row r="8" spans="1:1">
      <c r="A8" s="111" t="s">
        <v>547</v>
      </c>
    </row>
    <row r="9" spans="1:1">
      <c r="A9" s="111" t="s">
        <v>548</v>
      </c>
    </row>
    <row r="10" spans="1:1">
      <c r="A10" s="111" t="s">
        <v>549</v>
      </c>
    </row>
    <row r="11" spans="1:1">
      <c r="A11" s="111" t="s">
        <v>550</v>
      </c>
    </row>
    <row r="12" spans="1:1">
      <c r="A12" s="111" t="s">
        <v>551</v>
      </c>
    </row>
    <row r="13" spans="1:1">
      <c r="A13" s="111" t="s">
        <v>552</v>
      </c>
    </row>
    <row r="14" spans="1:1">
      <c r="A14" s="111" t="s">
        <v>553</v>
      </c>
    </row>
    <row r="15" spans="1:1">
      <c r="A15" s="111" t="s">
        <v>554</v>
      </c>
    </row>
    <row r="16" spans="1:1">
      <c r="A16" s="111" t="s">
        <v>555</v>
      </c>
    </row>
    <row r="17" spans="1:1">
      <c r="A17" s="111" t="s">
        <v>556</v>
      </c>
    </row>
    <row r="18" spans="1:1">
      <c r="A18" s="111" t="s">
        <v>86</v>
      </c>
    </row>
  </sheetData>
  <phoneticPr fontId="3" type="noConversion"/>
  <hyperlinks>
    <hyperlink ref="A2" location="About!A1" display="About" xr:uid="{00000000-0004-0000-0200-000000000000}"/>
    <hyperlink ref="A4" location="Household_Histo!A1" display="Household_Histo" xr:uid="{00000000-0004-0000-0200-000001000000}"/>
    <hyperlink ref="A5" location="Household_Pred!A1" display="Household_Pred" xr:uid="{00000000-0004-0000-0200-000002000000}"/>
    <hyperlink ref="A6" location="Energy8Sec!A1" display="Energy8Sec" xr:uid="{00000000-0004-0000-0200-000003000000}"/>
    <hyperlink ref="A7" location="Residential8Fuel!A1" display="Residential8Fuel" xr:uid="{00000000-0004-0000-0200-000004000000}"/>
    <hyperlink ref="A8" location="Commercial8Fuel!A1" display="Commercial8Fuel" xr:uid="{00000000-0004-0000-0200-000005000000}"/>
    <hyperlink ref="A9" location="Residential8EndUse!A1" display="Residential8EndUse" xr:uid="{00000000-0004-0000-0200-000006000000}"/>
    <hyperlink ref="A10" location="Commercial8EndUse!A1" display="Commercial8EndUse" xr:uid="{00000000-0004-0000-0200-000007000000}"/>
    <hyperlink ref="A11" location="Commercial!A1" display="Commercial" xr:uid="{00000000-0004-0000-0200-000008000000}"/>
    <hyperlink ref="A12" location="Residential!A1" display="Residential" xr:uid="{00000000-0004-0000-0200-000009000000}"/>
    <hyperlink ref="A13" location="'Future Pred'!A1" display="Future Pred" xr:uid="{00000000-0004-0000-0200-00000A000000}"/>
    <hyperlink ref="A14" location="'Future Data'!A1" display="Futre Data" xr:uid="{00000000-0004-0000-0200-00000B000000}"/>
    <hyperlink ref="A15" location="'transition for STATA'!A1" display="transition for STATA" xr:uid="{00000000-0004-0000-0200-00000C000000}"/>
    <hyperlink ref="A16" location="'STATA Reg Result'!A1" display="STATA Reg Result" xr:uid="{00000000-0004-0000-0200-00000D000000}"/>
    <hyperlink ref="A17" location="'BTU Factor'!A1" display="BTU Factor " xr:uid="{00000000-0004-0000-0200-00000E000000}"/>
    <hyperlink ref="A18" location="Note!A1" display="Note" xr:uid="{00000000-0004-0000-0200-00000F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403"/>
  <sheetViews>
    <sheetView zoomScaleNormal="100" workbookViewId="0">
      <selection activeCell="F21" sqref="F21"/>
    </sheetView>
  </sheetViews>
  <sheetFormatPr defaultRowHeight="12.75"/>
  <cols>
    <col min="1" max="1" width="7.42578125" style="110" customWidth="1"/>
    <col min="2" max="2" width="4.28515625" style="110" bestFit="1" customWidth="1"/>
    <col min="3" max="3" width="19.140625" style="110" customWidth="1"/>
    <col min="4" max="4" width="15.140625" style="110" customWidth="1"/>
    <col min="5" max="5" width="15.7109375" style="110" customWidth="1"/>
    <col min="6" max="7" width="30.42578125" style="110" customWidth="1"/>
    <col min="8" max="256" width="8.7109375" style="110"/>
    <col min="257" max="257" width="7.42578125" style="110" customWidth="1"/>
    <col min="258" max="258" width="8.85546875" style="110" customWidth="1"/>
    <col min="259" max="259" width="30.7109375" style="110" customWidth="1"/>
    <col min="260" max="260" width="26.5703125" style="110" customWidth="1"/>
    <col min="261" max="263" width="30.42578125" style="110" customWidth="1"/>
    <col min="264" max="512" width="8.7109375" style="110"/>
    <col min="513" max="513" width="7.42578125" style="110" customWidth="1"/>
    <col min="514" max="514" width="8.85546875" style="110" customWidth="1"/>
    <col min="515" max="515" width="30.7109375" style="110" customWidth="1"/>
    <col min="516" max="516" width="26.5703125" style="110" customWidth="1"/>
    <col min="517" max="519" width="30.42578125" style="110" customWidth="1"/>
    <col min="520" max="768" width="8.7109375" style="110"/>
    <col min="769" max="769" width="7.42578125" style="110" customWidth="1"/>
    <col min="770" max="770" width="8.85546875" style="110" customWidth="1"/>
    <col min="771" max="771" width="30.7109375" style="110" customWidth="1"/>
    <col min="772" max="772" width="26.5703125" style="110" customWidth="1"/>
    <col min="773" max="775" width="30.42578125" style="110" customWidth="1"/>
    <col min="776" max="1024" width="8.7109375" style="110"/>
    <col min="1025" max="1025" width="7.42578125" style="110" customWidth="1"/>
    <col min="1026" max="1026" width="8.85546875" style="110" customWidth="1"/>
    <col min="1027" max="1027" width="30.7109375" style="110" customWidth="1"/>
    <col min="1028" max="1028" width="26.5703125" style="110" customWidth="1"/>
    <col min="1029" max="1031" width="30.42578125" style="110" customWidth="1"/>
    <col min="1032" max="1280" width="8.7109375" style="110"/>
    <col min="1281" max="1281" width="7.42578125" style="110" customWidth="1"/>
    <col min="1282" max="1282" width="8.85546875" style="110" customWidth="1"/>
    <col min="1283" max="1283" width="30.7109375" style="110" customWidth="1"/>
    <col min="1284" max="1284" width="26.5703125" style="110" customWidth="1"/>
    <col min="1285" max="1287" width="30.42578125" style="110" customWidth="1"/>
    <col min="1288" max="1536" width="8.7109375" style="110"/>
    <col min="1537" max="1537" width="7.42578125" style="110" customWidth="1"/>
    <col min="1538" max="1538" width="8.85546875" style="110" customWidth="1"/>
    <col min="1539" max="1539" width="30.7109375" style="110" customWidth="1"/>
    <col min="1540" max="1540" width="26.5703125" style="110" customWidth="1"/>
    <col min="1541" max="1543" width="30.42578125" style="110" customWidth="1"/>
    <col min="1544" max="1792" width="8.7109375" style="110"/>
    <col min="1793" max="1793" width="7.42578125" style="110" customWidth="1"/>
    <col min="1794" max="1794" width="8.85546875" style="110" customWidth="1"/>
    <col min="1795" max="1795" width="30.7109375" style="110" customWidth="1"/>
    <col min="1796" max="1796" width="26.5703125" style="110" customWidth="1"/>
    <col min="1797" max="1799" width="30.42578125" style="110" customWidth="1"/>
    <col min="1800" max="2048" width="8.7109375" style="110"/>
    <col min="2049" max="2049" width="7.42578125" style="110" customWidth="1"/>
    <col min="2050" max="2050" width="8.85546875" style="110" customWidth="1"/>
    <col min="2051" max="2051" width="30.7109375" style="110" customWidth="1"/>
    <col min="2052" max="2052" width="26.5703125" style="110" customWidth="1"/>
    <col min="2053" max="2055" width="30.42578125" style="110" customWidth="1"/>
    <col min="2056" max="2304" width="8.7109375" style="110"/>
    <col min="2305" max="2305" width="7.42578125" style="110" customWidth="1"/>
    <col min="2306" max="2306" width="8.85546875" style="110" customWidth="1"/>
    <col min="2307" max="2307" width="30.7109375" style="110" customWidth="1"/>
    <col min="2308" max="2308" width="26.5703125" style="110" customWidth="1"/>
    <col min="2309" max="2311" width="30.42578125" style="110" customWidth="1"/>
    <col min="2312" max="2560" width="8.7109375" style="110"/>
    <col min="2561" max="2561" width="7.42578125" style="110" customWidth="1"/>
    <col min="2562" max="2562" width="8.85546875" style="110" customWidth="1"/>
    <col min="2563" max="2563" width="30.7109375" style="110" customWidth="1"/>
    <col min="2564" max="2564" width="26.5703125" style="110" customWidth="1"/>
    <col min="2565" max="2567" width="30.42578125" style="110" customWidth="1"/>
    <col min="2568" max="2816" width="8.7109375" style="110"/>
    <col min="2817" max="2817" width="7.42578125" style="110" customWidth="1"/>
    <col min="2818" max="2818" width="8.85546875" style="110" customWidth="1"/>
    <col min="2819" max="2819" width="30.7109375" style="110" customWidth="1"/>
    <col min="2820" max="2820" width="26.5703125" style="110" customWidth="1"/>
    <col min="2821" max="2823" width="30.42578125" style="110" customWidth="1"/>
    <col min="2824" max="3072" width="8.7109375" style="110"/>
    <col min="3073" max="3073" width="7.42578125" style="110" customWidth="1"/>
    <col min="3074" max="3074" width="8.85546875" style="110" customWidth="1"/>
    <col min="3075" max="3075" width="30.7109375" style="110" customWidth="1"/>
    <col min="3076" max="3076" width="26.5703125" style="110" customWidth="1"/>
    <col min="3077" max="3079" width="30.42578125" style="110" customWidth="1"/>
    <col min="3080" max="3328" width="8.7109375" style="110"/>
    <col min="3329" max="3329" width="7.42578125" style="110" customWidth="1"/>
    <col min="3330" max="3330" width="8.85546875" style="110" customWidth="1"/>
    <col min="3331" max="3331" width="30.7109375" style="110" customWidth="1"/>
    <col min="3332" max="3332" width="26.5703125" style="110" customWidth="1"/>
    <col min="3333" max="3335" width="30.42578125" style="110" customWidth="1"/>
    <col min="3336" max="3584" width="8.7109375" style="110"/>
    <col min="3585" max="3585" width="7.42578125" style="110" customWidth="1"/>
    <col min="3586" max="3586" width="8.85546875" style="110" customWidth="1"/>
    <col min="3587" max="3587" width="30.7109375" style="110" customWidth="1"/>
    <col min="3588" max="3588" width="26.5703125" style="110" customWidth="1"/>
    <col min="3589" max="3591" width="30.42578125" style="110" customWidth="1"/>
    <col min="3592" max="3840" width="8.7109375" style="110"/>
    <col min="3841" max="3841" width="7.42578125" style="110" customWidth="1"/>
    <col min="3842" max="3842" width="8.85546875" style="110" customWidth="1"/>
    <col min="3843" max="3843" width="30.7109375" style="110" customWidth="1"/>
    <col min="3844" max="3844" width="26.5703125" style="110" customWidth="1"/>
    <col min="3845" max="3847" width="30.42578125" style="110" customWidth="1"/>
    <col min="3848" max="4096" width="8.7109375" style="110"/>
    <col min="4097" max="4097" width="7.42578125" style="110" customWidth="1"/>
    <col min="4098" max="4098" width="8.85546875" style="110" customWidth="1"/>
    <col min="4099" max="4099" width="30.7109375" style="110" customWidth="1"/>
    <col min="4100" max="4100" width="26.5703125" style="110" customWidth="1"/>
    <col min="4101" max="4103" width="30.42578125" style="110" customWidth="1"/>
    <col min="4104" max="4352" width="8.7109375" style="110"/>
    <col min="4353" max="4353" width="7.42578125" style="110" customWidth="1"/>
    <col min="4354" max="4354" width="8.85546875" style="110" customWidth="1"/>
    <col min="4355" max="4355" width="30.7109375" style="110" customWidth="1"/>
    <col min="4356" max="4356" width="26.5703125" style="110" customWidth="1"/>
    <col min="4357" max="4359" width="30.42578125" style="110" customWidth="1"/>
    <col min="4360" max="4608" width="8.7109375" style="110"/>
    <col min="4609" max="4609" width="7.42578125" style="110" customWidth="1"/>
    <col min="4610" max="4610" width="8.85546875" style="110" customWidth="1"/>
    <col min="4611" max="4611" width="30.7109375" style="110" customWidth="1"/>
    <col min="4612" max="4612" width="26.5703125" style="110" customWidth="1"/>
    <col min="4613" max="4615" width="30.42578125" style="110" customWidth="1"/>
    <col min="4616" max="4864" width="8.7109375" style="110"/>
    <col min="4865" max="4865" width="7.42578125" style="110" customWidth="1"/>
    <col min="4866" max="4866" width="8.85546875" style="110" customWidth="1"/>
    <col min="4867" max="4867" width="30.7109375" style="110" customWidth="1"/>
    <col min="4868" max="4868" width="26.5703125" style="110" customWidth="1"/>
    <col min="4869" max="4871" width="30.42578125" style="110" customWidth="1"/>
    <col min="4872" max="5120" width="8.7109375" style="110"/>
    <col min="5121" max="5121" width="7.42578125" style="110" customWidth="1"/>
    <col min="5122" max="5122" width="8.85546875" style="110" customWidth="1"/>
    <col min="5123" max="5123" width="30.7109375" style="110" customWidth="1"/>
    <col min="5124" max="5124" width="26.5703125" style="110" customWidth="1"/>
    <col min="5125" max="5127" width="30.42578125" style="110" customWidth="1"/>
    <col min="5128" max="5376" width="8.7109375" style="110"/>
    <col min="5377" max="5377" width="7.42578125" style="110" customWidth="1"/>
    <col min="5378" max="5378" width="8.85546875" style="110" customWidth="1"/>
    <col min="5379" max="5379" width="30.7109375" style="110" customWidth="1"/>
    <col min="5380" max="5380" width="26.5703125" style="110" customWidth="1"/>
    <col min="5381" max="5383" width="30.42578125" style="110" customWidth="1"/>
    <col min="5384" max="5632" width="8.7109375" style="110"/>
    <col min="5633" max="5633" width="7.42578125" style="110" customWidth="1"/>
    <col min="5634" max="5634" width="8.85546875" style="110" customWidth="1"/>
    <col min="5635" max="5635" width="30.7109375" style="110" customWidth="1"/>
    <col min="5636" max="5636" width="26.5703125" style="110" customWidth="1"/>
    <col min="5637" max="5639" width="30.42578125" style="110" customWidth="1"/>
    <col min="5640" max="5888" width="8.7109375" style="110"/>
    <col min="5889" max="5889" width="7.42578125" style="110" customWidth="1"/>
    <col min="5890" max="5890" width="8.85546875" style="110" customWidth="1"/>
    <col min="5891" max="5891" width="30.7109375" style="110" customWidth="1"/>
    <col min="5892" max="5892" width="26.5703125" style="110" customWidth="1"/>
    <col min="5893" max="5895" width="30.42578125" style="110" customWidth="1"/>
    <col min="5896" max="6144" width="8.7109375" style="110"/>
    <col min="6145" max="6145" width="7.42578125" style="110" customWidth="1"/>
    <col min="6146" max="6146" width="8.85546875" style="110" customWidth="1"/>
    <col min="6147" max="6147" width="30.7109375" style="110" customWidth="1"/>
    <col min="6148" max="6148" width="26.5703125" style="110" customWidth="1"/>
    <col min="6149" max="6151" width="30.42578125" style="110" customWidth="1"/>
    <col min="6152" max="6400" width="8.7109375" style="110"/>
    <col min="6401" max="6401" width="7.42578125" style="110" customWidth="1"/>
    <col min="6402" max="6402" width="8.85546875" style="110" customWidth="1"/>
    <col min="6403" max="6403" width="30.7109375" style="110" customWidth="1"/>
    <col min="6404" max="6404" width="26.5703125" style="110" customWidth="1"/>
    <col min="6405" max="6407" width="30.42578125" style="110" customWidth="1"/>
    <col min="6408" max="6656" width="8.7109375" style="110"/>
    <col min="6657" max="6657" width="7.42578125" style="110" customWidth="1"/>
    <col min="6658" max="6658" width="8.85546875" style="110" customWidth="1"/>
    <col min="6659" max="6659" width="30.7109375" style="110" customWidth="1"/>
    <col min="6660" max="6660" width="26.5703125" style="110" customWidth="1"/>
    <col min="6661" max="6663" width="30.42578125" style="110" customWidth="1"/>
    <col min="6664" max="6912" width="8.7109375" style="110"/>
    <col min="6913" max="6913" width="7.42578125" style="110" customWidth="1"/>
    <col min="6914" max="6914" width="8.85546875" style="110" customWidth="1"/>
    <col min="6915" max="6915" width="30.7109375" style="110" customWidth="1"/>
    <col min="6916" max="6916" width="26.5703125" style="110" customWidth="1"/>
    <col min="6917" max="6919" width="30.42578125" style="110" customWidth="1"/>
    <col min="6920" max="7168" width="8.7109375" style="110"/>
    <col min="7169" max="7169" width="7.42578125" style="110" customWidth="1"/>
    <col min="7170" max="7170" width="8.85546875" style="110" customWidth="1"/>
    <col min="7171" max="7171" width="30.7109375" style="110" customWidth="1"/>
    <col min="7172" max="7172" width="26.5703125" style="110" customWidth="1"/>
    <col min="7173" max="7175" width="30.42578125" style="110" customWidth="1"/>
    <col min="7176" max="7424" width="8.7109375" style="110"/>
    <col min="7425" max="7425" width="7.42578125" style="110" customWidth="1"/>
    <col min="7426" max="7426" width="8.85546875" style="110" customWidth="1"/>
    <col min="7427" max="7427" width="30.7109375" style="110" customWidth="1"/>
    <col min="7428" max="7428" width="26.5703125" style="110" customWidth="1"/>
    <col min="7429" max="7431" width="30.42578125" style="110" customWidth="1"/>
    <col min="7432" max="7680" width="8.7109375" style="110"/>
    <col min="7681" max="7681" width="7.42578125" style="110" customWidth="1"/>
    <col min="7682" max="7682" width="8.85546875" style="110" customWidth="1"/>
    <col min="7683" max="7683" width="30.7109375" style="110" customWidth="1"/>
    <col min="7684" max="7684" width="26.5703125" style="110" customWidth="1"/>
    <col min="7685" max="7687" width="30.42578125" style="110" customWidth="1"/>
    <col min="7688" max="7936" width="8.7109375" style="110"/>
    <col min="7937" max="7937" width="7.42578125" style="110" customWidth="1"/>
    <col min="7938" max="7938" width="8.85546875" style="110" customWidth="1"/>
    <col min="7939" max="7939" width="30.7109375" style="110" customWidth="1"/>
    <col min="7940" max="7940" width="26.5703125" style="110" customWidth="1"/>
    <col min="7941" max="7943" width="30.42578125" style="110" customWidth="1"/>
    <col min="7944" max="8192" width="8.7109375" style="110"/>
    <col min="8193" max="8193" width="7.42578125" style="110" customWidth="1"/>
    <col min="8194" max="8194" width="8.85546875" style="110" customWidth="1"/>
    <col min="8195" max="8195" width="30.7109375" style="110" customWidth="1"/>
    <col min="8196" max="8196" width="26.5703125" style="110" customWidth="1"/>
    <col min="8197" max="8199" width="30.42578125" style="110" customWidth="1"/>
    <col min="8200" max="8448" width="8.7109375" style="110"/>
    <col min="8449" max="8449" width="7.42578125" style="110" customWidth="1"/>
    <col min="8450" max="8450" width="8.85546875" style="110" customWidth="1"/>
    <col min="8451" max="8451" width="30.7109375" style="110" customWidth="1"/>
    <col min="8452" max="8452" width="26.5703125" style="110" customWidth="1"/>
    <col min="8453" max="8455" width="30.42578125" style="110" customWidth="1"/>
    <col min="8456" max="8704" width="8.7109375" style="110"/>
    <col min="8705" max="8705" width="7.42578125" style="110" customWidth="1"/>
    <col min="8706" max="8706" width="8.85546875" style="110" customWidth="1"/>
    <col min="8707" max="8707" width="30.7109375" style="110" customWidth="1"/>
    <col min="8708" max="8708" width="26.5703125" style="110" customWidth="1"/>
    <col min="8709" max="8711" width="30.42578125" style="110" customWidth="1"/>
    <col min="8712" max="8960" width="8.7109375" style="110"/>
    <col min="8961" max="8961" width="7.42578125" style="110" customWidth="1"/>
    <col min="8962" max="8962" width="8.85546875" style="110" customWidth="1"/>
    <col min="8963" max="8963" width="30.7109375" style="110" customWidth="1"/>
    <col min="8964" max="8964" width="26.5703125" style="110" customWidth="1"/>
    <col min="8965" max="8967" width="30.42578125" style="110" customWidth="1"/>
    <col min="8968" max="9216" width="8.7109375" style="110"/>
    <col min="9217" max="9217" width="7.42578125" style="110" customWidth="1"/>
    <col min="9218" max="9218" width="8.85546875" style="110" customWidth="1"/>
    <col min="9219" max="9219" width="30.7109375" style="110" customWidth="1"/>
    <col min="9220" max="9220" width="26.5703125" style="110" customWidth="1"/>
    <col min="9221" max="9223" width="30.42578125" style="110" customWidth="1"/>
    <col min="9224" max="9472" width="8.7109375" style="110"/>
    <col min="9473" max="9473" width="7.42578125" style="110" customWidth="1"/>
    <col min="9474" max="9474" width="8.85546875" style="110" customWidth="1"/>
    <col min="9475" max="9475" width="30.7109375" style="110" customWidth="1"/>
    <col min="9476" max="9476" width="26.5703125" style="110" customWidth="1"/>
    <col min="9477" max="9479" width="30.42578125" style="110" customWidth="1"/>
    <col min="9480" max="9728" width="8.7109375" style="110"/>
    <col min="9729" max="9729" width="7.42578125" style="110" customWidth="1"/>
    <col min="9730" max="9730" width="8.85546875" style="110" customWidth="1"/>
    <col min="9731" max="9731" width="30.7109375" style="110" customWidth="1"/>
    <col min="9732" max="9732" width="26.5703125" style="110" customWidth="1"/>
    <col min="9733" max="9735" width="30.42578125" style="110" customWidth="1"/>
    <col min="9736" max="9984" width="8.7109375" style="110"/>
    <col min="9985" max="9985" width="7.42578125" style="110" customWidth="1"/>
    <col min="9986" max="9986" width="8.85546875" style="110" customWidth="1"/>
    <col min="9987" max="9987" width="30.7109375" style="110" customWidth="1"/>
    <col min="9988" max="9988" width="26.5703125" style="110" customWidth="1"/>
    <col min="9989" max="9991" width="30.42578125" style="110" customWidth="1"/>
    <col min="9992" max="10240" width="8.7109375" style="110"/>
    <col min="10241" max="10241" width="7.42578125" style="110" customWidth="1"/>
    <col min="10242" max="10242" width="8.85546875" style="110" customWidth="1"/>
    <col min="10243" max="10243" width="30.7109375" style="110" customWidth="1"/>
    <col min="10244" max="10244" width="26.5703125" style="110" customWidth="1"/>
    <col min="10245" max="10247" width="30.42578125" style="110" customWidth="1"/>
    <col min="10248" max="10496" width="8.7109375" style="110"/>
    <col min="10497" max="10497" width="7.42578125" style="110" customWidth="1"/>
    <col min="10498" max="10498" width="8.85546875" style="110" customWidth="1"/>
    <col min="10499" max="10499" width="30.7109375" style="110" customWidth="1"/>
    <col min="10500" max="10500" width="26.5703125" style="110" customWidth="1"/>
    <col min="10501" max="10503" width="30.42578125" style="110" customWidth="1"/>
    <col min="10504" max="10752" width="8.7109375" style="110"/>
    <col min="10753" max="10753" width="7.42578125" style="110" customWidth="1"/>
    <col min="10754" max="10754" width="8.85546875" style="110" customWidth="1"/>
    <col min="10755" max="10755" width="30.7109375" style="110" customWidth="1"/>
    <col min="10756" max="10756" width="26.5703125" style="110" customWidth="1"/>
    <col min="10757" max="10759" width="30.42578125" style="110" customWidth="1"/>
    <col min="10760" max="11008" width="8.7109375" style="110"/>
    <col min="11009" max="11009" width="7.42578125" style="110" customWidth="1"/>
    <col min="11010" max="11010" width="8.85546875" style="110" customWidth="1"/>
    <col min="11011" max="11011" width="30.7109375" style="110" customWidth="1"/>
    <col min="11012" max="11012" width="26.5703125" style="110" customWidth="1"/>
    <col min="11013" max="11015" width="30.42578125" style="110" customWidth="1"/>
    <col min="11016" max="11264" width="8.7109375" style="110"/>
    <col min="11265" max="11265" width="7.42578125" style="110" customWidth="1"/>
    <col min="11266" max="11266" width="8.85546875" style="110" customWidth="1"/>
    <col min="11267" max="11267" width="30.7109375" style="110" customWidth="1"/>
    <col min="11268" max="11268" width="26.5703125" style="110" customWidth="1"/>
    <col min="11269" max="11271" width="30.42578125" style="110" customWidth="1"/>
    <col min="11272" max="11520" width="8.7109375" style="110"/>
    <col min="11521" max="11521" width="7.42578125" style="110" customWidth="1"/>
    <col min="11522" max="11522" width="8.85546875" style="110" customWidth="1"/>
    <col min="11523" max="11523" width="30.7109375" style="110" customWidth="1"/>
    <col min="11524" max="11524" width="26.5703125" style="110" customWidth="1"/>
    <col min="11525" max="11527" width="30.42578125" style="110" customWidth="1"/>
    <col min="11528" max="11776" width="8.7109375" style="110"/>
    <col min="11777" max="11777" width="7.42578125" style="110" customWidth="1"/>
    <col min="11778" max="11778" width="8.85546875" style="110" customWidth="1"/>
    <col min="11779" max="11779" width="30.7109375" style="110" customWidth="1"/>
    <col min="11780" max="11780" width="26.5703125" style="110" customWidth="1"/>
    <col min="11781" max="11783" width="30.42578125" style="110" customWidth="1"/>
    <col min="11784" max="12032" width="8.7109375" style="110"/>
    <col min="12033" max="12033" width="7.42578125" style="110" customWidth="1"/>
    <col min="12034" max="12034" width="8.85546875" style="110" customWidth="1"/>
    <col min="12035" max="12035" width="30.7109375" style="110" customWidth="1"/>
    <col min="12036" max="12036" width="26.5703125" style="110" customWidth="1"/>
    <col min="12037" max="12039" width="30.42578125" style="110" customWidth="1"/>
    <col min="12040" max="12288" width="8.7109375" style="110"/>
    <col min="12289" max="12289" width="7.42578125" style="110" customWidth="1"/>
    <col min="12290" max="12290" width="8.85546875" style="110" customWidth="1"/>
    <col min="12291" max="12291" width="30.7109375" style="110" customWidth="1"/>
    <col min="12292" max="12292" width="26.5703125" style="110" customWidth="1"/>
    <col min="12293" max="12295" width="30.42578125" style="110" customWidth="1"/>
    <col min="12296" max="12544" width="8.7109375" style="110"/>
    <col min="12545" max="12545" width="7.42578125" style="110" customWidth="1"/>
    <col min="12546" max="12546" width="8.85546875" style="110" customWidth="1"/>
    <col min="12547" max="12547" width="30.7109375" style="110" customWidth="1"/>
    <col min="12548" max="12548" width="26.5703125" style="110" customWidth="1"/>
    <col min="12549" max="12551" width="30.42578125" style="110" customWidth="1"/>
    <col min="12552" max="12800" width="8.7109375" style="110"/>
    <col min="12801" max="12801" width="7.42578125" style="110" customWidth="1"/>
    <col min="12802" max="12802" width="8.85546875" style="110" customWidth="1"/>
    <col min="12803" max="12803" width="30.7109375" style="110" customWidth="1"/>
    <col min="12804" max="12804" width="26.5703125" style="110" customWidth="1"/>
    <col min="12805" max="12807" width="30.42578125" style="110" customWidth="1"/>
    <col min="12808" max="13056" width="8.7109375" style="110"/>
    <col min="13057" max="13057" width="7.42578125" style="110" customWidth="1"/>
    <col min="13058" max="13058" width="8.85546875" style="110" customWidth="1"/>
    <col min="13059" max="13059" width="30.7109375" style="110" customWidth="1"/>
    <col min="13060" max="13060" width="26.5703125" style="110" customWidth="1"/>
    <col min="13061" max="13063" width="30.42578125" style="110" customWidth="1"/>
    <col min="13064" max="13312" width="8.7109375" style="110"/>
    <col min="13313" max="13313" width="7.42578125" style="110" customWidth="1"/>
    <col min="13314" max="13314" width="8.85546875" style="110" customWidth="1"/>
    <col min="13315" max="13315" width="30.7109375" style="110" customWidth="1"/>
    <col min="13316" max="13316" width="26.5703125" style="110" customWidth="1"/>
    <col min="13317" max="13319" width="30.42578125" style="110" customWidth="1"/>
    <col min="13320" max="13568" width="8.7109375" style="110"/>
    <col min="13569" max="13569" width="7.42578125" style="110" customWidth="1"/>
    <col min="13570" max="13570" width="8.85546875" style="110" customWidth="1"/>
    <col min="13571" max="13571" width="30.7109375" style="110" customWidth="1"/>
    <col min="13572" max="13572" width="26.5703125" style="110" customWidth="1"/>
    <col min="13573" max="13575" width="30.42578125" style="110" customWidth="1"/>
    <col min="13576" max="13824" width="8.7109375" style="110"/>
    <col min="13825" max="13825" width="7.42578125" style="110" customWidth="1"/>
    <col min="13826" max="13826" width="8.85546875" style="110" customWidth="1"/>
    <col min="13827" max="13827" width="30.7109375" style="110" customWidth="1"/>
    <col min="13828" max="13828" width="26.5703125" style="110" customWidth="1"/>
    <col min="13829" max="13831" width="30.42578125" style="110" customWidth="1"/>
    <col min="13832" max="14080" width="8.7109375" style="110"/>
    <col min="14081" max="14081" width="7.42578125" style="110" customWidth="1"/>
    <col min="14082" max="14082" width="8.85546875" style="110" customWidth="1"/>
    <col min="14083" max="14083" width="30.7109375" style="110" customWidth="1"/>
    <col min="14084" max="14084" width="26.5703125" style="110" customWidth="1"/>
    <col min="14085" max="14087" width="30.42578125" style="110" customWidth="1"/>
    <col min="14088" max="14336" width="8.7109375" style="110"/>
    <col min="14337" max="14337" width="7.42578125" style="110" customWidth="1"/>
    <col min="14338" max="14338" width="8.85546875" style="110" customWidth="1"/>
    <col min="14339" max="14339" width="30.7109375" style="110" customWidth="1"/>
    <col min="14340" max="14340" width="26.5703125" style="110" customWidth="1"/>
    <col min="14341" max="14343" width="30.42578125" style="110" customWidth="1"/>
    <col min="14344" max="14592" width="8.7109375" style="110"/>
    <col min="14593" max="14593" width="7.42578125" style="110" customWidth="1"/>
    <col min="14594" max="14594" width="8.85546875" style="110" customWidth="1"/>
    <col min="14595" max="14595" width="30.7109375" style="110" customWidth="1"/>
    <col min="14596" max="14596" width="26.5703125" style="110" customWidth="1"/>
    <col min="14597" max="14599" width="30.42578125" style="110" customWidth="1"/>
    <col min="14600" max="14848" width="8.7109375" style="110"/>
    <col min="14849" max="14849" width="7.42578125" style="110" customWidth="1"/>
    <col min="14850" max="14850" width="8.85546875" style="110" customWidth="1"/>
    <col min="14851" max="14851" width="30.7109375" style="110" customWidth="1"/>
    <col min="14852" max="14852" width="26.5703125" style="110" customWidth="1"/>
    <col min="14853" max="14855" width="30.42578125" style="110" customWidth="1"/>
    <col min="14856" max="15104" width="8.7109375" style="110"/>
    <col min="15105" max="15105" width="7.42578125" style="110" customWidth="1"/>
    <col min="15106" max="15106" width="8.85546875" style="110" customWidth="1"/>
    <col min="15107" max="15107" width="30.7109375" style="110" customWidth="1"/>
    <col min="15108" max="15108" width="26.5703125" style="110" customWidth="1"/>
    <col min="15109" max="15111" width="30.42578125" style="110" customWidth="1"/>
    <col min="15112" max="15360" width="8.7109375" style="110"/>
    <col min="15361" max="15361" width="7.42578125" style="110" customWidth="1"/>
    <col min="15362" max="15362" width="8.85546875" style="110" customWidth="1"/>
    <col min="15363" max="15363" width="30.7109375" style="110" customWidth="1"/>
    <col min="15364" max="15364" width="26.5703125" style="110" customWidth="1"/>
    <col min="15365" max="15367" width="30.42578125" style="110" customWidth="1"/>
    <col min="15368" max="15616" width="8.7109375" style="110"/>
    <col min="15617" max="15617" width="7.42578125" style="110" customWidth="1"/>
    <col min="15618" max="15618" width="8.85546875" style="110" customWidth="1"/>
    <col min="15619" max="15619" width="30.7109375" style="110" customWidth="1"/>
    <col min="15620" max="15620" width="26.5703125" style="110" customWidth="1"/>
    <col min="15621" max="15623" width="30.42578125" style="110" customWidth="1"/>
    <col min="15624" max="15872" width="8.7109375" style="110"/>
    <col min="15873" max="15873" width="7.42578125" style="110" customWidth="1"/>
    <col min="15874" max="15874" width="8.85546875" style="110" customWidth="1"/>
    <col min="15875" max="15875" width="30.7109375" style="110" customWidth="1"/>
    <col min="15876" max="15876" width="26.5703125" style="110" customWidth="1"/>
    <col min="15877" max="15879" width="30.42578125" style="110" customWidth="1"/>
    <col min="15880" max="16128" width="8.7109375" style="110"/>
    <col min="16129" max="16129" width="7.42578125" style="110" customWidth="1"/>
    <col min="16130" max="16130" width="8.85546875" style="110" customWidth="1"/>
    <col min="16131" max="16131" width="30.7109375" style="110" customWidth="1"/>
    <col min="16132" max="16132" width="26.5703125" style="110" customWidth="1"/>
    <col min="16133" max="16135" width="30.42578125" style="110" customWidth="1"/>
    <col min="16136" max="16384" width="8.7109375" style="110"/>
  </cols>
  <sheetData>
    <row r="1" spans="1:15" s="107" customFormat="1" ht="15">
      <c r="A1" s="578" t="s">
        <v>491</v>
      </c>
      <c r="B1" s="579"/>
      <c r="C1" s="579"/>
      <c r="D1" s="579"/>
      <c r="E1" s="579"/>
      <c r="F1" s="579"/>
      <c r="G1" s="579"/>
      <c r="H1" s="579"/>
      <c r="I1" s="579"/>
      <c r="J1" s="579"/>
      <c r="K1" s="579"/>
      <c r="L1" s="579"/>
      <c r="M1" s="579"/>
      <c r="N1" s="579"/>
      <c r="O1" s="579"/>
    </row>
    <row r="3" spans="1:15" s="107" customFormat="1" ht="63.75">
      <c r="A3" s="580" t="s">
        <v>492</v>
      </c>
      <c r="B3" s="577"/>
      <c r="C3" s="114" t="s">
        <v>493</v>
      </c>
      <c r="D3" s="114" t="s">
        <v>494</v>
      </c>
      <c r="E3" s="114" t="s">
        <v>495</v>
      </c>
      <c r="F3" s="114" t="s">
        <v>496</v>
      </c>
      <c r="G3" s="114" t="s">
        <v>497</v>
      </c>
    </row>
    <row r="4" spans="1:15" s="107" customFormat="1">
      <c r="A4" s="575">
        <v>1982</v>
      </c>
      <c r="B4" s="577"/>
      <c r="C4" s="108">
        <v>1311.6</v>
      </c>
      <c r="D4" s="108">
        <v>3.9</v>
      </c>
      <c r="E4" s="108">
        <v>28.7</v>
      </c>
      <c r="F4" s="114" t="s">
        <v>109</v>
      </c>
      <c r="G4" s="114" t="s">
        <v>109</v>
      </c>
    </row>
    <row r="5" spans="1:15" s="107" customFormat="1">
      <c r="A5" s="575">
        <v>1983</v>
      </c>
      <c r="B5" s="577"/>
      <c r="C5" s="108">
        <v>1334.3</v>
      </c>
      <c r="D5" s="108">
        <v>3.9</v>
      </c>
      <c r="E5" s="108">
        <v>30.7</v>
      </c>
      <c r="F5" s="114" t="s">
        <v>109</v>
      </c>
      <c r="G5" s="114" t="s">
        <v>109</v>
      </c>
    </row>
    <row r="6" spans="1:15" s="107" customFormat="1">
      <c r="A6" s="575">
        <v>1984</v>
      </c>
      <c r="B6" s="577"/>
      <c r="C6" s="108">
        <v>1378.7</v>
      </c>
      <c r="D6" s="108">
        <v>3.7</v>
      </c>
      <c r="E6" s="108">
        <v>31.2</v>
      </c>
      <c r="F6" s="114" t="s">
        <v>109</v>
      </c>
      <c r="G6" s="114" t="s">
        <v>109</v>
      </c>
    </row>
    <row r="7" spans="1:15" s="107" customFormat="1">
      <c r="A7" s="575">
        <v>1985</v>
      </c>
      <c r="B7" s="577"/>
      <c r="C7" s="108">
        <v>1417.7</v>
      </c>
      <c r="D7" s="108">
        <v>3.7</v>
      </c>
      <c r="E7" s="108">
        <v>32.799999999999997</v>
      </c>
      <c r="F7" s="108">
        <v>6.6</v>
      </c>
      <c r="G7" s="108">
        <v>51.8</v>
      </c>
    </row>
    <row r="8" spans="1:15" s="107" customFormat="1">
      <c r="A8" s="575">
        <v>1986</v>
      </c>
      <c r="B8" s="577"/>
      <c r="C8" s="108">
        <v>1473.1</v>
      </c>
      <c r="D8" s="108">
        <v>3.6</v>
      </c>
      <c r="E8" s="108">
        <v>34.9</v>
      </c>
      <c r="F8" s="108">
        <v>9.1</v>
      </c>
      <c r="G8" s="108">
        <v>53.9</v>
      </c>
    </row>
    <row r="9" spans="1:15" s="107" customFormat="1">
      <c r="A9" s="575">
        <v>1987</v>
      </c>
      <c r="B9" s="577"/>
      <c r="C9" s="108">
        <v>1496.1</v>
      </c>
      <c r="D9" s="108">
        <v>3.6</v>
      </c>
      <c r="E9" s="108">
        <v>37.9</v>
      </c>
      <c r="F9" s="108">
        <v>10.1</v>
      </c>
      <c r="G9" s="108">
        <v>59.1</v>
      </c>
    </row>
    <row r="10" spans="1:15" s="107" customFormat="1">
      <c r="A10" s="575">
        <v>1988</v>
      </c>
      <c r="B10" s="577"/>
      <c r="C10" s="108">
        <v>1532.6</v>
      </c>
      <c r="D10" s="108">
        <v>3.6</v>
      </c>
      <c r="E10" s="108">
        <v>39.4</v>
      </c>
      <c r="F10" s="108">
        <v>11.9</v>
      </c>
      <c r="G10" s="108">
        <v>60.8</v>
      </c>
    </row>
    <row r="11" spans="1:15" s="107" customFormat="1">
      <c r="A11" s="575">
        <v>1989</v>
      </c>
      <c r="B11" s="577"/>
      <c r="C11" s="108">
        <v>1549</v>
      </c>
      <c r="D11" s="108">
        <v>3.6</v>
      </c>
      <c r="E11" s="108">
        <v>41.6</v>
      </c>
      <c r="F11" s="108">
        <v>12.9</v>
      </c>
      <c r="G11" s="108">
        <v>64.5</v>
      </c>
    </row>
    <row r="12" spans="1:15" s="107" customFormat="1">
      <c r="A12" s="575">
        <v>1990</v>
      </c>
      <c r="B12" s="577"/>
      <c r="C12" s="108">
        <v>1559</v>
      </c>
      <c r="D12" s="108">
        <v>3.5</v>
      </c>
      <c r="E12" s="108">
        <v>42.6</v>
      </c>
      <c r="F12" s="108">
        <v>14.2</v>
      </c>
      <c r="G12" s="108">
        <v>66.3</v>
      </c>
    </row>
    <row r="13" spans="1:15" s="107" customFormat="1">
      <c r="A13" s="575">
        <v>1991</v>
      </c>
      <c r="B13" s="577"/>
      <c r="C13" s="108">
        <v>1601.9</v>
      </c>
      <c r="D13" s="108">
        <v>3.5</v>
      </c>
      <c r="E13" s="108">
        <v>43.1</v>
      </c>
      <c r="F13" s="108">
        <v>15.8</v>
      </c>
      <c r="G13" s="108">
        <v>66.5</v>
      </c>
    </row>
    <row r="14" spans="1:15" s="107" customFormat="1">
      <c r="A14" s="575">
        <v>1992</v>
      </c>
      <c r="B14" s="577"/>
      <c r="C14" s="108">
        <v>1633.5</v>
      </c>
      <c r="D14" s="108">
        <v>3.4</v>
      </c>
      <c r="E14" s="108">
        <v>43.5</v>
      </c>
      <c r="F14" s="108">
        <v>16.3</v>
      </c>
      <c r="G14" s="108">
        <v>68</v>
      </c>
    </row>
    <row r="15" spans="1:15" s="107" customFormat="1">
      <c r="A15" s="575">
        <v>1993</v>
      </c>
      <c r="B15" s="577"/>
      <c r="C15" s="108">
        <v>1677.7</v>
      </c>
      <c r="D15" s="108">
        <v>3.5</v>
      </c>
      <c r="E15" s="108">
        <v>44.6</v>
      </c>
      <c r="F15" s="108">
        <v>18.2</v>
      </c>
      <c r="G15" s="108">
        <v>68.599999999999994</v>
      </c>
    </row>
    <row r="16" spans="1:15" s="107" customFormat="1">
      <c r="A16" s="575">
        <v>1994</v>
      </c>
      <c r="B16" s="577"/>
      <c r="C16" s="108">
        <v>1729.1</v>
      </c>
      <c r="D16" s="108">
        <v>3.4</v>
      </c>
      <c r="E16" s="108">
        <v>45.1</v>
      </c>
      <c r="F16" s="108">
        <v>20.5</v>
      </c>
      <c r="G16" s="108">
        <v>67.8</v>
      </c>
    </row>
    <row r="17" spans="1:7" s="107" customFormat="1">
      <c r="A17" s="575">
        <v>1995</v>
      </c>
      <c r="B17" s="577"/>
      <c r="C17" s="108">
        <v>1783</v>
      </c>
      <c r="D17" s="108">
        <v>3.4</v>
      </c>
      <c r="E17" s="108">
        <v>45.2</v>
      </c>
      <c r="F17" s="108">
        <v>21.6</v>
      </c>
      <c r="G17" s="108">
        <v>67.3</v>
      </c>
    </row>
    <row r="18" spans="1:7" s="107" customFormat="1">
      <c r="A18" s="575">
        <v>1996</v>
      </c>
      <c r="B18" s="577"/>
      <c r="C18" s="108">
        <v>1864.5</v>
      </c>
      <c r="D18" s="108">
        <v>3.4</v>
      </c>
      <c r="E18" s="108">
        <v>45.9</v>
      </c>
      <c r="F18" s="108">
        <v>21.9</v>
      </c>
      <c r="G18" s="108">
        <v>67.099999999999994</v>
      </c>
    </row>
    <row r="19" spans="1:7" s="107" customFormat="1">
      <c r="A19" s="575">
        <v>1997</v>
      </c>
      <c r="B19" s="577"/>
      <c r="C19" s="108">
        <v>1922.8</v>
      </c>
      <c r="D19" s="108">
        <v>3.3</v>
      </c>
      <c r="E19" s="108">
        <v>46.7</v>
      </c>
      <c r="F19" s="108">
        <v>23</v>
      </c>
      <c r="G19" s="108">
        <v>66.5</v>
      </c>
    </row>
    <row r="20" spans="1:7" s="107" customFormat="1">
      <c r="A20" s="575">
        <v>1998</v>
      </c>
      <c r="B20" s="577"/>
      <c r="C20" s="108">
        <v>1961.5</v>
      </c>
      <c r="D20" s="108">
        <v>3.3</v>
      </c>
      <c r="E20" s="108">
        <v>46.6</v>
      </c>
      <c r="F20" s="108">
        <v>25</v>
      </c>
      <c r="G20" s="108">
        <v>66</v>
      </c>
    </row>
    <row r="21" spans="1:7" s="107" customFormat="1">
      <c r="A21" s="575">
        <v>1999</v>
      </c>
      <c r="B21" s="577"/>
      <c r="C21" s="108">
        <v>1998.9</v>
      </c>
      <c r="D21" s="108">
        <v>3.3</v>
      </c>
      <c r="E21" s="108">
        <v>48.2</v>
      </c>
      <c r="F21" s="108">
        <v>27.8</v>
      </c>
      <c r="G21" s="108">
        <v>66.8</v>
      </c>
    </row>
    <row r="22" spans="1:7" s="107" customFormat="1">
      <c r="A22" s="575">
        <v>2000</v>
      </c>
      <c r="B22" s="577"/>
      <c r="C22" s="108">
        <v>2037</v>
      </c>
      <c r="D22" s="108">
        <v>3.3</v>
      </c>
      <c r="E22" s="108">
        <v>51.1</v>
      </c>
      <c r="F22" s="108">
        <v>31.5</v>
      </c>
      <c r="G22" s="108">
        <v>68.900000000000006</v>
      </c>
    </row>
    <row r="23" spans="1:7" s="107" customFormat="1">
      <c r="A23" s="575">
        <v>2001</v>
      </c>
      <c r="B23" s="577"/>
      <c r="C23" s="108">
        <v>2054.5</v>
      </c>
      <c r="D23" s="108">
        <v>3.2</v>
      </c>
      <c r="E23" s="108">
        <v>52.2</v>
      </c>
      <c r="F23" s="108">
        <v>35.799999999999997</v>
      </c>
      <c r="G23" s="108">
        <v>67</v>
      </c>
    </row>
    <row r="24" spans="1:7" s="107" customFormat="1">
      <c r="A24" s="575">
        <v>2002</v>
      </c>
      <c r="B24" s="577"/>
      <c r="C24" s="108">
        <v>2080.5</v>
      </c>
      <c r="D24" s="108">
        <v>3.2</v>
      </c>
      <c r="E24" s="108">
        <v>53</v>
      </c>
      <c r="F24" s="108">
        <v>35.200000000000003</v>
      </c>
      <c r="G24" s="108">
        <v>69.099999999999994</v>
      </c>
    </row>
    <row r="25" spans="1:7" s="107" customFormat="1">
      <c r="A25" s="575">
        <v>2003</v>
      </c>
      <c r="B25" s="577"/>
      <c r="C25" s="108">
        <v>2114</v>
      </c>
      <c r="D25" s="108">
        <v>3.1</v>
      </c>
      <c r="E25" s="108">
        <v>53.4</v>
      </c>
      <c r="F25" s="108">
        <v>35.299999999999997</v>
      </c>
      <c r="G25" s="108">
        <v>69.900000000000006</v>
      </c>
    </row>
    <row r="26" spans="1:7" s="107" customFormat="1">
      <c r="A26" s="575">
        <v>2004</v>
      </c>
      <c r="B26" s="577"/>
      <c r="C26" s="108">
        <v>2140.5</v>
      </c>
      <c r="D26" s="108">
        <v>3.1</v>
      </c>
      <c r="E26" s="108">
        <v>54.3</v>
      </c>
      <c r="F26" s="108">
        <v>35.200000000000003</v>
      </c>
      <c r="G26" s="108">
        <v>71.3</v>
      </c>
    </row>
    <row r="27" spans="1:7" s="107" customFormat="1">
      <c r="A27" s="575">
        <v>2005</v>
      </c>
      <c r="B27" s="577"/>
      <c r="C27" s="108">
        <v>2197.1</v>
      </c>
      <c r="D27" s="108">
        <v>3</v>
      </c>
      <c r="E27" s="108">
        <v>53.7</v>
      </c>
      <c r="F27" s="108">
        <v>34.6</v>
      </c>
      <c r="G27" s="108">
        <v>70.3</v>
      </c>
    </row>
    <row r="28" spans="1:7" s="107" customFormat="1">
      <c r="A28" s="575">
        <v>2006</v>
      </c>
      <c r="B28" s="577"/>
      <c r="C28" s="108">
        <v>2220.9</v>
      </c>
      <c r="D28" s="108">
        <v>3</v>
      </c>
      <c r="E28" s="108">
        <v>53.5</v>
      </c>
      <c r="F28" s="108">
        <v>34.1</v>
      </c>
      <c r="G28" s="108">
        <v>70.5</v>
      </c>
    </row>
    <row r="29" spans="1:7" s="107" customFormat="1">
      <c r="A29" s="575">
        <v>2007</v>
      </c>
      <c r="B29" s="577"/>
      <c r="C29" s="108">
        <v>2249.9</v>
      </c>
      <c r="D29" s="108">
        <v>3</v>
      </c>
      <c r="E29" s="108">
        <v>53.1</v>
      </c>
      <c r="F29" s="108">
        <v>34.4</v>
      </c>
      <c r="G29" s="108">
        <v>69.5</v>
      </c>
    </row>
    <row r="30" spans="1:7" s="107" customFormat="1">
      <c r="A30" s="575">
        <v>2008</v>
      </c>
      <c r="B30" s="577"/>
      <c r="C30" s="108">
        <v>2279.1</v>
      </c>
      <c r="D30" s="108">
        <v>3</v>
      </c>
      <c r="E30" s="108">
        <v>53.6</v>
      </c>
      <c r="F30" s="108">
        <v>34.9</v>
      </c>
      <c r="G30" s="108">
        <v>69.7</v>
      </c>
    </row>
    <row r="31" spans="1:7" s="107" customFormat="1">
      <c r="A31" s="575">
        <v>2009</v>
      </c>
      <c r="B31" s="577"/>
      <c r="C31" s="108">
        <v>2297.1999999999998</v>
      </c>
      <c r="D31" s="108">
        <v>2.9</v>
      </c>
      <c r="E31" s="108">
        <v>53.5</v>
      </c>
      <c r="F31" s="108">
        <v>34.6</v>
      </c>
      <c r="G31" s="108">
        <v>69.7</v>
      </c>
    </row>
    <row r="32" spans="1:7" s="107" customFormat="1">
      <c r="A32" s="575">
        <v>2010</v>
      </c>
      <c r="B32" s="577"/>
      <c r="C32" s="108">
        <v>2325.1</v>
      </c>
      <c r="D32" s="108">
        <v>2.9</v>
      </c>
      <c r="E32" s="108">
        <v>53.1</v>
      </c>
      <c r="F32" s="108">
        <v>34.200000000000003</v>
      </c>
      <c r="G32" s="108">
        <v>69.400000000000006</v>
      </c>
    </row>
    <row r="33" spans="1:7" s="107" customFormat="1">
      <c r="A33" s="575">
        <v>2011</v>
      </c>
      <c r="B33" s="577"/>
      <c r="C33" s="108">
        <v>2359.3000000000002</v>
      </c>
      <c r="D33" s="108">
        <v>2.9</v>
      </c>
      <c r="E33" s="108">
        <v>53.2</v>
      </c>
      <c r="F33" s="108">
        <v>33.6</v>
      </c>
      <c r="G33" s="108">
        <v>69.8</v>
      </c>
    </row>
    <row r="34" spans="1:7" s="107" customFormat="1">
      <c r="A34" s="575">
        <v>2012</v>
      </c>
      <c r="B34" s="577"/>
      <c r="C34" s="108">
        <v>2386.1999999999998</v>
      </c>
      <c r="D34" s="108">
        <v>2.9</v>
      </c>
      <c r="E34" s="108">
        <v>52</v>
      </c>
      <c r="F34" s="108">
        <v>33</v>
      </c>
      <c r="G34" s="108">
        <v>68.3</v>
      </c>
    </row>
    <row r="35" spans="1:7" s="107" customFormat="1">
      <c r="A35" s="575">
        <v>2013</v>
      </c>
      <c r="B35" s="577"/>
      <c r="C35" s="108">
        <v>2407.3000000000002</v>
      </c>
      <c r="D35" s="108">
        <v>2.9</v>
      </c>
      <c r="E35" s="108">
        <v>51.1</v>
      </c>
      <c r="F35" s="108">
        <v>32.799999999999997</v>
      </c>
      <c r="G35" s="108">
        <v>66.7</v>
      </c>
    </row>
    <row r="36" spans="1:7" s="107" customFormat="1">
      <c r="A36" s="575">
        <v>2014</v>
      </c>
      <c r="B36" s="577"/>
      <c r="C36" s="108">
        <v>2432.4</v>
      </c>
      <c r="D36" s="108">
        <v>2.9</v>
      </c>
      <c r="E36" s="108">
        <v>50.9</v>
      </c>
      <c r="F36" s="108">
        <v>32.700000000000003</v>
      </c>
      <c r="G36" s="108">
        <v>66.400000000000006</v>
      </c>
    </row>
    <row r="37" spans="1:7" s="107" customFormat="1">
      <c r="A37" s="575">
        <v>2015</v>
      </c>
      <c r="B37" s="577"/>
      <c r="C37" s="108">
        <v>2471.1</v>
      </c>
      <c r="D37" s="108">
        <v>2.9</v>
      </c>
      <c r="E37" s="108">
        <v>50.3</v>
      </c>
      <c r="F37" s="108">
        <v>32.200000000000003</v>
      </c>
      <c r="G37" s="108">
        <v>65.7</v>
      </c>
    </row>
    <row r="38" spans="1:7" s="107" customFormat="1">
      <c r="A38" s="575">
        <v>2016</v>
      </c>
      <c r="B38" s="577"/>
      <c r="C38" s="108">
        <v>2498.9</v>
      </c>
      <c r="D38" s="108">
        <v>2.8</v>
      </c>
      <c r="E38" s="108">
        <v>50.4</v>
      </c>
      <c r="F38" s="108">
        <v>31.9</v>
      </c>
      <c r="G38" s="108">
        <v>65.8</v>
      </c>
    </row>
    <row r="39" spans="1:7" s="107" customFormat="1">
      <c r="A39" s="575">
        <v>2017</v>
      </c>
      <c r="B39" s="577"/>
      <c r="C39" s="108">
        <v>2534.6999999999998</v>
      </c>
      <c r="D39" s="108">
        <v>2.8</v>
      </c>
      <c r="E39" s="108">
        <v>49.2</v>
      </c>
      <c r="F39" s="108">
        <v>31.8</v>
      </c>
      <c r="G39" s="108">
        <v>63.8</v>
      </c>
    </row>
    <row r="40" spans="1:7" s="107" customFormat="1">
      <c r="A40" s="575" t="s">
        <v>110</v>
      </c>
      <c r="B40" s="577"/>
      <c r="C40" s="108">
        <v>1297.7</v>
      </c>
      <c r="D40" s="108">
        <v>3.8</v>
      </c>
      <c r="E40" s="108">
        <v>28.7</v>
      </c>
      <c r="F40" s="114" t="s">
        <v>109</v>
      </c>
      <c r="G40" s="114" t="s">
        <v>109</v>
      </c>
    </row>
    <row r="41" spans="1:7" s="107" customFormat="1">
      <c r="A41" s="575" t="s">
        <v>111</v>
      </c>
      <c r="B41" s="577"/>
      <c r="C41" s="108">
        <v>1297.4000000000001</v>
      </c>
      <c r="D41" s="108">
        <v>3.9</v>
      </c>
      <c r="E41" s="108">
        <v>28.3</v>
      </c>
      <c r="F41" s="114" t="s">
        <v>109</v>
      </c>
      <c r="G41" s="114" t="s">
        <v>109</v>
      </c>
    </row>
    <row r="42" spans="1:7" s="107" customFormat="1">
      <c r="A42" s="575" t="s">
        <v>112</v>
      </c>
      <c r="B42" s="577"/>
      <c r="C42" s="108">
        <v>1317.5</v>
      </c>
      <c r="D42" s="108">
        <v>3.9</v>
      </c>
      <c r="E42" s="108">
        <v>28.5</v>
      </c>
      <c r="F42" s="114" t="s">
        <v>109</v>
      </c>
      <c r="G42" s="114" t="s">
        <v>109</v>
      </c>
    </row>
    <row r="43" spans="1:7" s="107" customFormat="1">
      <c r="A43" s="575" t="s">
        <v>113</v>
      </c>
      <c r="B43" s="577"/>
      <c r="C43" s="108">
        <v>1312.3</v>
      </c>
      <c r="D43" s="108">
        <v>3.9</v>
      </c>
      <c r="E43" s="108">
        <v>29</v>
      </c>
      <c r="F43" s="114" t="s">
        <v>109</v>
      </c>
      <c r="G43" s="114" t="s">
        <v>109</v>
      </c>
    </row>
    <row r="44" spans="1:7" s="107" customFormat="1">
      <c r="A44" s="575" t="s">
        <v>114</v>
      </c>
      <c r="B44" s="577"/>
      <c r="C44" s="108">
        <v>1319.3</v>
      </c>
      <c r="D44" s="108">
        <v>3.9</v>
      </c>
      <c r="E44" s="108">
        <v>29</v>
      </c>
      <c r="F44" s="114" t="s">
        <v>109</v>
      </c>
      <c r="G44" s="114" t="s">
        <v>109</v>
      </c>
    </row>
    <row r="45" spans="1:7" s="107" customFormat="1">
      <c r="A45" s="575" t="s">
        <v>115</v>
      </c>
      <c r="B45" s="577"/>
      <c r="C45" s="108">
        <v>1320.1</v>
      </c>
      <c r="D45" s="108">
        <v>3.9</v>
      </c>
      <c r="E45" s="108">
        <v>31.1</v>
      </c>
      <c r="F45" s="114" t="s">
        <v>109</v>
      </c>
      <c r="G45" s="114" t="s">
        <v>109</v>
      </c>
    </row>
    <row r="46" spans="1:7" s="107" customFormat="1">
      <c r="A46" s="575" t="s">
        <v>116</v>
      </c>
      <c r="B46" s="577"/>
      <c r="C46" s="108">
        <v>1330.5</v>
      </c>
      <c r="D46" s="108">
        <v>3.9</v>
      </c>
      <c r="E46" s="108">
        <v>30.9</v>
      </c>
      <c r="F46" s="114" t="s">
        <v>109</v>
      </c>
      <c r="G46" s="114" t="s">
        <v>109</v>
      </c>
    </row>
    <row r="47" spans="1:7" s="107" customFormat="1">
      <c r="A47" s="575" t="s">
        <v>117</v>
      </c>
      <c r="B47" s="577"/>
      <c r="C47" s="108">
        <v>1336.9</v>
      </c>
      <c r="D47" s="108">
        <v>3.8</v>
      </c>
      <c r="E47" s="108">
        <v>30.3</v>
      </c>
      <c r="F47" s="114" t="s">
        <v>109</v>
      </c>
      <c r="G47" s="114" t="s">
        <v>109</v>
      </c>
    </row>
    <row r="48" spans="1:7" s="107" customFormat="1">
      <c r="A48" s="575" t="s">
        <v>118</v>
      </c>
      <c r="B48" s="577"/>
      <c r="C48" s="108">
        <v>1349.9</v>
      </c>
      <c r="D48" s="108">
        <v>3.8</v>
      </c>
      <c r="E48" s="108">
        <v>30.3</v>
      </c>
      <c r="F48" s="114" t="s">
        <v>109</v>
      </c>
      <c r="G48" s="114" t="s">
        <v>109</v>
      </c>
    </row>
    <row r="49" spans="1:7" s="107" customFormat="1">
      <c r="A49" s="575" t="s">
        <v>119</v>
      </c>
      <c r="B49" s="577"/>
      <c r="C49" s="108">
        <v>1345.4</v>
      </c>
      <c r="D49" s="108">
        <v>3.8</v>
      </c>
      <c r="E49" s="108">
        <v>30.9</v>
      </c>
      <c r="F49" s="114" t="s">
        <v>109</v>
      </c>
      <c r="G49" s="114" t="s">
        <v>109</v>
      </c>
    </row>
    <row r="50" spans="1:7" s="107" customFormat="1">
      <c r="A50" s="575" t="s">
        <v>120</v>
      </c>
      <c r="B50" s="577"/>
      <c r="C50" s="108">
        <v>1378.1</v>
      </c>
      <c r="D50" s="108">
        <v>3.8</v>
      </c>
      <c r="E50" s="108">
        <v>30.9</v>
      </c>
      <c r="F50" s="114" t="s">
        <v>109</v>
      </c>
      <c r="G50" s="114" t="s">
        <v>109</v>
      </c>
    </row>
    <row r="51" spans="1:7" s="107" customFormat="1">
      <c r="A51" s="575" t="s">
        <v>121</v>
      </c>
      <c r="B51" s="577"/>
      <c r="C51" s="108">
        <v>1386.3</v>
      </c>
      <c r="D51" s="108">
        <v>3.7</v>
      </c>
      <c r="E51" s="108">
        <v>31.8</v>
      </c>
      <c r="F51" s="114" t="s">
        <v>109</v>
      </c>
      <c r="G51" s="114" t="s">
        <v>109</v>
      </c>
    </row>
    <row r="52" spans="1:7" s="107" customFormat="1">
      <c r="A52" s="575" t="s">
        <v>122</v>
      </c>
      <c r="B52" s="577"/>
      <c r="C52" s="108">
        <v>1405</v>
      </c>
      <c r="D52" s="108">
        <v>3.7</v>
      </c>
      <c r="E52" s="108">
        <v>31.3</v>
      </c>
      <c r="F52" s="114" t="s">
        <v>109</v>
      </c>
      <c r="G52" s="114" t="s">
        <v>109</v>
      </c>
    </row>
    <row r="53" spans="1:7" s="107" customFormat="1">
      <c r="A53" s="575" t="s">
        <v>123</v>
      </c>
      <c r="B53" s="577"/>
      <c r="C53" s="108">
        <v>1402.9</v>
      </c>
      <c r="D53" s="108">
        <v>3.7</v>
      </c>
      <c r="E53" s="108">
        <v>31.4</v>
      </c>
      <c r="F53" s="108">
        <v>5.9</v>
      </c>
      <c r="G53" s="108">
        <v>50.2</v>
      </c>
    </row>
    <row r="54" spans="1:7" s="107" customFormat="1">
      <c r="A54" s="575" t="s">
        <v>124</v>
      </c>
      <c r="B54" s="577"/>
      <c r="C54" s="108">
        <v>1416.7</v>
      </c>
      <c r="D54" s="108">
        <v>3.7</v>
      </c>
      <c r="E54" s="108">
        <v>32.799999999999997</v>
      </c>
      <c r="F54" s="108">
        <v>6.3</v>
      </c>
      <c r="G54" s="108">
        <v>51.6</v>
      </c>
    </row>
    <row r="55" spans="1:7" s="107" customFormat="1">
      <c r="A55" s="575" t="s">
        <v>125</v>
      </c>
      <c r="B55" s="577"/>
      <c r="C55" s="108">
        <v>1416.5</v>
      </c>
      <c r="D55" s="108">
        <v>3.7</v>
      </c>
      <c r="E55" s="108">
        <v>33.9</v>
      </c>
      <c r="F55" s="108">
        <v>6.9</v>
      </c>
      <c r="G55" s="108">
        <v>53.6</v>
      </c>
    </row>
    <row r="56" spans="1:7" s="107" customFormat="1">
      <c r="A56" s="575" t="s">
        <v>126</v>
      </c>
      <c r="B56" s="577"/>
      <c r="C56" s="108">
        <v>1434.7</v>
      </c>
      <c r="D56" s="108">
        <v>3.7</v>
      </c>
      <c r="E56" s="108">
        <v>33.200000000000003</v>
      </c>
      <c r="F56" s="108">
        <v>7.3</v>
      </c>
      <c r="G56" s="108">
        <v>51.8</v>
      </c>
    </row>
    <row r="57" spans="1:7" s="107" customFormat="1">
      <c r="A57" s="575" t="s">
        <v>127</v>
      </c>
      <c r="B57" s="577"/>
      <c r="C57" s="108">
        <v>1453</v>
      </c>
      <c r="D57" s="108">
        <v>3.7</v>
      </c>
      <c r="E57" s="108">
        <v>32.9</v>
      </c>
      <c r="F57" s="108">
        <v>7.9</v>
      </c>
      <c r="G57" s="108">
        <v>50.6</v>
      </c>
    </row>
    <row r="58" spans="1:7" s="107" customFormat="1">
      <c r="A58" s="575" t="s">
        <v>128</v>
      </c>
      <c r="B58" s="577"/>
      <c r="C58" s="108">
        <v>1469.7</v>
      </c>
      <c r="D58" s="108">
        <v>3.6</v>
      </c>
      <c r="E58" s="108">
        <v>34</v>
      </c>
      <c r="F58" s="108">
        <v>9</v>
      </c>
      <c r="G58" s="108">
        <v>52</v>
      </c>
    </row>
    <row r="59" spans="1:7" s="107" customFormat="1">
      <c r="A59" s="575" t="s">
        <v>129</v>
      </c>
      <c r="B59" s="577"/>
      <c r="C59" s="108">
        <v>1481.4</v>
      </c>
      <c r="D59" s="108">
        <v>3.6</v>
      </c>
      <c r="E59" s="108">
        <v>36</v>
      </c>
      <c r="F59" s="108">
        <v>9.5</v>
      </c>
      <c r="G59" s="108">
        <v>56.4</v>
      </c>
    </row>
    <row r="60" spans="1:7" s="107" customFormat="1">
      <c r="A60" s="575" t="s">
        <v>130</v>
      </c>
      <c r="B60" s="577"/>
      <c r="C60" s="108">
        <v>1488.2</v>
      </c>
      <c r="D60" s="108">
        <v>3.6</v>
      </c>
      <c r="E60" s="108">
        <v>36.5</v>
      </c>
      <c r="F60" s="108">
        <v>9.9</v>
      </c>
      <c r="G60" s="108">
        <v>56.9</v>
      </c>
    </row>
    <row r="61" spans="1:7" s="107" customFormat="1">
      <c r="A61" s="575" t="s">
        <v>131</v>
      </c>
      <c r="B61" s="577"/>
      <c r="C61" s="108">
        <v>1478.3</v>
      </c>
      <c r="D61" s="108">
        <v>3.6</v>
      </c>
      <c r="E61" s="108">
        <v>37.1</v>
      </c>
      <c r="F61" s="108">
        <v>9.9</v>
      </c>
      <c r="G61" s="108">
        <v>57.7</v>
      </c>
    </row>
    <row r="62" spans="1:7" s="107" customFormat="1">
      <c r="A62" s="575" t="s">
        <v>132</v>
      </c>
      <c r="B62" s="577"/>
      <c r="C62" s="108">
        <v>1494.3</v>
      </c>
      <c r="D62" s="108">
        <v>3.6</v>
      </c>
      <c r="E62" s="108">
        <v>37.299999999999997</v>
      </c>
      <c r="F62" s="108">
        <v>10.3</v>
      </c>
      <c r="G62" s="108">
        <v>57.9</v>
      </c>
    </row>
    <row r="63" spans="1:7" s="107" customFormat="1">
      <c r="A63" s="575" t="s">
        <v>133</v>
      </c>
      <c r="B63" s="577"/>
      <c r="C63" s="108">
        <v>1496.7</v>
      </c>
      <c r="D63" s="108">
        <v>3.6</v>
      </c>
      <c r="E63" s="108">
        <v>38.5</v>
      </c>
      <c r="F63" s="108">
        <v>10.199999999999999</v>
      </c>
      <c r="G63" s="108">
        <v>60.3</v>
      </c>
    </row>
    <row r="64" spans="1:7" s="107" customFormat="1">
      <c r="A64" s="575" t="s">
        <v>134</v>
      </c>
      <c r="B64" s="577"/>
      <c r="C64" s="108">
        <v>1514.9</v>
      </c>
      <c r="D64" s="108">
        <v>3.6</v>
      </c>
      <c r="E64" s="108">
        <v>38.700000000000003</v>
      </c>
      <c r="F64" s="108">
        <v>9.9</v>
      </c>
      <c r="G64" s="108">
        <v>60.4</v>
      </c>
    </row>
    <row r="65" spans="1:7" s="107" customFormat="1">
      <c r="A65" s="575" t="s">
        <v>135</v>
      </c>
      <c r="B65" s="577"/>
      <c r="C65" s="108">
        <v>1520.5</v>
      </c>
      <c r="D65" s="108">
        <v>3.6</v>
      </c>
      <c r="E65" s="108">
        <v>39.200000000000003</v>
      </c>
      <c r="F65" s="108">
        <v>11.6</v>
      </c>
      <c r="G65" s="108">
        <v>60.6</v>
      </c>
    </row>
    <row r="66" spans="1:7" s="107" customFormat="1">
      <c r="A66" s="575" t="s">
        <v>136</v>
      </c>
      <c r="B66" s="577"/>
      <c r="C66" s="108">
        <v>1531.6</v>
      </c>
      <c r="D66" s="108">
        <v>3.6</v>
      </c>
      <c r="E66" s="108">
        <v>39.1</v>
      </c>
      <c r="F66" s="108">
        <v>12.1</v>
      </c>
      <c r="G66" s="108">
        <v>60.3</v>
      </c>
    </row>
    <row r="67" spans="1:7" s="107" customFormat="1">
      <c r="A67" s="575" t="s">
        <v>137</v>
      </c>
      <c r="B67" s="577"/>
      <c r="C67" s="108">
        <v>1534.4</v>
      </c>
      <c r="D67" s="108">
        <v>3.6</v>
      </c>
      <c r="E67" s="108">
        <v>39.200000000000003</v>
      </c>
      <c r="F67" s="108">
        <v>11.8</v>
      </c>
      <c r="G67" s="108">
        <v>60.6</v>
      </c>
    </row>
    <row r="68" spans="1:7" s="107" customFormat="1">
      <c r="A68" s="575" t="s">
        <v>138</v>
      </c>
      <c r="B68" s="577"/>
      <c r="C68" s="108">
        <v>1543.8</v>
      </c>
      <c r="D68" s="108">
        <v>3.6</v>
      </c>
      <c r="E68" s="108">
        <v>40.200000000000003</v>
      </c>
      <c r="F68" s="108">
        <v>11.9</v>
      </c>
      <c r="G68" s="108">
        <v>61.6</v>
      </c>
    </row>
    <row r="69" spans="1:7" s="107" customFormat="1">
      <c r="A69" s="575" t="s">
        <v>139</v>
      </c>
      <c r="B69" s="577"/>
      <c r="C69" s="108">
        <v>1544.8</v>
      </c>
      <c r="D69" s="108">
        <v>3.6</v>
      </c>
      <c r="E69" s="108">
        <v>41.2</v>
      </c>
      <c r="F69" s="108">
        <v>12.4</v>
      </c>
      <c r="G69" s="108">
        <v>63.3</v>
      </c>
    </row>
    <row r="70" spans="1:7" s="107" customFormat="1">
      <c r="A70" s="575" t="s">
        <v>140</v>
      </c>
      <c r="B70" s="577"/>
      <c r="C70" s="108">
        <v>1553.4</v>
      </c>
      <c r="D70" s="108">
        <v>3.6</v>
      </c>
      <c r="E70" s="108">
        <v>41.8</v>
      </c>
      <c r="F70" s="108">
        <v>12.9</v>
      </c>
      <c r="G70" s="108">
        <v>64.3</v>
      </c>
    </row>
    <row r="71" spans="1:7" s="107" customFormat="1">
      <c r="A71" s="575" t="s">
        <v>141</v>
      </c>
      <c r="B71" s="577"/>
      <c r="C71" s="108">
        <v>1544.3</v>
      </c>
      <c r="D71" s="108">
        <v>3.6</v>
      </c>
      <c r="E71" s="108">
        <v>42</v>
      </c>
      <c r="F71" s="108">
        <v>13</v>
      </c>
      <c r="G71" s="108">
        <v>65.7</v>
      </c>
    </row>
    <row r="72" spans="1:7" s="107" customFormat="1">
      <c r="A72" s="575" t="s">
        <v>142</v>
      </c>
      <c r="B72" s="577"/>
      <c r="C72" s="108">
        <v>1553.5</v>
      </c>
      <c r="D72" s="108">
        <v>3.6</v>
      </c>
      <c r="E72" s="108">
        <v>41.6</v>
      </c>
      <c r="F72" s="108">
        <v>13.3</v>
      </c>
      <c r="G72" s="108">
        <v>64.900000000000006</v>
      </c>
    </row>
    <row r="73" spans="1:7" s="107" customFormat="1">
      <c r="A73" s="575" t="s">
        <v>143</v>
      </c>
      <c r="B73" s="577"/>
      <c r="C73" s="108">
        <v>1551.2</v>
      </c>
      <c r="D73" s="108">
        <v>3.6</v>
      </c>
      <c r="E73" s="108">
        <v>41.8</v>
      </c>
      <c r="F73" s="108">
        <v>13.4</v>
      </c>
      <c r="G73" s="108">
        <v>65.099999999999994</v>
      </c>
    </row>
    <row r="74" spans="1:7" s="107" customFormat="1">
      <c r="A74" s="575" t="s">
        <v>144</v>
      </c>
      <c r="B74" s="577"/>
      <c r="C74" s="108">
        <v>1557.8</v>
      </c>
      <c r="D74" s="108">
        <v>3.5</v>
      </c>
      <c r="E74" s="108">
        <v>42.6</v>
      </c>
      <c r="F74" s="108">
        <v>14.4</v>
      </c>
      <c r="G74" s="108">
        <v>66</v>
      </c>
    </row>
    <row r="75" spans="1:7" s="107" customFormat="1">
      <c r="A75" s="575" t="s">
        <v>145</v>
      </c>
      <c r="B75" s="577"/>
      <c r="C75" s="108">
        <v>1552.7</v>
      </c>
      <c r="D75" s="108">
        <v>3.5</v>
      </c>
      <c r="E75" s="108">
        <v>42.8</v>
      </c>
      <c r="F75" s="108">
        <v>14.3</v>
      </c>
      <c r="G75" s="108">
        <v>67</v>
      </c>
    </row>
    <row r="76" spans="1:7" s="107" customFormat="1">
      <c r="A76" s="575" t="s">
        <v>146</v>
      </c>
      <c r="B76" s="577"/>
      <c r="C76" s="108">
        <v>1574.1</v>
      </c>
      <c r="D76" s="108">
        <v>3.5</v>
      </c>
      <c r="E76" s="108">
        <v>43</v>
      </c>
      <c r="F76" s="108">
        <v>14.6</v>
      </c>
      <c r="G76" s="108">
        <v>67.2</v>
      </c>
    </row>
    <row r="77" spans="1:7" s="107" customFormat="1">
      <c r="A77" s="575" t="s">
        <v>147</v>
      </c>
      <c r="B77" s="577"/>
      <c r="C77" s="108">
        <v>1586.5</v>
      </c>
      <c r="D77" s="108">
        <v>3.5</v>
      </c>
      <c r="E77" s="108">
        <v>42.9</v>
      </c>
      <c r="F77" s="108">
        <v>15.3</v>
      </c>
      <c r="G77" s="108">
        <v>65.5</v>
      </c>
    </row>
    <row r="78" spans="1:7" s="107" customFormat="1">
      <c r="A78" s="575" t="s">
        <v>148</v>
      </c>
      <c r="B78" s="577"/>
      <c r="C78" s="108">
        <v>1602</v>
      </c>
      <c r="D78" s="108">
        <v>3.5</v>
      </c>
      <c r="E78" s="108">
        <v>43.8</v>
      </c>
      <c r="F78" s="108">
        <v>16.3</v>
      </c>
      <c r="G78" s="108">
        <v>67.8</v>
      </c>
    </row>
    <row r="79" spans="1:7" s="107" customFormat="1">
      <c r="A79" s="575" t="s">
        <v>149</v>
      </c>
      <c r="B79" s="577"/>
      <c r="C79" s="108">
        <v>1600.2</v>
      </c>
      <c r="D79" s="108">
        <v>3.5</v>
      </c>
      <c r="E79" s="108">
        <v>42.9</v>
      </c>
      <c r="F79" s="108">
        <v>15.9</v>
      </c>
      <c r="G79" s="108">
        <v>66.400000000000006</v>
      </c>
    </row>
    <row r="80" spans="1:7" s="107" customFormat="1">
      <c r="A80" s="575" t="s">
        <v>150</v>
      </c>
      <c r="B80" s="577"/>
      <c r="C80" s="108">
        <v>1619.1</v>
      </c>
      <c r="D80" s="108">
        <v>3.5</v>
      </c>
      <c r="E80" s="108">
        <v>42.8</v>
      </c>
      <c r="F80" s="108">
        <v>15.7</v>
      </c>
      <c r="G80" s="108">
        <v>66.5</v>
      </c>
    </row>
    <row r="81" spans="1:7" s="107" customFormat="1">
      <c r="A81" s="575" t="s">
        <v>151</v>
      </c>
      <c r="B81" s="577"/>
      <c r="C81" s="108">
        <v>1622</v>
      </c>
      <c r="D81" s="108">
        <v>3.5</v>
      </c>
      <c r="E81" s="108">
        <v>44.2</v>
      </c>
      <c r="F81" s="108">
        <v>16.2</v>
      </c>
      <c r="G81" s="108">
        <v>68.8</v>
      </c>
    </row>
    <row r="82" spans="1:7" s="107" customFormat="1">
      <c r="A82" s="575" t="s">
        <v>152</v>
      </c>
      <c r="B82" s="577"/>
      <c r="C82" s="108">
        <v>1628.8</v>
      </c>
      <c r="D82" s="108">
        <v>3.4</v>
      </c>
      <c r="E82" s="108">
        <v>42.8</v>
      </c>
      <c r="F82" s="108">
        <v>16</v>
      </c>
      <c r="G82" s="108">
        <v>67.5</v>
      </c>
    </row>
    <row r="83" spans="1:7" s="107" customFormat="1">
      <c r="A83" s="575" t="s">
        <v>153</v>
      </c>
      <c r="B83" s="577"/>
      <c r="C83" s="108">
        <v>1626.3</v>
      </c>
      <c r="D83" s="108">
        <v>3.4</v>
      </c>
      <c r="E83" s="108">
        <v>43.5</v>
      </c>
      <c r="F83" s="108">
        <v>16.2</v>
      </c>
      <c r="G83" s="108">
        <v>68.099999999999994</v>
      </c>
    </row>
    <row r="84" spans="1:7" s="107" customFormat="1">
      <c r="A84" s="575" t="s">
        <v>154</v>
      </c>
      <c r="B84" s="577"/>
      <c r="C84" s="108">
        <v>1656.8</v>
      </c>
      <c r="D84" s="108">
        <v>3.4</v>
      </c>
      <c r="E84" s="108">
        <v>43.3</v>
      </c>
      <c r="F84" s="108">
        <v>16.8</v>
      </c>
      <c r="G84" s="108">
        <v>67.5</v>
      </c>
    </row>
    <row r="85" spans="1:7" s="107" customFormat="1">
      <c r="A85" s="575" t="s">
        <v>155</v>
      </c>
      <c r="B85" s="577"/>
      <c r="C85" s="108">
        <v>1661.9</v>
      </c>
      <c r="D85" s="108">
        <v>3.4</v>
      </c>
      <c r="E85" s="108">
        <v>43.9</v>
      </c>
      <c r="F85" s="108">
        <v>18.2</v>
      </c>
      <c r="G85" s="108">
        <v>66.900000000000006</v>
      </c>
    </row>
    <row r="86" spans="1:7" s="107" customFormat="1">
      <c r="A86" s="575" t="s">
        <v>156</v>
      </c>
      <c r="B86" s="577"/>
      <c r="C86" s="108">
        <v>1664.9</v>
      </c>
      <c r="D86" s="108">
        <v>3.5</v>
      </c>
      <c r="E86" s="108">
        <v>44.2</v>
      </c>
      <c r="F86" s="108">
        <v>18.3</v>
      </c>
      <c r="G86" s="108">
        <v>67.7</v>
      </c>
    </row>
    <row r="87" spans="1:7" s="107" customFormat="1">
      <c r="A87" s="575" t="s">
        <v>157</v>
      </c>
      <c r="B87" s="577"/>
      <c r="C87" s="108">
        <v>1672.5</v>
      </c>
      <c r="D87" s="108">
        <v>3.5</v>
      </c>
      <c r="E87" s="108">
        <v>44</v>
      </c>
      <c r="F87" s="108">
        <v>18.100000000000001</v>
      </c>
      <c r="G87" s="108">
        <v>67.599999999999994</v>
      </c>
    </row>
    <row r="88" spans="1:7" s="107" customFormat="1">
      <c r="A88" s="575" t="s">
        <v>158</v>
      </c>
      <c r="B88" s="577"/>
      <c r="C88" s="108">
        <v>1673.9</v>
      </c>
      <c r="D88" s="108">
        <v>3.5</v>
      </c>
      <c r="E88" s="108">
        <v>44.3</v>
      </c>
      <c r="F88" s="108">
        <v>18</v>
      </c>
      <c r="G88" s="108">
        <v>68.5</v>
      </c>
    </row>
    <row r="89" spans="1:7" s="107" customFormat="1">
      <c r="A89" s="575" t="s">
        <v>159</v>
      </c>
      <c r="B89" s="577"/>
      <c r="C89" s="108">
        <v>1672.3</v>
      </c>
      <c r="D89" s="108">
        <v>3.5</v>
      </c>
      <c r="E89" s="108">
        <v>44.6</v>
      </c>
      <c r="F89" s="108">
        <v>17.8</v>
      </c>
      <c r="G89" s="108">
        <v>69.5</v>
      </c>
    </row>
    <row r="90" spans="1:7" s="107" customFormat="1">
      <c r="A90" s="575" t="s">
        <v>160</v>
      </c>
      <c r="B90" s="577"/>
      <c r="C90" s="108">
        <v>1671.5</v>
      </c>
      <c r="D90" s="108">
        <v>3.5</v>
      </c>
      <c r="E90" s="108">
        <v>45</v>
      </c>
      <c r="F90" s="108">
        <v>18</v>
      </c>
      <c r="G90" s="108">
        <v>70.2</v>
      </c>
    </row>
    <row r="91" spans="1:7" s="107" customFormat="1">
      <c r="A91" s="575" t="s">
        <v>161</v>
      </c>
      <c r="B91" s="577"/>
      <c r="C91" s="108">
        <v>1673</v>
      </c>
      <c r="D91" s="108">
        <v>3.5</v>
      </c>
      <c r="E91" s="108">
        <v>45.1</v>
      </c>
      <c r="F91" s="108">
        <v>18.100000000000001</v>
      </c>
      <c r="G91" s="108">
        <v>70</v>
      </c>
    </row>
    <row r="92" spans="1:7" s="107" customFormat="1">
      <c r="A92" s="575" t="s">
        <v>162</v>
      </c>
      <c r="B92" s="577"/>
      <c r="C92" s="108">
        <v>1682.1</v>
      </c>
      <c r="D92" s="108">
        <v>3.5</v>
      </c>
      <c r="E92" s="108">
        <v>45.2</v>
      </c>
      <c r="F92" s="108">
        <v>18.5</v>
      </c>
      <c r="G92" s="108">
        <v>69.7</v>
      </c>
    </row>
    <row r="93" spans="1:7" s="107" customFormat="1">
      <c r="A93" s="575" t="s">
        <v>163</v>
      </c>
      <c r="B93" s="577"/>
      <c r="C93" s="108">
        <v>1691.8</v>
      </c>
      <c r="D93" s="108">
        <v>3.4</v>
      </c>
      <c r="E93" s="108">
        <v>45.3</v>
      </c>
      <c r="F93" s="108">
        <v>18.600000000000001</v>
      </c>
      <c r="G93" s="108">
        <v>69.599999999999994</v>
      </c>
    </row>
    <row r="94" spans="1:7" s="107" customFormat="1">
      <c r="A94" s="575" t="s">
        <v>164</v>
      </c>
      <c r="B94" s="577"/>
      <c r="C94" s="108">
        <v>1701.9</v>
      </c>
      <c r="D94" s="108">
        <v>3.4</v>
      </c>
      <c r="E94" s="108">
        <v>45.2</v>
      </c>
      <c r="F94" s="108">
        <v>18.7</v>
      </c>
      <c r="G94" s="108">
        <v>69.099999999999994</v>
      </c>
    </row>
    <row r="95" spans="1:7" s="107" customFormat="1">
      <c r="A95" s="575" t="s">
        <v>165</v>
      </c>
      <c r="B95" s="577"/>
      <c r="C95" s="108">
        <v>1709.3</v>
      </c>
      <c r="D95" s="108">
        <v>3.4</v>
      </c>
      <c r="E95" s="108">
        <v>45.1</v>
      </c>
      <c r="F95" s="108">
        <v>18.600000000000001</v>
      </c>
      <c r="G95" s="108">
        <v>68.900000000000006</v>
      </c>
    </row>
    <row r="96" spans="1:7" s="107" customFormat="1">
      <c r="A96" s="575" t="s">
        <v>166</v>
      </c>
      <c r="B96" s="577"/>
      <c r="C96" s="108">
        <v>1712.6</v>
      </c>
      <c r="D96" s="108">
        <v>3.5</v>
      </c>
      <c r="E96" s="108">
        <v>45</v>
      </c>
      <c r="F96" s="108">
        <v>19.2</v>
      </c>
      <c r="G96" s="108">
        <v>68.099999999999994</v>
      </c>
    </row>
    <row r="97" spans="1:7" s="107" customFormat="1">
      <c r="A97" s="575" t="s">
        <v>167</v>
      </c>
      <c r="B97" s="577"/>
      <c r="C97" s="108">
        <v>1712</v>
      </c>
      <c r="D97" s="108">
        <v>3.4</v>
      </c>
      <c r="E97" s="108">
        <v>45.1</v>
      </c>
      <c r="F97" s="108">
        <v>19.5</v>
      </c>
      <c r="G97" s="108">
        <v>68.099999999999994</v>
      </c>
    </row>
    <row r="98" spans="1:7" s="107" customFormat="1">
      <c r="A98" s="575" t="s">
        <v>168</v>
      </c>
      <c r="B98" s="577"/>
      <c r="C98" s="108">
        <v>1711.6</v>
      </c>
      <c r="D98" s="108">
        <v>3.4</v>
      </c>
      <c r="E98" s="108">
        <v>45.2</v>
      </c>
      <c r="F98" s="108">
        <v>20</v>
      </c>
      <c r="G98" s="108">
        <v>68.099999999999994</v>
      </c>
    </row>
    <row r="99" spans="1:7" s="107" customFormat="1">
      <c r="A99" s="575" t="s">
        <v>169</v>
      </c>
      <c r="B99" s="577"/>
      <c r="C99" s="108">
        <v>1714.6</v>
      </c>
      <c r="D99" s="108">
        <v>3.4</v>
      </c>
      <c r="E99" s="108">
        <v>44.7</v>
      </c>
      <c r="F99" s="108">
        <v>19.7</v>
      </c>
      <c r="G99" s="108">
        <v>67.2</v>
      </c>
    </row>
    <row r="100" spans="1:7" s="107" customFormat="1">
      <c r="A100" s="575" t="s">
        <v>170</v>
      </c>
      <c r="B100" s="577"/>
      <c r="C100" s="108">
        <v>1721.6</v>
      </c>
      <c r="D100" s="108">
        <v>3.4</v>
      </c>
      <c r="E100" s="108">
        <v>44.3</v>
      </c>
      <c r="F100" s="108">
        <v>19.8</v>
      </c>
      <c r="G100" s="108">
        <v>66.400000000000006</v>
      </c>
    </row>
    <row r="101" spans="1:7" s="107" customFormat="1">
      <c r="A101" s="575" t="s">
        <v>171</v>
      </c>
      <c r="B101" s="577"/>
      <c r="C101" s="108">
        <v>1725</v>
      </c>
      <c r="D101" s="108">
        <v>3.4</v>
      </c>
      <c r="E101" s="108">
        <v>44.5</v>
      </c>
      <c r="F101" s="108">
        <v>20.2</v>
      </c>
      <c r="G101" s="108">
        <v>66.7</v>
      </c>
    </row>
    <row r="102" spans="1:7" s="107" customFormat="1">
      <c r="A102" s="575" t="s">
        <v>172</v>
      </c>
      <c r="B102" s="577"/>
      <c r="C102" s="108">
        <v>1725</v>
      </c>
      <c r="D102" s="108">
        <v>3.4</v>
      </c>
      <c r="E102" s="108">
        <v>45</v>
      </c>
      <c r="F102" s="108">
        <v>20.7</v>
      </c>
      <c r="G102" s="108">
        <v>67.900000000000006</v>
      </c>
    </row>
    <row r="103" spans="1:7" s="107" customFormat="1">
      <c r="A103" s="575" t="s">
        <v>173</v>
      </c>
      <c r="B103" s="577"/>
      <c r="C103" s="108">
        <v>1726.8</v>
      </c>
      <c r="D103" s="108">
        <v>3.4</v>
      </c>
      <c r="E103" s="108">
        <v>45.6</v>
      </c>
      <c r="F103" s="108">
        <v>21.2</v>
      </c>
      <c r="G103" s="108">
        <v>68.7</v>
      </c>
    </row>
    <row r="104" spans="1:7" s="107" customFormat="1">
      <c r="A104" s="575" t="s">
        <v>174</v>
      </c>
      <c r="B104" s="577"/>
      <c r="C104" s="108">
        <v>1734.1</v>
      </c>
      <c r="D104" s="108">
        <v>3.4</v>
      </c>
      <c r="E104" s="108">
        <v>45.4</v>
      </c>
      <c r="F104" s="108">
        <v>21.2</v>
      </c>
      <c r="G104" s="108">
        <v>68.599999999999994</v>
      </c>
    </row>
    <row r="105" spans="1:7" s="107" customFormat="1">
      <c r="A105" s="575" t="s">
        <v>175</v>
      </c>
      <c r="B105" s="577"/>
      <c r="C105" s="108">
        <v>1746.2</v>
      </c>
      <c r="D105" s="108">
        <v>3.4</v>
      </c>
      <c r="E105" s="108">
        <v>45.3</v>
      </c>
      <c r="F105" s="108">
        <v>21.5</v>
      </c>
      <c r="G105" s="108">
        <v>67.900000000000006</v>
      </c>
    </row>
    <row r="106" spans="1:7" s="107" customFormat="1">
      <c r="A106" s="575" t="s">
        <v>176</v>
      </c>
      <c r="B106" s="577"/>
      <c r="C106" s="108">
        <v>1756.2</v>
      </c>
      <c r="D106" s="108">
        <v>3.4</v>
      </c>
      <c r="E106" s="108">
        <v>45.1</v>
      </c>
      <c r="F106" s="108">
        <v>21.4</v>
      </c>
      <c r="G106" s="108">
        <v>68</v>
      </c>
    </row>
    <row r="107" spans="1:7" s="107" customFormat="1">
      <c r="A107" s="575" t="s">
        <v>177</v>
      </c>
      <c r="B107" s="577"/>
      <c r="C107" s="108">
        <v>1755</v>
      </c>
      <c r="D107" s="108">
        <v>3.4</v>
      </c>
      <c r="E107" s="108">
        <v>45.4</v>
      </c>
      <c r="F107" s="108">
        <v>21.6</v>
      </c>
      <c r="G107" s="108">
        <v>68</v>
      </c>
    </row>
    <row r="108" spans="1:7" s="107" customFormat="1">
      <c r="A108" s="575" t="s">
        <v>178</v>
      </c>
      <c r="B108" s="577"/>
      <c r="C108" s="108">
        <v>1749.8</v>
      </c>
      <c r="D108" s="108">
        <v>3.4</v>
      </c>
      <c r="E108" s="108">
        <v>45.6</v>
      </c>
      <c r="F108" s="108">
        <v>21.4</v>
      </c>
      <c r="G108" s="108">
        <v>68.3</v>
      </c>
    </row>
    <row r="109" spans="1:7" s="107" customFormat="1">
      <c r="A109" s="575" t="s">
        <v>179</v>
      </c>
      <c r="B109" s="577"/>
      <c r="C109" s="108">
        <v>1755</v>
      </c>
      <c r="D109" s="108">
        <v>3.4</v>
      </c>
      <c r="E109" s="108">
        <v>45.7</v>
      </c>
      <c r="F109" s="108">
        <v>21.5</v>
      </c>
      <c r="G109" s="108">
        <v>68.400000000000006</v>
      </c>
    </row>
    <row r="110" spans="1:7" s="107" customFormat="1">
      <c r="A110" s="575" t="s">
        <v>180</v>
      </c>
      <c r="B110" s="577"/>
      <c r="C110" s="108">
        <v>1769.6</v>
      </c>
      <c r="D110" s="108">
        <v>3.4</v>
      </c>
      <c r="E110" s="108">
        <v>45.5</v>
      </c>
      <c r="F110" s="108">
        <v>21.4</v>
      </c>
      <c r="G110" s="108">
        <v>67.8</v>
      </c>
    </row>
    <row r="111" spans="1:7" s="107" customFormat="1">
      <c r="A111" s="575" t="s">
        <v>181</v>
      </c>
      <c r="B111" s="577"/>
      <c r="C111" s="108">
        <v>1783.7</v>
      </c>
      <c r="D111" s="108">
        <v>3.4</v>
      </c>
      <c r="E111" s="108">
        <v>45.4</v>
      </c>
      <c r="F111" s="108">
        <v>21.5</v>
      </c>
      <c r="G111" s="108">
        <v>67.2</v>
      </c>
    </row>
    <row r="112" spans="1:7" s="107" customFormat="1">
      <c r="A112" s="575" t="s">
        <v>182</v>
      </c>
      <c r="B112" s="577"/>
      <c r="C112" s="108">
        <v>1786.5</v>
      </c>
      <c r="D112" s="108">
        <v>3.4</v>
      </c>
      <c r="E112" s="108">
        <v>44.8</v>
      </c>
      <c r="F112" s="108">
        <v>21.5</v>
      </c>
      <c r="G112" s="108">
        <v>66.3</v>
      </c>
    </row>
    <row r="113" spans="1:7" s="107" customFormat="1">
      <c r="A113" s="575" t="s">
        <v>183</v>
      </c>
      <c r="B113" s="577"/>
      <c r="C113" s="108">
        <v>1784.2</v>
      </c>
      <c r="D113" s="108">
        <v>3.4</v>
      </c>
      <c r="E113" s="108">
        <v>44.6</v>
      </c>
      <c r="F113" s="108">
        <v>21.7</v>
      </c>
      <c r="G113" s="108">
        <v>66.099999999999994</v>
      </c>
    </row>
    <row r="114" spans="1:7" s="107" customFormat="1">
      <c r="A114" s="575" t="s">
        <v>184</v>
      </c>
      <c r="B114" s="577"/>
      <c r="C114" s="108">
        <v>1782.3</v>
      </c>
      <c r="D114" s="108">
        <v>3.4</v>
      </c>
      <c r="E114" s="108">
        <v>45</v>
      </c>
      <c r="F114" s="108">
        <v>21.6</v>
      </c>
      <c r="G114" s="108">
        <v>67.099999999999994</v>
      </c>
    </row>
    <row r="115" spans="1:7" s="107" customFormat="1">
      <c r="A115" s="575" t="s">
        <v>185</v>
      </c>
      <c r="B115" s="577"/>
      <c r="C115" s="108">
        <v>1783.5</v>
      </c>
      <c r="D115" s="108">
        <v>3.4</v>
      </c>
      <c r="E115" s="108">
        <v>45</v>
      </c>
      <c r="F115" s="108">
        <v>21.8</v>
      </c>
      <c r="G115" s="108">
        <v>67.2</v>
      </c>
    </row>
    <row r="116" spans="1:7" s="107" customFormat="1">
      <c r="A116" s="575" t="s">
        <v>186</v>
      </c>
      <c r="B116" s="577"/>
      <c r="C116" s="108">
        <v>1790.1</v>
      </c>
      <c r="D116" s="108">
        <v>3.4</v>
      </c>
      <c r="E116" s="108">
        <v>45.4</v>
      </c>
      <c r="F116" s="108">
        <v>21.8</v>
      </c>
      <c r="G116" s="108">
        <v>68</v>
      </c>
    </row>
    <row r="117" spans="1:7" s="107" customFormat="1">
      <c r="A117" s="575" t="s">
        <v>187</v>
      </c>
      <c r="B117" s="577"/>
      <c r="C117" s="108">
        <v>1798.1</v>
      </c>
      <c r="D117" s="108">
        <v>3.4</v>
      </c>
      <c r="E117" s="108">
        <v>45.2</v>
      </c>
      <c r="F117" s="108">
        <v>21.7</v>
      </c>
      <c r="G117" s="108">
        <v>67.5</v>
      </c>
    </row>
    <row r="118" spans="1:7" s="107" customFormat="1">
      <c r="A118" s="575" t="s">
        <v>188</v>
      </c>
      <c r="B118" s="577"/>
      <c r="C118" s="108">
        <v>1807.1</v>
      </c>
      <c r="D118" s="108">
        <v>3.4</v>
      </c>
      <c r="E118" s="108">
        <v>45.3</v>
      </c>
      <c r="F118" s="108">
        <v>21.6</v>
      </c>
      <c r="G118" s="108">
        <v>67.400000000000006</v>
      </c>
    </row>
    <row r="119" spans="1:7" s="107" customFormat="1">
      <c r="A119" s="575" t="s">
        <v>189</v>
      </c>
      <c r="B119" s="577"/>
      <c r="C119" s="108">
        <v>1816.3</v>
      </c>
      <c r="D119" s="108">
        <v>3.4</v>
      </c>
      <c r="E119" s="108">
        <v>45.2</v>
      </c>
      <c r="F119" s="108">
        <v>21.7</v>
      </c>
      <c r="G119" s="108">
        <v>67.099999999999994</v>
      </c>
    </row>
    <row r="120" spans="1:7" s="107" customFormat="1">
      <c r="A120" s="575" t="s">
        <v>190</v>
      </c>
      <c r="B120" s="577"/>
      <c r="C120" s="108">
        <v>1820.7</v>
      </c>
      <c r="D120" s="108">
        <v>3.4</v>
      </c>
      <c r="E120" s="108">
        <v>45.1</v>
      </c>
      <c r="F120" s="108">
        <v>21.6</v>
      </c>
      <c r="G120" s="108">
        <v>67.099999999999994</v>
      </c>
    </row>
    <row r="121" spans="1:7" s="107" customFormat="1">
      <c r="A121" s="575" t="s">
        <v>191</v>
      </c>
      <c r="B121" s="577"/>
      <c r="C121" s="108">
        <v>1819.5</v>
      </c>
      <c r="D121" s="108">
        <v>3.4</v>
      </c>
      <c r="E121" s="108">
        <v>45.1</v>
      </c>
      <c r="F121" s="108">
        <v>21.8</v>
      </c>
      <c r="G121" s="108">
        <v>66.7</v>
      </c>
    </row>
    <row r="122" spans="1:7" s="107" customFormat="1">
      <c r="A122" s="575" t="s">
        <v>192</v>
      </c>
      <c r="B122" s="577"/>
      <c r="C122" s="108">
        <v>1822.1</v>
      </c>
      <c r="D122" s="108">
        <v>3.4</v>
      </c>
      <c r="E122" s="108">
        <v>44.8</v>
      </c>
      <c r="F122" s="108">
        <v>21.4</v>
      </c>
      <c r="G122" s="108">
        <v>66.5</v>
      </c>
    </row>
    <row r="123" spans="1:7" s="107" customFormat="1">
      <c r="A123" s="575" t="s">
        <v>193</v>
      </c>
      <c r="B123" s="577"/>
      <c r="C123" s="108">
        <v>1830.6</v>
      </c>
      <c r="D123" s="108">
        <v>3.4</v>
      </c>
      <c r="E123" s="108">
        <v>44.2</v>
      </c>
      <c r="F123" s="108">
        <v>21.3</v>
      </c>
      <c r="G123" s="108">
        <v>65.7</v>
      </c>
    </row>
    <row r="124" spans="1:7" s="107" customFormat="1">
      <c r="A124" s="575" t="s">
        <v>194</v>
      </c>
      <c r="B124" s="577"/>
      <c r="C124" s="108">
        <v>1876</v>
      </c>
      <c r="D124" s="108">
        <v>3.4</v>
      </c>
      <c r="E124" s="108">
        <v>45.4</v>
      </c>
      <c r="F124" s="108">
        <v>21</v>
      </c>
      <c r="G124" s="108">
        <v>66.8</v>
      </c>
    </row>
    <row r="125" spans="1:7" s="107" customFormat="1">
      <c r="A125" s="575" t="s">
        <v>195</v>
      </c>
      <c r="B125" s="577"/>
      <c r="C125" s="108">
        <v>1875.6</v>
      </c>
      <c r="D125" s="108">
        <v>3.4</v>
      </c>
      <c r="E125" s="108">
        <v>45.2</v>
      </c>
      <c r="F125" s="108">
        <v>20.9</v>
      </c>
      <c r="G125" s="108">
        <v>66.900000000000006</v>
      </c>
    </row>
    <row r="126" spans="1:7" s="107" customFormat="1">
      <c r="A126" s="575" t="s">
        <v>196</v>
      </c>
      <c r="B126" s="577"/>
      <c r="C126" s="108">
        <v>1875.1</v>
      </c>
      <c r="D126" s="108">
        <v>3.4</v>
      </c>
      <c r="E126" s="108">
        <v>45.9</v>
      </c>
      <c r="F126" s="108">
        <v>21.3</v>
      </c>
      <c r="G126" s="108">
        <v>67.8</v>
      </c>
    </row>
    <row r="127" spans="1:7" s="107" customFormat="1">
      <c r="A127" s="575" t="s">
        <v>197</v>
      </c>
      <c r="B127" s="577"/>
      <c r="C127" s="108">
        <v>1876.1</v>
      </c>
      <c r="D127" s="108">
        <v>3.4</v>
      </c>
      <c r="E127" s="108">
        <v>45.9</v>
      </c>
      <c r="F127" s="108">
        <v>21.5</v>
      </c>
      <c r="G127" s="108">
        <v>67.2</v>
      </c>
    </row>
    <row r="128" spans="1:7" s="107" customFormat="1">
      <c r="A128" s="575" t="s">
        <v>198</v>
      </c>
      <c r="B128" s="577"/>
      <c r="C128" s="108">
        <v>1878.9</v>
      </c>
      <c r="D128" s="108">
        <v>3.4</v>
      </c>
      <c r="E128" s="108">
        <v>46.4</v>
      </c>
      <c r="F128" s="108">
        <v>22.2</v>
      </c>
      <c r="G128" s="108">
        <v>67.599999999999994</v>
      </c>
    </row>
    <row r="129" spans="1:7" s="107" customFormat="1">
      <c r="A129" s="575" t="s">
        <v>199</v>
      </c>
      <c r="B129" s="577"/>
      <c r="C129" s="108">
        <v>1881.7</v>
      </c>
      <c r="D129" s="108">
        <v>3.3</v>
      </c>
      <c r="E129" s="108">
        <v>46.9</v>
      </c>
      <c r="F129" s="108">
        <v>22.8</v>
      </c>
      <c r="G129" s="108">
        <v>67.7</v>
      </c>
    </row>
    <row r="130" spans="1:7" s="107" customFormat="1">
      <c r="A130" s="575" t="s">
        <v>200</v>
      </c>
      <c r="B130" s="577"/>
      <c r="C130" s="108">
        <v>1886.5</v>
      </c>
      <c r="D130" s="108">
        <v>3.3</v>
      </c>
      <c r="E130" s="108">
        <v>47.1</v>
      </c>
      <c r="F130" s="108">
        <v>23.3</v>
      </c>
      <c r="G130" s="108">
        <v>67.599999999999994</v>
      </c>
    </row>
    <row r="131" spans="1:7" s="107" customFormat="1">
      <c r="A131" s="575" t="s">
        <v>201</v>
      </c>
      <c r="B131" s="577"/>
      <c r="C131" s="108">
        <v>1892.6</v>
      </c>
      <c r="D131" s="108">
        <v>3.3</v>
      </c>
      <c r="E131" s="108">
        <v>47.4</v>
      </c>
      <c r="F131" s="108">
        <v>23.6</v>
      </c>
      <c r="G131" s="108">
        <v>67.5</v>
      </c>
    </row>
    <row r="132" spans="1:7" s="107" customFormat="1">
      <c r="A132" s="575" t="s">
        <v>202</v>
      </c>
      <c r="B132" s="577"/>
      <c r="C132" s="108">
        <v>1900.1</v>
      </c>
      <c r="D132" s="108">
        <v>3.3</v>
      </c>
      <c r="E132" s="108">
        <v>47.2</v>
      </c>
      <c r="F132" s="108">
        <v>23.4</v>
      </c>
      <c r="G132" s="108">
        <v>67.099999999999994</v>
      </c>
    </row>
    <row r="133" spans="1:7" s="107" customFormat="1">
      <c r="A133" s="575" t="s">
        <v>203</v>
      </c>
      <c r="B133" s="577"/>
      <c r="C133" s="108">
        <v>1908.4</v>
      </c>
      <c r="D133" s="108">
        <v>3.3</v>
      </c>
      <c r="E133" s="108">
        <v>46.8</v>
      </c>
      <c r="F133" s="108">
        <v>23</v>
      </c>
      <c r="G133" s="108">
        <v>66.599999999999994</v>
      </c>
    </row>
    <row r="134" spans="1:7" s="107" customFormat="1">
      <c r="A134" s="575" t="s">
        <v>204</v>
      </c>
      <c r="B134" s="577"/>
      <c r="C134" s="108">
        <v>1915.6</v>
      </c>
      <c r="D134" s="108">
        <v>3.3</v>
      </c>
      <c r="E134" s="108">
        <v>45.9</v>
      </c>
      <c r="F134" s="108">
        <v>22.3</v>
      </c>
      <c r="G134" s="108">
        <v>65.400000000000006</v>
      </c>
    </row>
    <row r="135" spans="1:7" s="107" customFormat="1">
      <c r="A135" s="575" t="s">
        <v>205</v>
      </c>
      <c r="B135" s="577"/>
      <c r="C135" s="108">
        <v>1920.5</v>
      </c>
      <c r="D135" s="108">
        <v>3.3</v>
      </c>
      <c r="E135" s="108">
        <v>45</v>
      </c>
      <c r="F135" s="108">
        <v>21.7</v>
      </c>
      <c r="G135" s="108">
        <v>64.5</v>
      </c>
    </row>
    <row r="136" spans="1:7" s="107" customFormat="1">
      <c r="A136" s="575" t="s">
        <v>206</v>
      </c>
      <c r="B136" s="577"/>
      <c r="C136" s="108">
        <v>1923.2</v>
      </c>
      <c r="D136" s="108">
        <v>3.3</v>
      </c>
      <c r="E136" s="108">
        <v>45.2</v>
      </c>
      <c r="F136" s="108">
        <v>21.3</v>
      </c>
      <c r="G136" s="108">
        <v>65.2</v>
      </c>
    </row>
    <row r="137" spans="1:7" s="107" customFormat="1">
      <c r="A137" s="575" t="s">
        <v>207</v>
      </c>
      <c r="B137" s="577"/>
      <c r="C137" s="108">
        <v>1923.9</v>
      </c>
      <c r="D137" s="108">
        <v>3.3</v>
      </c>
      <c r="E137" s="108">
        <v>45.4</v>
      </c>
      <c r="F137" s="108">
        <v>21.4</v>
      </c>
      <c r="G137" s="108">
        <v>65.7</v>
      </c>
    </row>
    <row r="138" spans="1:7" s="107" customFormat="1">
      <c r="A138" s="575" t="s">
        <v>208</v>
      </c>
      <c r="B138" s="577"/>
      <c r="C138" s="108">
        <v>1923.5</v>
      </c>
      <c r="D138" s="108">
        <v>3.3</v>
      </c>
      <c r="E138" s="108">
        <v>46.4</v>
      </c>
      <c r="F138" s="108">
        <v>22.4</v>
      </c>
      <c r="G138" s="108">
        <v>66.8</v>
      </c>
    </row>
    <row r="139" spans="1:7" s="107" customFormat="1">
      <c r="A139" s="575" t="s">
        <v>209</v>
      </c>
      <c r="B139" s="577"/>
      <c r="C139" s="108">
        <v>1924.1</v>
      </c>
      <c r="D139" s="108">
        <v>3.3</v>
      </c>
      <c r="E139" s="108">
        <v>46.9</v>
      </c>
      <c r="F139" s="108">
        <v>23.3</v>
      </c>
      <c r="G139" s="108">
        <v>67</v>
      </c>
    </row>
    <row r="140" spans="1:7" s="107" customFormat="1">
      <c r="A140" s="575" t="s">
        <v>210</v>
      </c>
      <c r="B140" s="577"/>
      <c r="C140" s="108">
        <v>1927.8</v>
      </c>
      <c r="D140" s="108">
        <v>3.3</v>
      </c>
      <c r="E140" s="108">
        <v>47.3</v>
      </c>
      <c r="F140" s="108">
        <v>23.9</v>
      </c>
      <c r="G140" s="108">
        <v>67.099999999999994</v>
      </c>
    </row>
    <row r="141" spans="1:7" s="107" customFormat="1">
      <c r="A141" s="575" t="s">
        <v>211</v>
      </c>
      <c r="B141" s="577"/>
      <c r="C141" s="108">
        <v>1931.8</v>
      </c>
      <c r="D141" s="108">
        <v>3.3</v>
      </c>
      <c r="E141" s="108">
        <v>48</v>
      </c>
      <c r="F141" s="108">
        <v>24.3</v>
      </c>
      <c r="G141" s="108">
        <v>67.599999999999994</v>
      </c>
    </row>
    <row r="142" spans="1:7" s="107" customFormat="1">
      <c r="A142" s="575" t="s">
        <v>212</v>
      </c>
      <c r="B142" s="577"/>
      <c r="C142" s="108">
        <v>1935.5</v>
      </c>
      <c r="D142" s="108">
        <v>3.3</v>
      </c>
      <c r="E142" s="108">
        <v>47.9</v>
      </c>
      <c r="F142" s="108">
        <v>24.3</v>
      </c>
      <c r="G142" s="108">
        <v>67.2</v>
      </c>
    </row>
    <row r="143" spans="1:7" s="107" customFormat="1">
      <c r="A143" s="575" t="s">
        <v>213</v>
      </c>
      <c r="B143" s="577"/>
      <c r="C143" s="108">
        <v>1938.5</v>
      </c>
      <c r="D143" s="108">
        <v>3.3</v>
      </c>
      <c r="E143" s="108">
        <v>47.6</v>
      </c>
      <c r="F143" s="108">
        <v>24.1</v>
      </c>
      <c r="G143" s="108">
        <v>67</v>
      </c>
    </row>
    <row r="144" spans="1:7" s="107" customFormat="1">
      <c r="A144" s="575" t="s">
        <v>214</v>
      </c>
      <c r="B144" s="577"/>
      <c r="C144" s="108">
        <v>1941.5</v>
      </c>
      <c r="D144" s="108">
        <v>3.3</v>
      </c>
      <c r="E144" s="108">
        <v>46.8</v>
      </c>
      <c r="F144" s="108">
        <v>23.4</v>
      </c>
      <c r="G144" s="108">
        <v>66.599999999999994</v>
      </c>
    </row>
    <row r="145" spans="1:7" s="107" customFormat="1">
      <c r="A145" s="575" t="s">
        <v>215</v>
      </c>
      <c r="B145" s="577"/>
      <c r="C145" s="108">
        <v>1945.6</v>
      </c>
      <c r="D145" s="108">
        <v>3.3</v>
      </c>
      <c r="E145" s="108">
        <v>46.2</v>
      </c>
      <c r="F145" s="108">
        <v>23.2</v>
      </c>
      <c r="G145" s="108">
        <v>66.3</v>
      </c>
    </row>
    <row r="146" spans="1:7" s="107" customFormat="1">
      <c r="A146" s="575" t="s">
        <v>216</v>
      </c>
      <c r="B146" s="577"/>
      <c r="C146" s="108">
        <v>1950.1</v>
      </c>
      <c r="D146" s="108">
        <v>3.3</v>
      </c>
      <c r="E146" s="108">
        <v>45.8</v>
      </c>
      <c r="F146" s="108">
        <v>23</v>
      </c>
      <c r="G146" s="108">
        <v>65.8</v>
      </c>
    </row>
    <row r="147" spans="1:7" s="107" customFormat="1">
      <c r="A147" s="575" t="s">
        <v>217</v>
      </c>
      <c r="B147" s="577"/>
      <c r="C147" s="108">
        <v>1954.5</v>
      </c>
      <c r="D147" s="108">
        <v>3.3</v>
      </c>
      <c r="E147" s="108">
        <v>45.2</v>
      </c>
      <c r="F147" s="108">
        <v>23.3</v>
      </c>
      <c r="G147" s="108">
        <v>64.599999999999994</v>
      </c>
    </row>
    <row r="148" spans="1:7" s="107" customFormat="1">
      <c r="A148" s="575" t="s">
        <v>218</v>
      </c>
      <c r="B148" s="577"/>
      <c r="C148" s="108">
        <v>1957.4</v>
      </c>
      <c r="D148" s="108">
        <v>3.3</v>
      </c>
      <c r="E148" s="108">
        <v>45.6</v>
      </c>
      <c r="F148" s="108">
        <v>24.2</v>
      </c>
      <c r="G148" s="108">
        <v>64.7</v>
      </c>
    </row>
    <row r="149" spans="1:7" s="107" customFormat="1">
      <c r="A149" s="575" t="s">
        <v>219</v>
      </c>
      <c r="B149" s="577"/>
      <c r="C149" s="108">
        <v>1959.1</v>
      </c>
      <c r="D149" s="108">
        <v>3.3</v>
      </c>
      <c r="E149" s="108">
        <v>46.2</v>
      </c>
      <c r="F149" s="108">
        <v>25.1</v>
      </c>
      <c r="G149" s="108">
        <v>65.400000000000006</v>
      </c>
    </row>
    <row r="150" spans="1:7" s="107" customFormat="1">
      <c r="A150" s="575" t="s">
        <v>220</v>
      </c>
      <c r="B150" s="577"/>
      <c r="C150" s="108">
        <v>1962.9</v>
      </c>
      <c r="D150" s="108">
        <v>3.3</v>
      </c>
      <c r="E150" s="108">
        <v>46.8</v>
      </c>
      <c r="F150" s="108">
        <v>25.7</v>
      </c>
      <c r="G150" s="108">
        <v>66.3</v>
      </c>
    </row>
    <row r="151" spans="1:7" s="107" customFormat="1">
      <c r="A151" s="575" t="s">
        <v>221</v>
      </c>
      <c r="B151" s="577"/>
      <c r="C151" s="108">
        <v>1968.3</v>
      </c>
      <c r="D151" s="108">
        <v>3.3</v>
      </c>
      <c r="E151" s="108">
        <v>47.2</v>
      </c>
      <c r="F151" s="108">
        <v>26.2</v>
      </c>
      <c r="G151" s="108">
        <v>66.5</v>
      </c>
    </row>
    <row r="152" spans="1:7" s="107" customFormat="1">
      <c r="A152" s="575" t="s">
        <v>222</v>
      </c>
      <c r="B152" s="577"/>
      <c r="C152" s="108">
        <v>1973</v>
      </c>
      <c r="D152" s="108">
        <v>3.3</v>
      </c>
      <c r="E152" s="108">
        <v>47.6</v>
      </c>
      <c r="F152" s="108">
        <v>26.5</v>
      </c>
      <c r="G152" s="108">
        <v>66.599999999999994</v>
      </c>
    </row>
    <row r="153" spans="1:7" s="107" customFormat="1">
      <c r="A153" s="575" t="s">
        <v>223</v>
      </c>
      <c r="B153" s="577"/>
      <c r="C153" s="108">
        <v>1974.9</v>
      </c>
      <c r="D153" s="108">
        <v>3.3</v>
      </c>
      <c r="E153" s="108">
        <v>47.5</v>
      </c>
      <c r="F153" s="108">
        <v>26.5</v>
      </c>
      <c r="G153" s="108">
        <v>66.3</v>
      </c>
    </row>
    <row r="154" spans="1:7" s="107" customFormat="1">
      <c r="A154" s="575" t="s">
        <v>224</v>
      </c>
      <c r="B154" s="577"/>
      <c r="C154" s="108">
        <v>1974.8</v>
      </c>
      <c r="D154" s="108">
        <v>3.3</v>
      </c>
      <c r="E154" s="108">
        <v>47.4</v>
      </c>
      <c r="F154" s="108">
        <v>26.3</v>
      </c>
      <c r="G154" s="108">
        <v>66.400000000000006</v>
      </c>
    </row>
    <row r="155" spans="1:7" s="107" customFormat="1">
      <c r="A155" s="575" t="s">
        <v>225</v>
      </c>
      <c r="B155" s="577"/>
      <c r="C155" s="108">
        <v>1974</v>
      </c>
      <c r="D155" s="108">
        <v>3.3</v>
      </c>
      <c r="E155" s="108">
        <v>47.1</v>
      </c>
      <c r="F155" s="108">
        <v>26</v>
      </c>
      <c r="G155" s="108">
        <v>66.3</v>
      </c>
    </row>
    <row r="156" spans="1:7" s="107" customFormat="1">
      <c r="A156" s="575" t="s">
        <v>226</v>
      </c>
      <c r="B156" s="577"/>
      <c r="C156" s="108">
        <v>1972.9</v>
      </c>
      <c r="D156" s="108">
        <v>3.3</v>
      </c>
      <c r="E156" s="108">
        <v>47.5</v>
      </c>
      <c r="F156" s="108">
        <v>26.2</v>
      </c>
      <c r="G156" s="108">
        <v>66.8</v>
      </c>
    </row>
    <row r="157" spans="1:7" s="107" customFormat="1">
      <c r="A157" s="575" t="s">
        <v>227</v>
      </c>
      <c r="B157" s="577"/>
      <c r="C157" s="108">
        <v>1976.9</v>
      </c>
      <c r="D157" s="108">
        <v>3.3</v>
      </c>
      <c r="E157" s="108">
        <v>47.4</v>
      </c>
      <c r="F157" s="108">
        <v>26.6</v>
      </c>
      <c r="G157" s="108">
        <v>66.2</v>
      </c>
    </row>
    <row r="158" spans="1:7" s="107" customFormat="1">
      <c r="A158" s="575" t="s">
        <v>228</v>
      </c>
      <c r="B158" s="577"/>
      <c r="C158" s="108">
        <v>1983.3</v>
      </c>
      <c r="D158" s="108">
        <v>3.3</v>
      </c>
      <c r="E158" s="108">
        <v>48</v>
      </c>
      <c r="F158" s="108">
        <v>27.5</v>
      </c>
      <c r="G158" s="108">
        <v>66.599999999999994</v>
      </c>
    </row>
    <row r="159" spans="1:7" s="107" customFormat="1">
      <c r="A159" s="575" t="s">
        <v>229</v>
      </c>
      <c r="B159" s="577"/>
      <c r="C159" s="108">
        <v>1993.5</v>
      </c>
      <c r="D159" s="108">
        <v>3.2</v>
      </c>
      <c r="E159" s="108">
        <v>48.2</v>
      </c>
      <c r="F159" s="108">
        <v>27.9</v>
      </c>
      <c r="G159" s="108">
        <v>66.599999999999994</v>
      </c>
    </row>
    <row r="160" spans="1:7" s="107" customFormat="1">
      <c r="A160" s="575" t="s">
        <v>230</v>
      </c>
      <c r="B160" s="577"/>
      <c r="C160" s="108">
        <v>2001.6</v>
      </c>
      <c r="D160" s="108">
        <v>3.2</v>
      </c>
      <c r="E160" s="108">
        <v>48.3</v>
      </c>
      <c r="F160" s="108">
        <v>28.1</v>
      </c>
      <c r="G160" s="108">
        <v>66.7</v>
      </c>
    </row>
    <row r="161" spans="1:7" s="107" customFormat="1">
      <c r="A161" s="575" t="s">
        <v>231</v>
      </c>
      <c r="B161" s="577"/>
      <c r="C161" s="108">
        <v>2005.7</v>
      </c>
      <c r="D161" s="108">
        <v>3.3</v>
      </c>
      <c r="E161" s="108">
        <v>48.5</v>
      </c>
      <c r="F161" s="108">
        <v>28.3</v>
      </c>
      <c r="G161" s="108">
        <v>66.900000000000006</v>
      </c>
    </row>
    <row r="162" spans="1:7" s="107" customFormat="1">
      <c r="A162" s="575" t="s">
        <v>232</v>
      </c>
      <c r="B162" s="577"/>
      <c r="C162" s="108">
        <v>2007.7</v>
      </c>
      <c r="D162" s="108">
        <v>3.3</v>
      </c>
      <c r="E162" s="108">
        <v>48.8</v>
      </c>
      <c r="F162" s="108">
        <v>28.4</v>
      </c>
      <c r="G162" s="108">
        <v>67.400000000000006</v>
      </c>
    </row>
    <row r="163" spans="1:7" s="107" customFormat="1">
      <c r="A163" s="575" t="s">
        <v>233</v>
      </c>
      <c r="B163" s="577"/>
      <c r="C163" s="108">
        <v>2007.7</v>
      </c>
      <c r="D163" s="108">
        <v>3.3</v>
      </c>
      <c r="E163" s="108">
        <v>48.8</v>
      </c>
      <c r="F163" s="108">
        <v>28.3</v>
      </c>
      <c r="G163" s="108">
        <v>67.5</v>
      </c>
    </row>
    <row r="164" spans="1:7" s="107" customFormat="1">
      <c r="A164" s="575" t="s">
        <v>234</v>
      </c>
      <c r="B164" s="577"/>
      <c r="C164" s="108">
        <v>2009.7</v>
      </c>
      <c r="D164" s="108">
        <v>3.3</v>
      </c>
      <c r="E164" s="108">
        <v>48.3</v>
      </c>
      <c r="F164" s="108">
        <v>27.9</v>
      </c>
      <c r="G164" s="108">
        <v>67.099999999999994</v>
      </c>
    </row>
    <row r="165" spans="1:7" s="107" customFormat="1">
      <c r="A165" s="575" t="s">
        <v>235</v>
      </c>
      <c r="B165" s="577"/>
      <c r="C165" s="108">
        <v>2009.9</v>
      </c>
      <c r="D165" s="108">
        <v>3.3</v>
      </c>
      <c r="E165" s="108">
        <v>48</v>
      </c>
      <c r="F165" s="108">
        <v>27.9</v>
      </c>
      <c r="G165" s="108">
        <v>66.599999999999994</v>
      </c>
    </row>
    <row r="166" spans="1:7" s="107" customFormat="1">
      <c r="A166" s="575" t="s">
        <v>236</v>
      </c>
      <c r="B166" s="577"/>
      <c r="C166" s="108">
        <v>2009.7</v>
      </c>
      <c r="D166" s="108">
        <v>3.3</v>
      </c>
      <c r="E166" s="108">
        <v>48.2</v>
      </c>
      <c r="F166" s="108">
        <v>28.1</v>
      </c>
      <c r="G166" s="108">
        <v>67</v>
      </c>
    </row>
    <row r="167" spans="1:7" s="107" customFormat="1">
      <c r="A167" s="575" t="s">
        <v>237</v>
      </c>
      <c r="B167" s="577"/>
      <c r="C167" s="108">
        <v>2010</v>
      </c>
      <c r="D167" s="108">
        <v>3.3</v>
      </c>
      <c r="E167" s="108">
        <v>48.7</v>
      </c>
      <c r="F167" s="108">
        <v>28.4</v>
      </c>
      <c r="G167" s="108">
        <v>67.599999999999994</v>
      </c>
    </row>
    <row r="168" spans="1:7" s="107" customFormat="1">
      <c r="A168" s="575" t="s">
        <v>238</v>
      </c>
      <c r="B168" s="577"/>
      <c r="C168" s="108">
        <v>2011.7</v>
      </c>
      <c r="D168" s="108">
        <v>3.3</v>
      </c>
      <c r="E168" s="108">
        <v>49</v>
      </c>
      <c r="F168" s="108">
        <v>28.9</v>
      </c>
      <c r="G168" s="108">
        <v>67.5</v>
      </c>
    </row>
    <row r="169" spans="1:7" s="107" customFormat="1">
      <c r="A169" s="575" t="s">
        <v>239</v>
      </c>
      <c r="B169" s="577"/>
      <c r="C169" s="108">
        <v>2014.4</v>
      </c>
      <c r="D169" s="108">
        <v>3.3</v>
      </c>
      <c r="E169" s="108">
        <v>49</v>
      </c>
      <c r="F169" s="108">
        <v>29.2</v>
      </c>
      <c r="G169" s="108">
        <v>67.2</v>
      </c>
    </row>
    <row r="170" spans="1:7" s="107" customFormat="1">
      <c r="A170" s="575" t="s">
        <v>240</v>
      </c>
      <c r="B170" s="577"/>
      <c r="C170" s="108">
        <v>2018.5</v>
      </c>
      <c r="D170" s="108">
        <v>3.3</v>
      </c>
      <c r="E170" s="108">
        <v>49.7</v>
      </c>
      <c r="F170" s="108">
        <v>29.9</v>
      </c>
      <c r="G170" s="108">
        <v>67.8</v>
      </c>
    </row>
    <row r="171" spans="1:7" s="107" customFormat="1">
      <c r="A171" s="575" t="s">
        <v>241</v>
      </c>
      <c r="B171" s="577"/>
      <c r="C171" s="108">
        <v>2022.8</v>
      </c>
      <c r="D171" s="108">
        <v>3.3</v>
      </c>
      <c r="E171" s="108">
        <v>50.2</v>
      </c>
      <c r="F171" s="108">
        <v>30.4</v>
      </c>
      <c r="G171" s="108">
        <v>68.2</v>
      </c>
    </row>
    <row r="172" spans="1:7" s="107" customFormat="1">
      <c r="A172" s="575" t="s">
        <v>242</v>
      </c>
      <c r="B172" s="577"/>
      <c r="C172" s="108">
        <v>2026.9</v>
      </c>
      <c r="D172" s="108">
        <v>3.3</v>
      </c>
      <c r="E172" s="108">
        <v>50.8</v>
      </c>
      <c r="F172" s="108">
        <v>31</v>
      </c>
      <c r="G172" s="108">
        <v>68.900000000000006</v>
      </c>
    </row>
    <row r="173" spans="1:7" s="107" customFormat="1">
      <c r="A173" s="575" t="s">
        <v>243</v>
      </c>
      <c r="B173" s="577"/>
      <c r="C173" s="108">
        <v>2031.5</v>
      </c>
      <c r="D173" s="108">
        <v>3.3</v>
      </c>
      <c r="E173" s="108">
        <v>51</v>
      </c>
      <c r="F173" s="108">
        <v>31.3</v>
      </c>
      <c r="G173" s="108">
        <v>69</v>
      </c>
    </row>
    <row r="174" spans="1:7" s="107" customFormat="1">
      <c r="A174" s="575" t="s">
        <v>244</v>
      </c>
      <c r="B174" s="577"/>
      <c r="C174" s="108">
        <v>2037.3</v>
      </c>
      <c r="D174" s="108">
        <v>3.3</v>
      </c>
      <c r="E174" s="108">
        <v>51.8</v>
      </c>
      <c r="F174" s="108">
        <v>32.200000000000003</v>
      </c>
      <c r="G174" s="108">
        <v>69.8</v>
      </c>
    </row>
    <row r="175" spans="1:7" s="107" customFormat="1">
      <c r="A175" s="575" t="s">
        <v>245</v>
      </c>
      <c r="B175" s="577"/>
      <c r="C175" s="108">
        <v>2044.8</v>
      </c>
      <c r="D175" s="108">
        <v>3.2</v>
      </c>
      <c r="E175" s="108">
        <v>52.3</v>
      </c>
      <c r="F175" s="108">
        <v>32.700000000000003</v>
      </c>
      <c r="G175" s="108">
        <v>70.2</v>
      </c>
    </row>
    <row r="176" spans="1:7" s="107" customFormat="1">
      <c r="A176" s="575" t="s">
        <v>246</v>
      </c>
      <c r="B176" s="577"/>
      <c r="C176" s="108">
        <v>2051.3000000000002</v>
      </c>
      <c r="D176" s="108">
        <v>3.3</v>
      </c>
      <c r="E176" s="108">
        <v>52.1</v>
      </c>
      <c r="F176" s="108">
        <v>32.700000000000003</v>
      </c>
      <c r="G176" s="108">
        <v>69.5</v>
      </c>
    </row>
    <row r="177" spans="1:7" s="107" customFormat="1">
      <c r="A177" s="575" t="s">
        <v>247</v>
      </c>
      <c r="B177" s="577"/>
      <c r="C177" s="108">
        <v>2057.1999999999998</v>
      </c>
      <c r="D177" s="108">
        <v>3.2</v>
      </c>
      <c r="E177" s="108">
        <v>52.1</v>
      </c>
      <c r="F177" s="108">
        <v>32.6</v>
      </c>
      <c r="G177" s="108">
        <v>69.400000000000006</v>
      </c>
    </row>
    <row r="178" spans="1:7" s="107" customFormat="1">
      <c r="A178" s="575" t="s">
        <v>248</v>
      </c>
      <c r="B178" s="577"/>
      <c r="C178" s="108">
        <v>2062.1</v>
      </c>
      <c r="D178" s="108">
        <v>3.2</v>
      </c>
      <c r="E178" s="108">
        <v>52.3</v>
      </c>
      <c r="F178" s="108">
        <v>33.200000000000003</v>
      </c>
      <c r="G178" s="108">
        <v>69.400000000000006</v>
      </c>
    </row>
    <row r="179" spans="1:7" s="107" customFormat="1">
      <c r="A179" s="575" t="s">
        <v>249</v>
      </c>
      <c r="B179" s="577"/>
      <c r="C179" s="108">
        <v>2061.9</v>
      </c>
      <c r="D179" s="108">
        <v>3.3</v>
      </c>
      <c r="E179" s="108">
        <v>52</v>
      </c>
      <c r="F179" s="108">
        <v>33.299999999999997</v>
      </c>
      <c r="G179" s="108">
        <v>69</v>
      </c>
    </row>
    <row r="180" spans="1:7" s="107" customFormat="1">
      <c r="A180" s="575" t="s">
        <v>250</v>
      </c>
      <c r="B180" s="577"/>
      <c r="C180" s="108">
        <v>2059.4</v>
      </c>
      <c r="D180" s="108">
        <v>3.3</v>
      </c>
      <c r="E180" s="108">
        <v>52</v>
      </c>
      <c r="F180" s="108">
        <v>33.6</v>
      </c>
      <c r="G180" s="108">
        <v>68.8</v>
      </c>
    </row>
    <row r="181" spans="1:7" s="107" customFormat="1">
      <c r="A181" s="575" t="s">
        <v>251</v>
      </c>
      <c r="B181" s="577"/>
      <c r="C181" s="108">
        <v>2049.1999999999998</v>
      </c>
      <c r="D181" s="108">
        <v>3.2</v>
      </c>
      <c r="E181" s="108">
        <v>51.3</v>
      </c>
      <c r="F181" s="108">
        <v>34</v>
      </c>
      <c r="G181" s="108">
        <v>66.7</v>
      </c>
    </row>
    <row r="182" spans="1:7" s="107" customFormat="1">
      <c r="A182" s="575" t="s">
        <v>252</v>
      </c>
      <c r="B182" s="577"/>
      <c r="C182" s="108">
        <v>2050</v>
      </c>
      <c r="D182" s="108">
        <v>3.2</v>
      </c>
      <c r="E182" s="108">
        <v>51.8</v>
      </c>
      <c r="F182" s="108">
        <v>34.6</v>
      </c>
      <c r="G182" s="108">
        <v>67</v>
      </c>
    </row>
    <row r="183" spans="1:7" s="107" customFormat="1">
      <c r="A183" s="575" t="s">
        <v>253</v>
      </c>
      <c r="B183" s="577"/>
      <c r="C183" s="108">
        <v>2052.1999999999998</v>
      </c>
      <c r="D183" s="108">
        <v>3.2</v>
      </c>
      <c r="E183" s="108">
        <v>51.7</v>
      </c>
      <c r="F183" s="108">
        <v>35.1</v>
      </c>
      <c r="G183" s="108">
        <v>66.400000000000006</v>
      </c>
    </row>
    <row r="184" spans="1:7" s="107" customFormat="1">
      <c r="A184" s="575" t="s">
        <v>254</v>
      </c>
      <c r="B184" s="577"/>
      <c r="C184" s="108">
        <v>2055.9</v>
      </c>
      <c r="D184" s="108">
        <v>3.2</v>
      </c>
      <c r="E184" s="108">
        <v>52</v>
      </c>
      <c r="F184" s="108">
        <v>35.5</v>
      </c>
      <c r="G184" s="108">
        <v>66.7</v>
      </c>
    </row>
    <row r="185" spans="1:7" s="107" customFormat="1">
      <c r="A185" s="575" t="s">
        <v>255</v>
      </c>
      <c r="B185" s="577"/>
      <c r="C185" s="108">
        <v>2061</v>
      </c>
      <c r="D185" s="108">
        <v>3.2</v>
      </c>
      <c r="E185" s="108">
        <v>52.4</v>
      </c>
      <c r="F185" s="108">
        <v>36.200000000000003</v>
      </c>
      <c r="G185" s="108">
        <v>66.7</v>
      </c>
    </row>
    <row r="186" spans="1:7" s="107" customFormat="1">
      <c r="A186" s="575" t="s">
        <v>256</v>
      </c>
      <c r="B186" s="577"/>
      <c r="C186" s="108">
        <v>2067.1</v>
      </c>
      <c r="D186" s="108">
        <v>3.2</v>
      </c>
      <c r="E186" s="108">
        <v>52.4</v>
      </c>
      <c r="F186" s="108">
        <v>36</v>
      </c>
      <c r="G186" s="108">
        <v>67</v>
      </c>
    </row>
    <row r="187" spans="1:7" s="107" customFormat="1">
      <c r="A187" s="575" t="s">
        <v>257</v>
      </c>
      <c r="B187" s="577"/>
      <c r="C187" s="108">
        <v>2072.4</v>
      </c>
      <c r="D187" s="108">
        <v>3.2</v>
      </c>
      <c r="E187" s="108">
        <v>52.5</v>
      </c>
      <c r="F187" s="108">
        <v>36.700000000000003</v>
      </c>
      <c r="G187" s="108">
        <v>66.900000000000006</v>
      </c>
    </row>
    <row r="188" spans="1:7" s="107" customFormat="1">
      <c r="A188" s="575" t="s">
        <v>258</v>
      </c>
      <c r="B188" s="577"/>
      <c r="C188" s="108">
        <v>2077.1</v>
      </c>
      <c r="D188" s="108">
        <v>3.2</v>
      </c>
      <c r="E188" s="108">
        <v>52.7</v>
      </c>
      <c r="F188" s="108">
        <v>36.700000000000003</v>
      </c>
      <c r="G188" s="108">
        <v>67.099999999999994</v>
      </c>
    </row>
    <row r="189" spans="1:7" s="107" customFormat="1">
      <c r="A189" s="575" t="s">
        <v>259</v>
      </c>
      <c r="B189" s="577"/>
      <c r="C189" s="108">
        <v>2076.4</v>
      </c>
      <c r="D189" s="108">
        <v>3.2</v>
      </c>
      <c r="E189" s="108">
        <v>52.6</v>
      </c>
      <c r="F189" s="108">
        <v>36.700000000000003</v>
      </c>
      <c r="G189" s="108">
        <v>67.099999999999994</v>
      </c>
    </row>
    <row r="190" spans="1:7" s="107" customFormat="1">
      <c r="A190" s="575" t="s">
        <v>260</v>
      </c>
      <c r="B190" s="577"/>
      <c r="C190" s="108">
        <v>2078.6</v>
      </c>
      <c r="D190" s="108">
        <v>3.2</v>
      </c>
      <c r="E190" s="108">
        <v>52.5</v>
      </c>
      <c r="F190" s="108">
        <v>36.299999999999997</v>
      </c>
      <c r="G190" s="108">
        <v>67.400000000000006</v>
      </c>
    </row>
    <row r="191" spans="1:7" s="107" customFormat="1">
      <c r="A191" s="575" t="s">
        <v>261</v>
      </c>
      <c r="B191" s="577"/>
      <c r="C191" s="108">
        <v>2079.5</v>
      </c>
      <c r="D191" s="108">
        <v>3.2</v>
      </c>
      <c r="E191" s="108">
        <v>52.1</v>
      </c>
      <c r="F191" s="108">
        <v>36</v>
      </c>
      <c r="G191" s="108">
        <v>67.2</v>
      </c>
    </row>
    <row r="192" spans="1:7" s="107" customFormat="1">
      <c r="A192" s="575" t="s">
        <v>262</v>
      </c>
      <c r="B192" s="577"/>
      <c r="C192" s="108">
        <v>2083.8000000000002</v>
      </c>
      <c r="D192" s="108">
        <v>3.2</v>
      </c>
      <c r="E192" s="108">
        <v>52.3</v>
      </c>
      <c r="F192" s="108">
        <v>36.299999999999997</v>
      </c>
      <c r="G192" s="108">
        <v>67.3</v>
      </c>
    </row>
    <row r="193" spans="1:7" s="107" customFormat="1">
      <c r="A193" s="575" t="s">
        <v>263</v>
      </c>
      <c r="B193" s="577"/>
      <c r="C193" s="108">
        <v>2087.1999999999998</v>
      </c>
      <c r="D193" s="108">
        <v>3.1</v>
      </c>
      <c r="E193" s="108">
        <v>52.4</v>
      </c>
      <c r="F193" s="108">
        <v>34.5</v>
      </c>
      <c r="G193" s="108">
        <v>68.3</v>
      </c>
    </row>
    <row r="194" spans="1:7" s="107" customFormat="1">
      <c r="A194" s="575" t="s">
        <v>264</v>
      </c>
      <c r="B194" s="577"/>
      <c r="C194" s="108">
        <v>2091.6999999999998</v>
      </c>
      <c r="D194" s="108">
        <v>3.1</v>
      </c>
      <c r="E194" s="108">
        <v>52.7</v>
      </c>
      <c r="F194" s="108">
        <v>34.700000000000003</v>
      </c>
      <c r="G194" s="108">
        <v>68.599999999999994</v>
      </c>
    </row>
    <row r="195" spans="1:7" s="107" customFormat="1">
      <c r="A195" s="575" t="s">
        <v>265</v>
      </c>
      <c r="B195" s="577"/>
      <c r="C195" s="108">
        <v>2097.1</v>
      </c>
      <c r="D195" s="108">
        <v>3.1</v>
      </c>
      <c r="E195" s="108">
        <v>52.8</v>
      </c>
      <c r="F195" s="108">
        <v>34.700000000000003</v>
      </c>
      <c r="G195" s="108">
        <v>68.900000000000006</v>
      </c>
    </row>
    <row r="196" spans="1:7" s="107" customFormat="1">
      <c r="A196" s="575" t="s">
        <v>266</v>
      </c>
      <c r="B196" s="577"/>
      <c r="C196" s="108">
        <v>2101.6999999999998</v>
      </c>
      <c r="D196" s="108">
        <v>3.1</v>
      </c>
      <c r="E196" s="108">
        <v>52.8</v>
      </c>
      <c r="F196" s="108">
        <v>34.700000000000003</v>
      </c>
      <c r="G196" s="108">
        <v>68.900000000000006</v>
      </c>
    </row>
    <row r="197" spans="1:7" s="107" customFormat="1">
      <c r="A197" s="575" t="s">
        <v>267</v>
      </c>
      <c r="B197" s="577"/>
      <c r="C197" s="108">
        <v>2106.5</v>
      </c>
      <c r="D197" s="108">
        <v>3.1</v>
      </c>
      <c r="E197" s="108">
        <v>52.8</v>
      </c>
      <c r="F197" s="108">
        <v>34.9</v>
      </c>
      <c r="G197" s="108">
        <v>68.900000000000006</v>
      </c>
    </row>
    <row r="198" spans="1:7" s="107" customFormat="1">
      <c r="A198" s="575" t="s">
        <v>268</v>
      </c>
      <c r="B198" s="577"/>
      <c r="C198" s="108">
        <v>2111</v>
      </c>
      <c r="D198" s="108">
        <v>3.1</v>
      </c>
      <c r="E198" s="108">
        <v>52.8</v>
      </c>
      <c r="F198" s="108">
        <v>34.9</v>
      </c>
      <c r="G198" s="108">
        <v>68.8</v>
      </c>
    </row>
    <row r="199" spans="1:7" s="107" customFormat="1">
      <c r="A199" s="575" t="s">
        <v>269</v>
      </c>
      <c r="B199" s="577"/>
      <c r="C199" s="108">
        <v>2111.8000000000002</v>
      </c>
      <c r="D199" s="108">
        <v>3.1</v>
      </c>
      <c r="E199" s="108">
        <v>53.1</v>
      </c>
      <c r="F199" s="108">
        <v>35.200000000000003</v>
      </c>
      <c r="G199" s="108">
        <v>68.7</v>
      </c>
    </row>
    <row r="200" spans="1:7" s="107" customFormat="1">
      <c r="A200" s="575" t="s">
        <v>270</v>
      </c>
      <c r="B200" s="577"/>
      <c r="C200" s="108">
        <v>2111.8000000000002</v>
      </c>
      <c r="D200" s="108">
        <v>3.1</v>
      </c>
      <c r="E200" s="108">
        <v>53</v>
      </c>
      <c r="F200" s="108">
        <v>35.200000000000003</v>
      </c>
      <c r="G200" s="108">
        <v>68.7</v>
      </c>
    </row>
    <row r="201" spans="1:7" s="107" customFormat="1">
      <c r="A201" s="575" t="s">
        <v>271</v>
      </c>
      <c r="B201" s="577"/>
      <c r="C201" s="108">
        <v>2113.8000000000002</v>
      </c>
      <c r="D201" s="108">
        <v>3.1</v>
      </c>
      <c r="E201" s="108">
        <v>53.2</v>
      </c>
      <c r="F201" s="108">
        <v>35.299999999999997</v>
      </c>
      <c r="G201" s="108">
        <v>68.900000000000006</v>
      </c>
    </row>
    <row r="202" spans="1:7" s="107" customFormat="1">
      <c r="A202" s="575" t="s">
        <v>272</v>
      </c>
      <c r="B202" s="577"/>
      <c r="C202" s="108">
        <v>2112.5</v>
      </c>
      <c r="D202" s="108">
        <v>3.1</v>
      </c>
      <c r="E202" s="108">
        <v>53.2</v>
      </c>
      <c r="F202" s="108">
        <v>35.200000000000003</v>
      </c>
      <c r="G202" s="108">
        <v>69.099999999999994</v>
      </c>
    </row>
    <row r="203" spans="1:7" s="107" customFormat="1">
      <c r="A203" s="575" t="s">
        <v>273</v>
      </c>
      <c r="B203" s="577"/>
      <c r="C203" s="108">
        <v>2111.4</v>
      </c>
      <c r="D203" s="108">
        <v>3.1</v>
      </c>
      <c r="E203" s="108">
        <v>53.5</v>
      </c>
      <c r="F203" s="108">
        <v>35.299999999999997</v>
      </c>
      <c r="G203" s="108">
        <v>69.7</v>
      </c>
    </row>
    <row r="204" spans="1:7" s="107" customFormat="1">
      <c r="A204" s="575" t="s">
        <v>274</v>
      </c>
      <c r="B204" s="577"/>
      <c r="C204" s="108">
        <v>2108.4</v>
      </c>
      <c r="D204" s="108">
        <v>3.1</v>
      </c>
      <c r="E204" s="108">
        <v>53.3</v>
      </c>
      <c r="F204" s="108">
        <v>35.200000000000003</v>
      </c>
      <c r="G204" s="108">
        <v>69.5</v>
      </c>
    </row>
    <row r="205" spans="1:7" s="107" customFormat="1">
      <c r="A205" s="575" t="s">
        <v>275</v>
      </c>
      <c r="B205" s="577"/>
      <c r="C205" s="108">
        <v>2109.4</v>
      </c>
      <c r="D205" s="108">
        <v>3.1</v>
      </c>
      <c r="E205" s="108">
        <v>53.2</v>
      </c>
      <c r="F205" s="108">
        <v>35</v>
      </c>
      <c r="G205" s="108">
        <v>69.599999999999994</v>
      </c>
    </row>
    <row r="206" spans="1:7" s="107" customFormat="1">
      <c r="A206" s="575" t="s">
        <v>276</v>
      </c>
      <c r="B206" s="577"/>
      <c r="C206" s="108">
        <v>2113.4</v>
      </c>
      <c r="D206" s="108">
        <v>3.1</v>
      </c>
      <c r="E206" s="108">
        <v>53.3</v>
      </c>
      <c r="F206" s="108">
        <v>35.200000000000003</v>
      </c>
      <c r="G206" s="108">
        <v>69.599999999999994</v>
      </c>
    </row>
    <row r="207" spans="1:7" s="107" customFormat="1">
      <c r="A207" s="575" t="s">
        <v>277</v>
      </c>
      <c r="B207" s="577"/>
      <c r="C207" s="108">
        <v>2116.4</v>
      </c>
      <c r="D207" s="108">
        <v>3.1</v>
      </c>
      <c r="E207" s="108">
        <v>53.6</v>
      </c>
      <c r="F207" s="108">
        <v>35.4</v>
      </c>
      <c r="G207" s="108">
        <v>70</v>
      </c>
    </row>
    <row r="208" spans="1:7" s="107" customFormat="1">
      <c r="A208" s="575" t="s">
        <v>278</v>
      </c>
      <c r="B208" s="577"/>
      <c r="C208" s="108">
        <v>2121.1999999999998</v>
      </c>
      <c r="D208" s="108">
        <v>3.1</v>
      </c>
      <c r="E208" s="108">
        <v>53.3</v>
      </c>
      <c r="F208" s="108">
        <v>35.299999999999997</v>
      </c>
      <c r="G208" s="108">
        <v>69.5</v>
      </c>
    </row>
    <row r="209" spans="1:7" s="107" customFormat="1">
      <c r="A209" s="575" t="s">
        <v>279</v>
      </c>
      <c r="B209" s="577"/>
      <c r="C209" s="108">
        <v>2127.4</v>
      </c>
      <c r="D209" s="108">
        <v>3.1</v>
      </c>
      <c r="E209" s="108">
        <v>53.2</v>
      </c>
      <c r="F209" s="108">
        <v>35.200000000000003</v>
      </c>
      <c r="G209" s="108">
        <v>69.3</v>
      </c>
    </row>
    <row r="210" spans="1:7" s="107" customFormat="1">
      <c r="A210" s="575" t="s">
        <v>280</v>
      </c>
      <c r="B210" s="577"/>
      <c r="C210" s="108">
        <v>2133.1</v>
      </c>
      <c r="D210" s="108">
        <v>3.1</v>
      </c>
      <c r="E210" s="108">
        <v>53</v>
      </c>
      <c r="F210" s="108">
        <v>34.799999999999997</v>
      </c>
      <c r="G210" s="108">
        <v>69.2</v>
      </c>
    </row>
    <row r="211" spans="1:7" s="107" customFormat="1">
      <c r="A211" s="575" t="s">
        <v>281</v>
      </c>
      <c r="B211" s="577"/>
      <c r="C211" s="108">
        <v>2136.5</v>
      </c>
      <c r="D211" s="108">
        <v>3.1</v>
      </c>
      <c r="E211" s="108">
        <v>53.3</v>
      </c>
      <c r="F211" s="108">
        <v>34.9</v>
      </c>
      <c r="G211" s="108">
        <v>69.7</v>
      </c>
    </row>
    <row r="212" spans="1:7" s="107" customFormat="1">
      <c r="A212" s="575" t="s">
        <v>282</v>
      </c>
      <c r="B212" s="577"/>
      <c r="C212" s="108">
        <v>2136.8000000000002</v>
      </c>
      <c r="D212" s="108">
        <v>3.1</v>
      </c>
      <c r="E212" s="108">
        <v>53.3</v>
      </c>
      <c r="F212" s="108">
        <v>34.700000000000003</v>
      </c>
      <c r="G212" s="108">
        <v>70</v>
      </c>
    </row>
    <row r="213" spans="1:7" s="107" customFormat="1">
      <c r="A213" s="575" t="s">
        <v>283</v>
      </c>
      <c r="B213" s="577"/>
      <c r="C213" s="108">
        <v>2138.3000000000002</v>
      </c>
      <c r="D213" s="108">
        <v>3.1</v>
      </c>
      <c r="E213" s="108">
        <v>53.2</v>
      </c>
      <c r="F213" s="108">
        <v>34.700000000000003</v>
      </c>
      <c r="G213" s="108">
        <v>69.900000000000006</v>
      </c>
    </row>
    <row r="214" spans="1:7" s="107" customFormat="1">
      <c r="A214" s="575" t="s">
        <v>284</v>
      </c>
      <c r="B214" s="577"/>
      <c r="C214" s="108">
        <v>2141.4</v>
      </c>
      <c r="D214" s="108">
        <v>3.1</v>
      </c>
      <c r="E214" s="108">
        <v>53.4</v>
      </c>
      <c r="F214" s="108">
        <v>34.6</v>
      </c>
      <c r="G214" s="108">
        <v>70.5</v>
      </c>
    </row>
    <row r="215" spans="1:7" s="107" customFormat="1">
      <c r="A215" s="575" t="s">
        <v>285</v>
      </c>
      <c r="B215" s="577"/>
      <c r="C215" s="108">
        <v>2144.6999999999998</v>
      </c>
      <c r="D215" s="108">
        <v>3.1</v>
      </c>
      <c r="E215" s="108">
        <v>53.8</v>
      </c>
      <c r="F215" s="108">
        <v>34.700000000000003</v>
      </c>
      <c r="G215" s="108">
        <v>71.099999999999994</v>
      </c>
    </row>
    <row r="216" spans="1:7" s="107" customFormat="1">
      <c r="A216" s="575" t="s">
        <v>286</v>
      </c>
      <c r="B216" s="577"/>
      <c r="C216" s="108">
        <v>2145.5</v>
      </c>
      <c r="D216" s="108">
        <v>3.1</v>
      </c>
      <c r="E216" s="108">
        <v>54.4</v>
      </c>
      <c r="F216" s="108">
        <v>35</v>
      </c>
      <c r="G216" s="108">
        <v>71.900000000000006</v>
      </c>
    </row>
    <row r="217" spans="1:7" s="107" customFormat="1">
      <c r="A217" s="575" t="s">
        <v>287</v>
      </c>
      <c r="B217" s="577"/>
      <c r="C217" s="108">
        <v>2148.6</v>
      </c>
      <c r="D217" s="108">
        <v>3.1</v>
      </c>
      <c r="E217" s="108">
        <v>54.2</v>
      </c>
      <c r="F217" s="108">
        <v>35</v>
      </c>
      <c r="G217" s="108">
        <v>71.2</v>
      </c>
    </row>
    <row r="218" spans="1:7" s="107" customFormat="1">
      <c r="A218" s="575" t="s">
        <v>288</v>
      </c>
      <c r="B218" s="577"/>
      <c r="C218" s="108">
        <v>2152.8000000000002</v>
      </c>
      <c r="D218" s="108">
        <v>3.1</v>
      </c>
      <c r="E218" s="108">
        <v>54.1</v>
      </c>
      <c r="F218" s="108">
        <v>35.1</v>
      </c>
      <c r="G218" s="108">
        <v>70.8</v>
      </c>
    </row>
    <row r="219" spans="1:7" s="107" customFormat="1">
      <c r="A219" s="575" t="s">
        <v>289</v>
      </c>
      <c r="B219" s="577"/>
      <c r="C219" s="108">
        <v>2158.1999999999998</v>
      </c>
      <c r="D219" s="108">
        <v>3.1</v>
      </c>
      <c r="E219" s="108">
        <v>53.9</v>
      </c>
      <c r="F219" s="108">
        <v>34.9</v>
      </c>
      <c r="G219" s="108">
        <v>70.5</v>
      </c>
    </row>
    <row r="220" spans="1:7" s="107" customFormat="1">
      <c r="A220" s="575" t="s">
        <v>290</v>
      </c>
      <c r="B220" s="577"/>
      <c r="C220" s="108">
        <v>2162</v>
      </c>
      <c r="D220" s="108">
        <v>3</v>
      </c>
      <c r="E220" s="108">
        <v>54.2</v>
      </c>
      <c r="F220" s="108">
        <v>35</v>
      </c>
      <c r="G220" s="108">
        <v>71.099999999999994</v>
      </c>
    </row>
    <row r="221" spans="1:7" s="107" customFormat="1">
      <c r="A221" s="575" t="s">
        <v>291</v>
      </c>
      <c r="B221" s="577"/>
      <c r="C221" s="108">
        <v>2164.6</v>
      </c>
      <c r="D221" s="108">
        <v>3.1</v>
      </c>
      <c r="E221" s="108">
        <v>54.2</v>
      </c>
      <c r="F221" s="108">
        <v>34.799999999999997</v>
      </c>
      <c r="G221" s="108">
        <v>71.400000000000006</v>
      </c>
    </row>
    <row r="222" spans="1:7" s="107" customFormat="1">
      <c r="A222" s="575" t="s">
        <v>292</v>
      </c>
      <c r="B222" s="577"/>
      <c r="C222" s="108">
        <v>2169.9</v>
      </c>
      <c r="D222" s="108">
        <v>3</v>
      </c>
      <c r="E222" s="108">
        <v>54.3</v>
      </c>
      <c r="F222" s="108">
        <v>34.9</v>
      </c>
      <c r="G222" s="108">
        <v>71.5</v>
      </c>
    </row>
    <row r="223" spans="1:7" s="107" customFormat="1">
      <c r="A223" s="575" t="s">
        <v>293</v>
      </c>
      <c r="B223" s="577"/>
      <c r="C223" s="108">
        <v>2173.3000000000002</v>
      </c>
      <c r="D223" s="108">
        <v>3</v>
      </c>
      <c r="E223" s="108">
        <v>54</v>
      </c>
      <c r="F223" s="108">
        <v>34.700000000000003</v>
      </c>
      <c r="G223" s="108">
        <v>71.099999999999994</v>
      </c>
    </row>
    <row r="224" spans="1:7" s="107" customFormat="1">
      <c r="A224" s="575" t="s">
        <v>294</v>
      </c>
      <c r="B224" s="577"/>
      <c r="C224" s="108">
        <v>2176</v>
      </c>
      <c r="D224" s="108">
        <v>3</v>
      </c>
      <c r="E224" s="108">
        <v>53.8</v>
      </c>
      <c r="F224" s="108">
        <v>34.6</v>
      </c>
      <c r="G224" s="108">
        <v>70.8</v>
      </c>
    </row>
    <row r="225" spans="1:7" s="107" customFormat="1">
      <c r="A225" s="575" t="s">
        <v>295</v>
      </c>
      <c r="B225" s="577"/>
      <c r="C225" s="108">
        <v>2177</v>
      </c>
      <c r="D225" s="108">
        <v>3</v>
      </c>
      <c r="E225" s="108">
        <v>53.8</v>
      </c>
      <c r="F225" s="108">
        <v>34.700000000000003</v>
      </c>
      <c r="G225" s="108">
        <v>70.599999999999994</v>
      </c>
    </row>
    <row r="226" spans="1:7" s="107" customFormat="1">
      <c r="A226" s="575" t="s">
        <v>296</v>
      </c>
      <c r="B226" s="577"/>
      <c r="C226" s="108">
        <v>2179.8000000000002</v>
      </c>
      <c r="D226" s="108">
        <v>3</v>
      </c>
      <c r="E226" s="108">
        <v>53.8</v>
      </c>
      <c r="F226" s="108">
        <v>34.4</v>
      </c>
      <c r="G226" s="108">
        <v>70.599999999999994</v>
      </c>
    </row>
    <row r="227" spans="1:7" s="107" customFormat="1">
      <c r="A227" s="575" t="s">
        <v>297</v>
      </c>
      <c r="B227" s="577"/>
      <c r="C227" s="108">
        <v>2182.8000000000002</v>
      </c>
      <c r="D227" s="108">
        <v>3</v>
      </c>
      <c r="E227" s="108">
        <v>53.6</v>
      </c>
      <c r="F227" s="108">
        <v>34.4</v>
      </c>
      <c r="G227" s="108">
        <v>70.2</v>
      </c>
    </row>
    <row r="228" spans="1:7" s="107" customFormat="1">
      <c r="A228" s="575" t="s">
        <v>298</v>
      </c>
      <c r="B228" s="577"/>
      <c r="C228" s="108">
        <v>2186.4</v>
      </c>
      <c r="D228" s="108">
        <v>3</v>
      </c>
      <c r="E228" s="108">
        <v>53.8</v>
      </c>
      <c r="F228" s="108">
        <v>34.5</v>
      </c>
      <c r="G228" s="108">
        <v>70.3</v>
      </c>
    </row>
    <row r="229" spans="1:7" s="107" customFormat="1">
      <c r="A229" s="575" t="s">
        <v>299</v>
      </c>
      <c r="B229" s="577"/>
      <c r="C229" s="108">
        <v>2191.1999999999998</v>
      </c>
      <c r="D229" s="108">
        <v>3</v>
      </c>
      <c r="E229" s="108">
        <v>53.7</v>
      </c>
      <c r="F229" s="108">
        <v>34.700000000000003</v>
      </c>
      <c r="G229" s="108">
        <v>70.099999999999994</v>
      </c>
    </row>
    <row r="230" spans="1:7" s="107" customFormat="1">
      <c r="A230" s="575" t="s">
        <v>300</v>
      </c>
      <c r="B230" s="577"/>
      <c r="C230" s="108">
        <v>2190.1</v>
      </c>
      <c r="D230" s="108">
        <v>3</v>
      </c>
      <c r="E230" s="108">
        <v>53.4</v>
      </c>
      <c r="F230" s="108">
        <v>34.6</v>
      </c>
      <c r="G230" s="108">
        <v>69.900000000000006</v>
      </c>
    </row>
    <row r="231" spans="1:7" s="107" customFormat="1">
      <c r="A231" s="575" t="s">
        <v>301</v>
      </c>
      <c r="B231" s="577"/>
      <c r="C231" s="108">
        <v>2193.6</v>
      </c>
      <c r="D231" s="108">
        <v>3</v>
      </c>
      <c r="E231" s="108">
        <v>53.3</v>
      </c>
      <c r="F231" s="108">
        <v>34.5</v>
      </c>
      <c r="G231" s="108">
        <v>69.8</v>
      </c>
    </row>
    <row r="232" spans="1:7" s="107" customFormat="1">
      <c r="A232" s="575" t="s">
        <v>302</v>
      </c>
      <c r="B232" s="577"/>
      <c r="C232" s="108">
        <v>2196.4</v>
      </c>
      <c r="D232" s="108">
        <v>3</v>
      </c>
      <c r="E232" s="108">
        <v>53.9</v>
      </c>
      <c r="F232" s="108">
        <v>34.6</v>
      </c>
      <c r="G232" s="108">
        <v>70.599999999999994</v>
      </c>
    </row>
    <row r="233" spans="1:7" s="107" customFormat="1">
      <c r="A233" s="575" t="s">
        <v>303</v>
      </c>
      <c r="B233" s="577"/>
      <c r="C233" s="108">
        <v>2200.1999999999998</v>
      </c>
      <c r="D233" s="108">
        <v>3</v>
      </c>
      <c r="E233" s="108">
        <v>53.8</v>
      </c>
      <c r="F233" s="108">
        <v>34.6</v>
      </c>
      <c r="G233" s="108">
        <v>70.5</v>
      </c>
    </row>
    <row r="234" spans="1:7" s="107" customFormat="1">
      <c r="A234" s="575" t="s">
        <v>304</v>
      </c>
      <c r="B234" s="577"/>
      <c r="C234" s="108">
        <v>2198.4</v>
      </c>
      <c r="D234" s="108">
        <v>3</v>
      </c>
      <c r="E234" s="108">
        <v>53.7</v>
      </c>
      <c r="F234" s="108">
        <v>34.1</v>
      </c>
      <c r="G234" s="108">
        <v>70.7</v>
      </c>
    </row>
    <row r="235" spans="1:7" s="107" customFormat="1">
      <c r="A235" s="575" t="s">
        <v>305</v>
      </c>
      <c r="B235" s="577"/>
      <c r="C235" s="108">
        <v>2195.4</v>
      </c>
      <c r="D235" s="108">
        <v>3</v>
      </c>
      <c r="E235" s="108">
        <v>53.4</v>
      </c>
      <c r="F235" s="108">
        <v>33.9</v>
      </c>
      <c r="G235" s="108">
        <v>70.5</v>
      </c>
    </row>
    <row r="236" spans="1:7" s="107" customFormat="1">
      <c r="A236" s="575" t="s">
        <v>306</v>
      </c>
      <c r="B236" s="577"/>
      <c r="C236" s="108">
        <v>2194.9</v>
      </c>
      <c r="D236" s="108">
        <v>3</v>
      </c>
      <c r="E236" s="108">
        <v>53.5</v>
      </c>
      <c r="F236" s="108">
        <v>33.799999999999997</v>
      </c>
      <c r="G236" s="108">
        <v>71</v>
      </c>
    </row>
    <row r="237" spans="1:7" s="107" customFormat="1">
      <c r="A237" s="575" t="s">
        <v>307</v>
      </c>
      <c r="B237" s="577"/>
      <c r="C237" s="108">
        <v>2196.4</v>
      </c>
      <c r="D237" s="108">
        <v>3</v>
      </c>
      <c r="E237" s="108">
        <v>53.4</v>
      </c>
      <c r="F237" s="108">
        <v>34.1</v>
      </c>
      <c r="G237" s="108">
        <v>70.5</v>
      </c>
    </row>
    <row r="238" spans="1:7" s="107" customFormat="1">
      <c r="A238" s="575" t="s">
        <v>308</v>
      </c>
      <c r="B238" s="577"/>
      <c r="C238" s="108">
        <v>2197.6999999999998</v>
      </c>
      <c r="D238" s="108">
        <v>3</v>
      </c>
      <c r="E238" s="108">
        <v>53.3</v>
      </c>
      <c r="F238" s="108">
        <v>34.299999999999997</v>
      </c>
      <c r="G238" s="108">
        <v>70.3</v>
      </c>
    </row>
    <row r="239" spans="1:7" s="107" customFormat="1">
      <c r="A239" s="575" t="s">
        <v>309</v>
      </c>
      <c r="B239" s="577"/>
      <c r="C239" s="108">
        <v>2199.1999999999998</v>
      </c>
      <c r="D239" s="108">
        <v>3</v>
      </c>
      <c r="E239" s="108">
        <v>53.6</v>
      </c>
      <c r="F239" s="108">
        <v>34.5</v>
      </c>
      <c r="G239" s="108">
        <v>70.400000000000006</v>
      </c>
    </row>
    <row r="240" spans="1:7" s="107" customFormat="1">
      <c r="A240" s="575" t="s">
        <v>310</v>
      </c>
      <c r="B240" s="577"/>
      <c r="C240" s="108">
        <v>2199.1999999999998</v>
      </c>
      <c r="D240" s="108">
        <v>3</v>
      </c>
      <c r="E240" s="108">
        <v>53.8</v>
      </c>
      <c r="F240" s="108">
        <v>34.4</v>
      </c>
      <c r="G240" s="108">
        <v>70.8</v>
      </c>
    </row>
    <row r="241" spans="1:7" s="107" customFormat="1">
      <c r="A241" s="575" t="s">
        <v>311</v>
      </c>
      <c r="B241" s="577"/>
      <c r="C241" s="108">
        <v>2201.1</v>
      </c>
      <c r="D241" s="108">
        <v>3</v>
      </c>
      <c r="E241" s="108">
        <v>53.8</v>
      </c>
      <c r="F241" s="108">
        <v>34.6</v>
      </c>
      <c r="G241" s="108">
        <v>70.8</v>
      </c>
    </row>
    <row r="242" spans="1:7" s="107" customFormat="1">
      <c r="A242" s="575" t="s">
        <v>312</v>
      </c>
      <c r="B242" s="577"/>
      <c r="C242" s="108">
        <v>2204</v>
      </c>
      <c r="D242" s="108">
        <v>3</v>
      </c>
      <c r="E242" s="108">
        <v>53.8</v>
      </c>
      <c r="F242" s="108">
        <v>35</v>
      </c>
      <c r="G242" s="108">
        <v>70.400000000000006</v>
      </c>
    </row>
    <row r="243" spans="1:7" s="107" customFormat="1">
      <c r="A243" s="575" t="s">
        <v>313</v>
      </c>
      <c r="B243" s="577"/>
      <c r="C243" s="108">
        <v>2209</v>
      </c>
      <c r="D243" s="108">
        <v>3</v>
      </c>
      <c r="E243" s="108">
        <v>53.9</v>
      </c>
      <c r="F243" s="108">
        <v>34.799999999999997</v>
      </c>
      <c r="G243" s="108">
        <v>70.599999999999994</v>
      </c>
    </row>
    <row r="244" spans="1:7" s="107" customFormat="1">
      <c r="A244" s="575" t="s">
        <v>314</v>
      </c>
      <c r="B244" s="577"/>
      <c r="C244" s="108">
        <v>2216.5</v>
      </c>
      <c r="D244" s="108">
        <v>3</v>
      </c>
      <c r="E244" s="108">
        <v>53.8</v>
      </c>
      <c r="F244" s="108">
        <v>34.6</v>
      </c>
      <c r="G244" s="108">
        <v>70.599999999999994</v>
      </c>
    </row>
    <row r="245" spans="1:7" s="107" customFormat="1">
      <c r="A245" s="575" t="s">
        <v>315</v>
      </c>
      <c r="B245" s="577"/>
      <c r="C245" s="108">
        <v>2221.3000000000002</v>
      </c>
      <c r="D245" s="108">
        <v>3</v>
      </c>
      <c r="E245" s="108">
        <v>53.7</v>
      </c>
      <c r="F245" s="108">
        <v>34.299999999999997</v>
      </c>
      <c r="G245" s="108">
        <v>70.7</v>
      </c>
    </row>
    <row r="246" spans="1:7" s="107" customFormat="1">
      <c r="A246" s="575" t="s">
        <v>316</v>
      </c>
      <c r="B246" s="577"/>
      <c r="C246" s="108">
        <v>2229.4</v>
      </c>
      <c r="D246" s="108">
        <v>3</v>
      </c>
      <c r="E246" s="108">
        <v>53.6</v>
      </c>
      <c r="F246" s="108">
        <v>34.1</v>
      </c>
      <c r="G246" s="108">
        <v>70.7</v>
      </c>
    </row>
    <row r="247" spans="1:7" s="107" customFormat="1">
      <c r="A247" s="575" t="s">
        <v>317</v>
      </c>
      <c r="B247" s="577"/>
      <c r="C247" s="108">
        <v>2229.9</v>
      </c>
      <c r="D247" s="108">
        <v>3</v>
      </c>
      <c r="E247" s="108">
        <v>53.6</v>
      </c>
      <c r="F247" s="108">
        <v>34.1</v>
      </c>
      <c r="G247" s="108">
        <v>70.400000000000006</v>
      </c>
    </row>
    <row r="248" spans="1:7" s="107" customFormat="1">
      <c r="A248" s="575" t="s">
        <v>318</v>
      </c>
      <c r="B248" s="577"/>
      <c r="C248" s="108">
        <v>2232.4</v>
      </c>
      <c r="D248" s="108">
        <v>3</v>
      </c>
      <c r="E248" s="108">
        <v>53.6</v>
      </c>
      <c r="F248" s="108">
        <v>34.200000000000003</v>
      </c>
      <c r="G248" s="108">
        <v>70.3</v>
      </c>
    </row>
    <row r="249" spans="1:7" s="107" customFormat="1">
      <c r="A249" s="575" t="s">
        <v>319</v>
      </c>
      <c r="B249" s="577"/>
      <c r="C249" s="108">
        <v>2232.1</v>
      </c>
      <c r="D249" s="108">
        <v>3</v>
      </c>
      <c r="E249" s="108">
        <v>53.6</v>
      </c>
      <c r="F249" s="108">
        <v>34.200000000000003</v>
      </c>
      <c r="G249" s="108">
        <v>70.2</v>
      </c>
    </row>
    <row r="250" spans="1:7" s="107" customFormat="1">
      <c r="A250" s="575" t="s">
        <v>320</v>
      </c>
      <c r="B250" s="577"/>
      <c r="C250" s="108">
        <v>2236.1999999999998</v>
      </c>
      <c r="D250" s="108">
        <v>3</v>
      </c>
      <c r="E250" s="108">
        <v>53.5</v>
      </c>
      <c r="F250" s="108">
        <v>34.1</v>
      </c>
      <c r="G250" s="108">
        <v>70.3</v>
      </c>
    </row>
    <row r="251" spans="1:7" s="107" customFormat="1">
      <c r="A251" s="575" t="s">
        <v>321</v>
      </c>
      <c r="B251" s="577"/>
      <c r="C251" s="108">
        <v>2238.1</v>
      </c>
      <c r="D251" s="108">
        <v>3</v>
      </c>
      <c r="E251" s="108">
        <v>53.5</v>
      </c>
      <c r="F251" s="108">
        <v>34.1</v>
      </c>
      <c r="G251" s="108">
        <v>70.3</v>
      </c>
    </row>
    <row r="252" spans="1:7" s="107" customFormat="1">
      <c r="A252" s="575" t="s">
        <v>322</v>
      </c>
      <c r="B252" s="577"/>
      <c r="C252" s="108">
        <v>2237.6999999999998</v>
      </c>
      <c r="D252" s="108">
        <v>3</v>
      </c>
      <c r="E252" s="108">
        <v>53.2</v>
      </c>
      <c r="F252" s="108">
        <v>34.1</v>
      </c>
      <c r="G252" s="108">
        <v>69.8</v>
      </c>
    </row>
    <row r="253" spans="1:7" s="107" customFormat="1">
      <c r="A253" s="575" t="s">
        <v>323</v>
      </c>
      <c r="B253" s="577"/>
      <c r="C253" s="108">
        <v>2239.9</v>
      </c>
      <c r="D253" s="108">
        <v>3</v>
      </c>
      <c r="E253" s="108">
        <v>53</v>
      </c>
      <c r="F253" s="108">
        <v>34.200000000000003</v>
      </c>
      <c r="G253" s="108">
        <v>69.599999999999994</v>
      </c>
    </row>
    <row r="254" spans="1:7" s="107" customFormat="1">
      <c r="A254" s="575" t="s">
        <v>324</v>
      </c>
      <c r="B254" s="577"/>
      <c r="C254" s="108">
        <v>2239.5</v>
      </c>
      <c r="D254" s="108">
        <v>3</v>
      </c>
      <c r="E254" s="108">
        <v>53.1</v>
      </c>
      <c r="F254" s="108">
        <v>34.200000000000003</v>
      </c>
      <c r="G254" s="108">
        <v>69.8</v>
      </c>
    </row>
    <row r="255" spans="1:7" s="107" customFormat="1">
      <c r="A255" s="575" t="s">
        <v>325</v>
      </c>
      <c r="B255" s="577"/>
      <c r="C255" s="108">
        <v>2243</v>
      </c>
      <c r="D255" s="108">
        <v>3</v>
      </c>
      <c r="E255" s="108">
        <v>52.9</v>
      </c>
      <c r="F255" s="108">
        <v>34.299999999999997</v>
      </c>
      <c r="G255" s="108">
        <v>69.3</v>
      </c>
    </row>
    <row r="256" spans="1:7" s="107" customFormat="1">
      <c r="A256" s="575" t="s">
        <v>326</v>
      </c>
      <c r="B256" s="577"/>
      <c r="C256" s="108">
        <v>2244.6999999999998</v>
      </c>
      <c r="D256" s="108">
        <v>3</v>
      </c>
      <c r="E256" s="108">
        <v>52.9</v>
      </c>
      <c r="F256" s="108">
        <v>34.4</v>
      </c>
      <c r="G256" s="108">
        <v>69.2</v>
      </c>
    </row>
    <row r="257" spans="1:7" s="107" customFormat="1">
      <c r="A257" s="575" t="s">
        <v>327</v>
      </c>
      <c r="B257" s="577"/>
      <c r="C257" s="108">
        <v>2251</v>
      </c>
      <c r="D257" s="108">
        <v>3</v>
      </c>
      <c r="E257" s="108">
        <v>52.8</v>
      </c>
      <c r="F257" s="108">
        <v>34.4</v>
      </c>
      <c r="G257" s="108">
        <v>68.8</v>
      </c>
    </row>
    <row r="258" spans="1:7" s="107" customFormat="1">
      <c r="A258" s="575" t="s">
        <v>328</v>
      </c>
      <c r="B258" s="577"/>
      <c r="C258" s="108">
        <v>2257.6</v>
      </c>
      <c r="D258" s="108">
        <v>3</v>
      </c>
      <c r="E258" s="108">
        <v>53.1</v>
      </c>
      <c r="F258" s="108">
        <v>34.5</v>
      </c>
      <c r="G258" s="108">
        <v>69.2</v>
      </c>
    </row>
    <row r="259" spans="1:7" s="107" customFormat="1">
      <c r="A259" s="575" t="s">
        <v>329</v>
      </c>
      <c r="B259" s="577"/>
      <c r="C259" s="108">
        <v>2258.6999999999998</v>
      </c>
      <c r="D259" s="108">
        <v>3</v>
      </c>
      <c r="E259" s="108">
        <v>53.2</v>
      </c>
      <c r="F259" s="108">
        <v>34.5</v>
      </c>
      <c r="G259" s="108">
        <v>69.400000000000006</v>
      </c>
    </row>
    <row r="260" spans="1:7" s="107" customFormat="1">
      <c r="A260" s="575" t="s">
        <v>330</v>
      </c>
      <c r="B260" s="577"/>
      <c r="C260" s="108">
        <v>2258.1999999999998</v>
      </c>
      <c r="D260" s="108">
        <v>3</v>
      </c>
      <c r="E260" s="108">
        <v>53</v>
      </c>
      <c r="F260" s="108">
        <v>34.6</v>
      </c>
      <c r="G260" s="108">
        <v>69.2</v>
      </c>
    </row>
    <row r="261" spans="1:7" s="107" customFormat="1">
      <c r="A261" s="575" t="s">
        <v>331</v>
      </c>
      <c r="B261" s="577"/>
      <c r="C261" s="108">
        <v>2258.1999999999998</v>
      </c>
      <c r="D261" s="108">
        <v>3</v>
      </c>
      <c r="E261" s="108">
        <v>53.2</v>
      </c>
      <c r="F261" s="108">
        <v>34.700000000000003</v>
      </c>
      <c r="G261" s="108">
        <v>69.3</v>
      </c>
    </row>
    <row r="262" spans="1:7" s="107" customFormat="1">
      <c r="A262" s="575" t="s">
        <v>332</v>
      </c>
      <c r="B262" s="577"/>
      <c r="C262" s="108">
        <v>2261.8000000000002</v>
      </c>
      <c r="D262" s="108">
        <v>3</v>
      </c>
      <c r="E262" s="108">
        <v>53.3</v>
      </c>
      <c r="F262" s="108">
        <v>34.799999999999997</v>
      </c>
      <c r="G262" s="108">
        <v>69.5</v>
      </c>
    </row>
    <row r="263" spans="1:7" s="107" customFormat="1">
      <c r="A263" s="575" t="s">
        <v>333</v>
      </c>
      <c r="B263" s="577"/>
      <c r="C263" s="108">
        <v>2265.3000000000002</v>
      </c>
      <c r="D263" s="108">
        <v>3</v>
      </c>
      <c r="E263" s="108">
        <v>53.6</v>
      </c>
      <c r="F263" s="108">
        <v>34.799999999999997</v>
      </c>
      <c r="G263" s="108">
        <v>69.900000000000006</v>
      </c>
    </row>
    <row r="264" spans="1:7" s="107" customFormat="1">
      <c r="A264" s="575" t="s">
        <v>334</v>
      </c>
      <c r="B264" s="577"/>
      <c r="C264" s="108">
        <v>2264</v>
      </c>
      <c r="D264" s="108">
        <v>3</v>
      </c>
      <c r="E264" s="108">
        <v>53.8</v>
      </c>
      <c r="F264" s="108">
        <v>35</v>
      </c>
      <c r="G264" s="108">
        <v>70.099999999999994</v>
      </c>
    </row>
    <row r="265" spans="1:7" s="107" customFormat="1">
      <c r="A265" s="575" t="s">
        <v>335</v>
      </c>
      <c r="B265" s="577"/>
      <c r="C265" s="108">
        <v>2264.4</v>
      </c>
      <c r="D265" s="108">
        <v>3</v>
      </c>
      <c r="E265" s="108">
        <v>53.7</v>
      </c>
      <c r="F265" s="108">
        <v>35.200000000000003</v>
      </c>
      <c r="G265" s="108">
        <v>69.8</v>
      </c>
    </row>
    <row r="266" spans="1:7" s="107" customFormat="1">
      <c r="A266" s="575" t="s">
        <v>336</v>
      </c>
      <c r="B266" s="577"/>
      <c r="C266" s="108">
        <v>2268.4</v>
      </c>
      <c r="D266" s="108">
        <v>3</v>
      </c>
      <c r="E266" s="108">
        <v>53.7</v>
      </c>
      <c r="F266" s="108">
        <v>35</v>
      </c>
      <c r="G266" s="108">
        <v>69.900000000000006</v>
      </c>
    </row>
    <row r="267" spans="1:7" s="107" customFormat="1">
      <c r="A267" s="575" t="s">
        <v>337</v>
      </c>
      <c r="B267" s="577"/>
      <c r="C267" s="108">
        <v>2272.6999999999998</v>
      </c>
      <c r="D267" s="108">
        <v>3</v>
      </c>
      <c r="E267" s="108">
        <v>53.9</v>
      </c>
      <c r="F267" s="108">
        <v>34.9</v>
      </c>
      <c r="G267" s="108">
        <v>70.099999999999994</v>
      </c>
    </row>
    <row r="268" spans="1:7" s="107" customFormat="1">
      <c r="A268" s="575" t="s">
        <v>338</v>
      </c>
      <c r="B268" s="577"/>
      <c r="C268" s="108">
        <v>2276.8000000000002</v>
      </c>
      <c r="D268" s="108">
        <v>3</v>
      </c>
      <c r="E268" s="108">
        <v>53.8</v>
      </c>
      <c r="F268" s="108">
        <v>34.799999999999997</v>
      </c>
      <c r="G268" s="108">
        <v>70.3</v>
      </c>
    </row>
    <row r="269" spans="1:7" s="107" customFormat="1">
      <c r="A269" s="575" t="s">
        <v>339</v>
      </c>
      <c r="B269" s="577"/>
      <c r="C269" s="108">
        <v>2279.9</v>
      </c>
      <c r="D269" s="108">
        <v>3</v>
      </c>
      <c r="E269" s="108">
        <v>53.8</v>
      </c>
      <c r="F269" s="108">
        <v>34.9</v>
      </c>
      <c r="G269" s="108">
        <v>70.099999999999994</v>
      </c>
    </row>
    <row r="270" spans="1:7" s="107" customFormat="1">
      <c r="A270" s="575" t="s">
        <v>340</v>
      </c>
      <c r="B270" s="577"/>
      <c r="C270" s="108">
        <v>2286.3000000000002</v>
      </c>
      <c r="D270" s="108">
        <v>3</v>
      </c>
      <c r="E270" s="108">
        <v>53.5</v>
      </c>
      <c r="F270" s="108">
        <v>34.6</v>
      </c>
      <c r="G270" s="108">
        <v>69.8</v>
      </c>
    </row>
    <row r="271" spans="1:7" s="107" customFormat="1">
      <c r="A271" s="575" t="s">
        <v>341</v>
      </c>
      <c r="B271" s="577"/>
      <c r="C271" s="108">
        <v>2288.5</v>
      </c>
      <c r="D271" s="108">
        <v>3</v>
      </c>
      <c r="E271" s="108">
        <v>53.5</v>
      </c>
      <c r="F271" s="108">
        <v>34.5</v>
      </c>
      <c r="G271" s="108">
        <v>69.900000000000006</v>
      </c>
    </row>
    <row r="272" spans="1:7" s="107" customFormat="1">
      <c r="A272" s="575" t="s">
        <v>342</v>
      </c>
      <c r="B272" s="577"/>
      <c r="C272" s="108">
        <v>2287.6999999999998</v>
      </c>
      <c r="D272" s="108">
        <v>3</v>
      </c>
      <c r="E272" s="108">
        <v>53.6</v>
      </c>
      <c r="F272" s="108">
        <v>34.6</v>
      </c>
      <c r="G272" s="108">
        <v>69.900000000000006</v>
      </c>
    </row>
    <row r="273" spans="1:7" s="107" customFormat="1">
      <c r="A273" s="575" t="s">
        <v>343</v>
      </c>
      <c r="B273" s="577"/>
      <c r="C273" s="108">
        <v>2283.9</v>
      </c>
      <c r="D273" s="108">
        <v>3</v>
      </c>
      <c r="E273" s="108">
        <v>53.6</v>
      </c>
      <c r="F273" s="108">
        <v>34.700000000000003</v>
      </c>
      <c r="G273" s="108">
        <v>69.8</v>
      </c>
    </row>
    <row r="274" spans="1:7" s="107" customFormat="1">
      <c r="A274" s="575" t="s">
        <v>344</v>
      </c>
      <c r="B274" s="577"/>
      <c r="C274" s="108">
        <v>2285.9</v>
      </c>
      <c r="D274" s="108">
        <v>3</v>
      </c>
      <c r="E274" s="108">
        <v>53.5</v>
      </c>
      <c r="F274" s="108">
        <v>34.799999999999997</v>
      </c>
      <c r="G274" s="108">
        <v>69.400000000000006</v>
      </c>
    </row>
    <row r="275" spans="1:7" s="107" customFormat="1">
      <c r="A275" s="575" t="s">
        <v>345</v>
      </c>
      <c r="B275" s="577"/>
      <c r="C275" s="108">
        <v>2286.1999999999998</v>
      </c>
      <c r="D275" s="108">
        <v>3</v>
      </c>
      <c r="E275" s="108">
        <v>53.6</v>
      </c>
      <c r="F275" s="108">
        <v>35</v>
      </c>
      <c r="G275" s="108">
        <v>69.3</v>
      </c>
    </row>
    <row r="276" spans="1:7" s="107" customFormat="1">
      <c r="A276" s="575" t="s">
        <v>346</v>
      </c>
      <c r="B276" s="577"/>
      <c r="C276" s="108">
        <v>2287</v>
      </c>
      <c r="D276" s="108">
        <v>3</v>
      </c>
      <c r="E276" s="108">
        <v>53.7</v>
      </c>
      <c r="F276" s="108">
        <v>34.9</v>
      </c>
      <c r="G276" s="108">
        <v>69.599999999999994</v>
      </c>
    </row>
    <row r="277" spans="1:7" s="107" customFormat="1">
      <c r="A277" s="575" t="s">
        <v>347</v>
      </c>
      <c r="B277" s="577"/>
      <c r="C277" s="108">
        <v>2286.1999999999998</v>
      </c>
      <c r="D277" s="108">
        <v>3</v>
      </c>
      <c r="E277" s="108">
        <v>53.7</v>
      </c>
      <c r="F277" s="108">
        <v>34.799999999999997</v>
      </c>
      <c r="G277" s="108">
        <v>69.7</v>
      </c>
    </row>
    <row r="278" spans="1:7" s="107" customFormat="1">
      <c r="A278" s="575" t="s">
        <v>348</v>
      </c>
      <c r="B278" s="577"/>
      <c r="C278" s="108">
        <v>2286.9</v>
      </c>
      <c r="D278" s="108">
        <v>3</v>
      </c>
      <c r="E278" s="108">
        <v>53.9</v>
      </c>
      <c r="F278" s="108">
        <v>34.700000000000003</v>
      </c>
      <c r="G278" s="108">
        <v>70.099999999999994</v>
      </c>
    </row>
    <row r="279" spans="1:7" s="107" customFormat="1">
      <c r="A279" s="575" t="s">
        <v>349</v>
      </c>
      <c r="B279" s="577"/>
      <c r="C279" s="108">
        <v>2289.8000000000002</v>
      </c>
      <c r="D279" s="108">
        <v>2.9</v>
      </c>
      <c r="E279" s="108">
        <v>54</v>
      </c>
      <c r="F279" s="108">
        <v>35</v>
      </c>
      <c r="G279" s="108">
        <v>70.099999999999994</v>
      </c>
    </row>
    <row r="280" spans="1:7" s="107" customFormat="1">
      <c r="A280" s="575" t="s">
        <v>350</v>
      </c>
      <c r="B280" s="577"/>
      <c r="C280" s="108">
        <v>2293.3000000000002</v>
      </c>
      <c r="D280" s="108">
        <v>2.9</v>
      </c>
      <c r="E280" s="108">
        <v>53.9</v>
      </c>
      <c r="F280" s="108">
        <v>34.9</v>
      </c>
      <c r="G280" s="108">
        <v>70.099999999999994</v>
      </c>
    </row>
    <row r="281" spans="1:7" s="107" customFormat="1">
      <c r="A281" s="575" t="s">
        <v>351</v>
      </c>
      <c r="B281" s="577"/>
      <c r="C281" s="108">
        <v>2300</v>
      </c>
      <c r="D281" s="108">
        <v>2.9</v>
      </c>
      <c r="E281" s="108">
        <v>53.4</v>
      </c>
      <c r="F281" s="108">
        <v>34.5</v>
      </c>
      <c r="G281" s="108">
        <v>69.599999999999994</v>
      </c>
    </row>
    <row r="282" spans="1:7" s="107" customFormat="1">
      <c r="A282" s="575" t="s">
        <v>352</v>
      </c>
      <c r="B282" s="577"/>
      <c r="C282" s="108">
        <v>2305.6999999999998</v>
      </c>
      <c r="D282" s="108">
        <v>2.9</v>
      </c>
      <c r="E282" s="108">
        <v>53.2</v>
      </c>
      <c r="F282" s="108">
        <v>34.200000000000003</v>
      </c>
      <c r="G282" s="108">
        <v>69.599999999999994</v>
      </c>
    </row>
    <row r="283" spans="1:7" s="107" customFormat="1">
      <c r="A283" s="575" t="s">
        <v>353</v>
      </c>
      <c r="B283" s="577"/>
      <c r="C283" s="108">
        <v>2308.6</v>
      </c>
      <c r="D283" s="108">
        <v>2.9</v>
      </c>
      <c r="E283" s="108">
        <v>53.2</v>
      </c>
      <c r="F283" s="108">
        <v>34.1</v>
      </c>
      <c r="G283" s="108">
        <v>69.8</v>
      </c>
    </row>
    <row r="284" spans="1:7" s="107" customFormat="1">
      <c r="A284" s="575" t="s">
        <v>354</v>
      </c>
      <c r="B284" s="577"/>
      <c r="C284" s="108">
        <v>2307.6999999999998</v>
      </c>
      <c r="D284" s="108">
        <v>2.9</v>
      </c>
      <c r="E284" s="108">
        <v>53</v>
      </c>
      <c r="F284" s="108">
        <v>34.200000000000003</v>
      </c>
      <c r="G284" s="108">
        <v>69.400000000000006</v>
      </c>
    </row>
    <row r="285" spans="1:7" s="107" customFormat="1">
      <c r="A285" s="575" t="s">
        <v>355</v>
      </c>
      <c r="B285" s="577"/>
      <c r="C285" s="108">
        <v>2309.6999999999998</v>
      </c>
      <c r="D285" s="108">
        <v>2.9</v>
      </c>
      <c r="E285" s="108">
        <v>53</v>
      </c>
      <c r="F285" s="108">
        <v>34.200000000000003</v>
      </c>
      <c r="G285" s="108">
        <v>69.400000000000006</v>
      </c>
    </row>
    <row r="286" spans="1:7" s="107" customFormat="1">
      <c r="A286" s="575" t="s">
        <v>356</v>
      </c>
      <c r="B286" s="577"/>
      <c r="C286" s="108">
        <v>2309.6</v>
      </c>
      <c r="D286" s="108">
        <v>2.9</v>
      </c>
      <c r="E286" s="108">
        <v>53.2</v>
      </c>
      <c r="F286" s="108">
        <v>34.4</v>
      </c>
      <c r="G286" s="108">
        <v>69.5</v>
      </c>
    </row>
    <row r="287" spans="1:7" s="107" customFormat="1">
      <c r="A287" s="575" t="s">
        <v>357</v>
      </c>
      <c r="B287" s="577"/>
      <c r="C287" s="108">
        <v>2312.4</v>
      </c>
      <c r="D287" s="108">
        <v>2.9</v>
      </c>
      <c r="E287" s="108">
        <v>53.2</v>
      </c>
      <c r="F287" s="108">
        <v>34.200000000000003</v>
      </c>
      <c r="G287" s="108">
        <v>69.7</v>
      </c>
    </row>
    <row r="288" spans="1:7" s="107" customFormat="1">
      <c r="A288" s="575" t="s">
        <v>358</v>
      </c>
      <c r="B288" s="577"/>
      <c r="C288" s="108">
        <v>2313.6999999999998</v>
      </c>
      <c r="D288" s="108">
        <v>2.9</v>
      </c>
      <c r="E288" s="108">
        <v>53.3</v>
      </c>
      <c r="F288" s="108">
        <v>34.4</v>
      </c>
      <c r="G288" s="108">
        <v>69.7</v>
      </c>
    </row>
    <row r="289" spans="1:7" s="107" customFormat="1">
      <c r="A289" s="575" t="s">
        <v>359</v>
      </c>
      <c r="B289" s="577"/>
      <c r="C289" s="108">
        <v>2315.6</v>
      </c>
      <c r="D289" s="108">
        <v>2.9</v>
      </c>
      <c r="E289" s="108">
        <v>53.2</v>
      </c>
      <c r="F289" s="108">
        <v>34.5</v>
      </c>
      <c r="G289" s="108">
        <v>69.5</v>
      </c>
    </row>
    <row r="290" spans="1:7" s="107" customFormat="1">
      <c r="A290" s="575" t="s">
        <v>360</v>
      </c>
      <c r="B290" s="577"/>
      <c r="C290" s="108">
        <v>2316.4</v>
      </c>
      <c r="D290" s="108">
        <v>2.9</v>
      </c>
      <c r="E290" s="108">
        <v>53.2</v>
      </c>
      <c r="F290" s="108">
        <v>34.6</v>
      </c>
      <c r="G290" s="108">
        <v>69.3</v>
      </c>
    </row>
    <row r="291" spans="1:7" s="107" customFormat="1">
      <c r="A291" s="575" t="s">
        <v>361</v>
      </c>
      <c r="B291" s="577"/>
      <c r="C291" s="108">
        <v>2317.5</v>
      </c>
      <c r="D291" s="108">
        <v>2.9</v>
      </c>
      <c r="E291" s="108">
        <v>52.9</v>
      </c>
      <c r="F291" s="108">
        <v>34.4</v>
      </c>
      <c r="G291" s="108">
        <v>68.900000000000006</v>
      </c>
    </row>
    <row r="292" spans="1:7" s="107" customFormat="1">
      <c r="A292" s="575" t="s">
        <v>362</v>
      </c>
      <c r="B292" s="577"/>
      <c r="C292" s="108">
        <v>2321.4</v>
      </c>
      <c r="D292" s="108">
        <v>2.9</v>
      </c>
      <c r="E292" s="108">
        <v>52.7</v>
      </c>
      <c r="F292" s="108">
        <v>34.200000000000003</v>
      </c>
      <c r="G292" s="108">
        <v>68.8</v>
      </c>
    </row>
    <row r="293" spans="1:7" s="107" customFormat="1">
      <c r="A293" s="575" t="s">
        <v>363</v>
      </c>
      <c r="B293" s="577"/>
      <c r="C293" s="108">
        <v>2326.3000000000002</v>
      </c>
      <c r="D293" s="108">
        <v>2.9</v>
      </c>
      <c r="E293" s="108">
        <v>52.9</v>
      </c>
      <c r="F293" s="108">
        <v>34.4</v>
      </c>
      <c r="G293" s="108">
        <v>69.099999999999994</v>
      </c>
    </row>
    <row r="294" spans="1:7" s="107" customFormat="1">
      <c r="A294" s="575" t="s">
        <v>364</v>
      </c>
      <c r="B294" s="577"/>
      <c r="C294" s="108">
        <v>2331.1999999999998</v>
      </c>
      <c r="D294" s="108">
        <v>2.9</v>
      </c>
      <c r="E294" s="108">
        <v>53</v>
      </c>
      <c r="F294" s="108">
        <v>34.1</v>
      </c>
      <c r="G294" s="108">
        <v>69.400000000000006</v>
      </c>
    </row>
    <row r="295" spans="1:7" s="107" customFormat="1">
      <c r="A295" s="575" t="s">
        <v>365</v>
      </c>
      <c r="B295" s="577"/>
      <c r="C295" s="108">
        <v>2333.6</v>
      </c>
      <c r="D295" s="108">
        <v>2.9</v>
      </c>
      <c r="E295" s="108">
        <v>53.2</v>
      </c>
      <c r="F295" s="108">
        <v>33.9</v>
      </c>
      <c r="G295" s="108">
        <v>70</v>
      </c>
    </row>
    <row r="296" spans="1:7" s="107" customFormat="1">
      <c r="A296" s="575" t="s">
        <v>366</v>
      </c>
      <c r="B296" s="577"/>
      <c r="C296" s="108">
        <v>2331.8000000000002</v>
      </c>
      <c r="D296" s="108">
        <v>2.9</v>
      </c>
      <c r="E296" s="108">
        <v>53</v>
      </c>
      <c r="F296" s="108">
        <v>33.5</v>
      </c>
      <c r="G296" s="108">
        <v>70</v>
      </c>
    </row>
    <row r="297" spans="1:7" s="107" customFormat="1">
      <c r="A297" s="575" t="s">
        <v>367</v>
      </c>
      <c r="B297" s="577"/>
      <c r="C297" s="108">
        <v>2329.6</v>
      </c>
      <c r="D297" s="108">
        <v>2.9</v>
      </c>
      <c r="E297" s="108">
        <v>53.1</v>
      </c>
      <c r="F297" s="108">
        <v>33.5</v>
      </c>
      <c r="G297" s="108">
        <v>70.099999999999994</v>
      </c>
    </row>
    <row r="298" spans="1:7" s="107" customFormat="1">
      <c r="A298" s="575" t="s">
        <v>368</v>
      </c>
      <c r="B298" s="577"/>
      <c r="C298" s="108">
        <v>2332.9</v>
      </c>
      <c r="D298" s="108">
        <v>2.9</v>
      </c>
      <c r="E298" s="108">
        <v>52.8</v>
      </c>
      <c r="F298" s="108">
        <v>33.6</v>
      </c>
      <c r="G298" s="108">
        <v>69.599999999999994</v>
      </c>
    </row>
    <row r="299" spans="1:7" s="107" customFormat="1">
      <c r="A299" s="575" t="s">
        <v>369</v>
      </c>
      <c r="B299" s="577"/>
      <c r="C299" s="108">
        <v>2338.4</v>
      </c>
      <c r="D299" s="108">
        <v>2.9</v>
      </c>
      <c r="E299" s="108">
        <v>53</v>
      </c>
      <c r="F299" s="108">
        <v>33.299999999999997</v>
      </c>
      <c r="G299" s="108">
        <v>70.2</v>
      </c>
    </row>
    <row r="300" spans="1:7" s="107" customFormat="1">
      <c r="A300" s="575" t="s">
        <v>370</v>
      </c>
      <c r="B300" s="577"/>
      <c r="C300" s="108">
        <v>2340.6</v>
      </c>
      <c r="D300" s="108">
        <v>2.9</v>
      </c>
      <c r="E300" s="108">
        <v>53</v>
      </c>
      <c r="F300" s="108">
        <v>33.299999999999997</v>
      </c>
      <c r="G300" s="108">
        <v>70.3</v>
      </c>
    </row>
    <row r="301" spans="1:7" s="107" customFormat="1">
      <c r="A301" s="575" t="s">
        <v>371</v>
      </c>
      <c r="B301" s="577"/>
      <c r="C301" s="108">
        <v>2342.6999999999998</v>
      </c>
      <c r="D301" s="108">
        <v>2.9</v>
      </c>
      <c r="E301" s="108">
        <v>53</v>
      </c>
      <c r="F301" s="108">
        <v>33.4</v>
      </c>
      <c r="G301" s="108">
        <v>70.3</v>
      </c>
    </row>
    <row r="302" spans="1:7" s="107" customFormat="1">
      <c r="A302" s="575" t="s">
        <v>372</v>
      </c>
      <c r="B302" s="577"/>
      <c r="C302" s="108">
        <v>2343.4</v>
      </c>
      <c r="D302" s="108">
        <v>2.9</v>
      </c>
      <c r="E302" s="108">
        <v>53</v>
      </c>
      <c r="F302" s="108">
        <v>33.700000000000003</v>
      </c>
      <c r="G302" s="108">
        <v>69.900000000000006</v>
      </c>
    </row>
    <row r="303" spans="1:7" s="107" customFormat="1">
      <c r="A303" s="575" t="s">
        <v>373</v>
      </c>
      <c r="B303" s="577"/>
      <c r="C303" s="108">
        <v>2348.4</v>
      </c>
      <c r="D303" s="108">
        <v>2.9</v>
      </c>
      <c r="E303" s="108">
        <v>52.8</v>
      </c>
      <c r="F303" s="108">
        <v>33.700000000000003</v>
      </c>
      <c r="G303" s="108">
        <v>69.7</v>
      </c>
    </row>
    <row r="304" spans="1:7" s="107" customFormat="1">
      <c r="A304" s="575" t="s">
        <v>374</v>
      </c>
      <c r="B304" s="577"/>
      <c r="C304" s="108">
        <v>2352.6999999999998</v>
      </c>
      <c r="D304" s="108">
        <v>2.9</v>
      </c>
      <c r="E304" s="108">
        <v>52.8</v>
      </c>
      <c r="F304" s="108">
        <v>33.5</v>
      </c>
      <c r="G304" s="108">
        <v>70</v>
      </c>
    </row>
    <row r="305" spans="1:7" s="107" customFormat="1">
      <c r="A305" s="575" t="s">
        <v>375</v>
      </c>
      <c r="B305" s="577"/>
      <c r="C305" s="108">
        <v>2359.8000000000002</v>
      </c>
      <c r="D305" s="108">
        <v>2.9</v>
      </c>
      <c r="E305" s="108">
        <v>52.8</v>
      </c>
      <c r="F305" s="108">
        <v>33.700000000000003</v>
      </c>
      <c r="G305" s="108">
        <v>69.900000000000006</v>
      </c>
    </row>
    <row r="306" spans="1:7" s="107" customFormat="1">
      <c r="A306" s="575" t="s">
        <v>376</v>
      </c>
      <c r="B306" s="577"/>
      <c r="C306" s="108">
        <v>2366.5</v>
      </c>
      <c r="D306" s="108">
        <v>2.9</v>
      </c>
      <c r="E306" s="108">
        <v>53</v>
      </c>
      <c r="F306" s="108">
        <v>33.700000000000003</v>
      </c>
      <c r="G306" s="108">
        <v>70.099999999999994</v>
      </c>
    </row>
    <row r="307" spans="1:7" s="107" customFormat="1">
      <c r="A307" s="575" t="s">
        <v>377</v>
      </c>
      <c r="B307" s="577"/>
      <c r="C307" s="108">
        <v>2366.4</v>
      </c>
      <c r="D307" s="108">
        <v>2.9</v>
      </c>
      <c r="E307" s="108">
        <v>52.8</v>
      </c>
      <c r="F307" s="108">
        <v>33.700000000000003</v>
      </c>
      <c r="G307" s="108">
        <v>69.900000000000006</v>
      </c>
    </row>
    <row r="308" spans="1:7" s="107" customFormat="1">
      <c r="A308" s="575" t="s">
        <v>378</v>
      </c>
      <c r="B308" s="577"/>
      <c r="C308" s="108">
        <v>2366.6</v>
      </c>
      <c r="D308" s="108">
        <v>2.9</v>
      </c>
      <c r="E308" s="108">
        <v>53.1</v>
      </c>
      <c r="F308" s="108">
        <v>33.700000000000003</v>
      </c>
      <c r="G308" s="108">
        <v>70.400000000000006</v>
      </c>
    </row>
    <row r="309" spans="1:7" s="107" customFormat="1">
      <c r="A309" s="575" t="s">
        <v>379</v>
      </c>
      <c r="B309" s="577"/>
      <c r="C309" s="108">
        <v>2364.1</v>
      </c>
      <c r="D309" s="108">
        <v>2.9</v>
      </c>
      <c r="E309" s="108">
        <v>52.9</v>
      </c>
      <c r="F309" s="108">
        <v>33.700000000000003</v>
      </c>
      <c r="G309" s="108">
        <v>70.099999999999994</v>
      </c>
    </row>
    <row r="310" spans="1:7" s="107" customFormat="1">
      <c r="A310" s="575" t="s">
        <v>380</v>
      </c>
      <c r="B310" s="577"/>
      <c r="C310" s="108">
        <v>2362.6999999999998</v>
      </c>
      <c r="D310" s="108">
        <v>2.9</v>
      </c>
      <c r="E310" s="108">
        <v>53.1</v>
      </c>
      <c r="F310" s="108">
        <v>34</v>
      </c>
      <c r="G310" s="108">
        <v>70.3</v>
      </c>
    </row>
    <row r="311" spans="1:7" s="107" customFormat="1">
      <c r="A311" s="575" t="s">
        <v>381</v>
      </c>
      <c r="B311" s="577"/>
      <c r="C311" s="108">
        <v>2364.6999999999998</v>
      </c>
      <c r="D311" s="108">
        <v>2.9</v>
      </c>
      <c r="E311" s="108">
        <v>52.8</v>
      </c>
      <c r="F311" s="108">
        <v>34</v>
      </c>
      <c r="G311" s="108">
        <v>69.7</v>
      </c>
    </row>
    <row r="312" spans="1:7" s="107" customFormat="1">
      <c r="A312" s="575" t="s">
        <v>382</v>
      </c>
      <c r="B312" s="577"/>
      <c r="C312" s="108">
        <v>2368.1</v>
      </c>
      <c r="D312" s="108">
        <v>2.9</v>
      </c>
      <c r="E312" s="108">
        <v>52.6</v>
      </c>
      <c r="F312" s="108">
        <v>33.799999999999997</v>
      </c>
      <c r="G312" s="108">
        <v>69.599999999999994</v>
      </c>
    </row>
    <row r="313" spans="1:7" s="107" customFormat="1">
      <c r="A313" s="575" t="s">
        <v>383</v>
      </c>
      <c r="B313" s="577"/>
      <c r="C313" s="108">
        <v>2369.5</v>
      </c>
      <c r="D313" s="108">
        <v>2.9</v>
      </c>
      <c r="E313" s="108">
        <v>52.5</v>
      </c>
      <c r="F313" s="108">
        <v>33.6</v>
      </c>
      <c r="G313" s="108">
        <v>69.400000000000006</v>
      </c>
    </row>
    <row r="314" spans="1:7" s="107" customFormat="1">
      <c r="A314" s="575" t="s">
        <v>384</v>
      </c>
      <c r="B314" s="577"/>
      <c r="C314" s="108">
        <v>2371.6</v>
      </c>
      <c r="D314" s="108">
        <v>2.9</v>
      </c>
      <c r="E314" s="108">
        <v>52.5</v>
      </c>
      <c r="F314" s="108">
        <v>33.799999999999997</v>
      </c>
      <c r="G314" s="108">
        <v>69.2</v>
      </c>
    </row>
    <row r="315" spans="1:7" s="107" customFormat="1">
      <c r="A315" s="575" t="s">
        <v>385</v>
      </c>
      <c r="B315" s="577"/>
      <c r="C315" s="108">
        <v>2373.5</v>
      </c>
      <c r="D315" s="108">
        <v>2.9</v>
      </c>
      <c r="E315" s="108">
        <v>52.5</v>
      </c>
      <c r="F315" s="108">
        <v>33.799999999999997</v>
      </c>
      <c r="G315" s="108">
        <v>69.2</v>
      </c>
    </row>
    <row r="316" spans="1:7" s="107" customFormat="1">
      <c r="A316" s="575" t="s">
        <v>386</v>
      </c>
      <c r="B316" s="577"/>
      <c r="C316" s="108">
        <v>2381.6</v>
      </c>
      <c r="D316" s="108">
        <v>2.9</v>
      </c>
      <c r="E316" s="108">
        <v>52.1</v>
      </c>
      <c r="F316" s="108">
        <v>33.700000000000003</v>
      </c>
      <c r="G316" s="108">
        <v>68.400000000000006</v>
      </c>
    </row>
    <row r="317" spans="1:7" s="107" customFormat="1">
      <c r="A317" s="575" t="s">
        <v>387</v>
      </c>
      <c r="B317" s="577"/>
      <c r="C317" s="108">
        <v>2387.4</v>
      </c>
      <c r="D317" s="108">
        <v>2.9</v>
      </c>
      <c r="E317" s="108">
        <v>51.9</v>
      </c>
      <c r="F317" s="108">
        <v>33.4</v>
      </c>
      <c r="G317" s="108">
        <v>68.099999999999994</v>
      </c>
    </row>
    <row r="318" spans="1:7" s="107" customFormat="1">
      <c r="A318" s="575" t="s">
        <v>388</v>
      </c>
      <c r="B318" s="577"/>
      <c r="C318" s="108">
        <v>2393.1999999999998</v>
      </c>
      <c r="D318" s="108">
        <v>2.9</v>
      </c>
      <c r="E318" s="108">
        <v>51.7</v>
      </c>
      <c r="F318" s="108">
        <v>33.4</v>
      </c>
      <c r="G318" s="108">
        <v>67.7</v>
      </c>
    </row>
    <row r="319" spans="1:7" s="107" customFormat="1">
      <c r="A319" s="575" t="s">
        <v>389</v>
      </c>
      <c r="B319" s="577"/>
      <c r="C319" s="108">
        <v>2393.4</v>
      </c>
      <c r="D319" s="108">
        <v>2.9</v>
      </c>
      <c r="E319" s="108">
        <v>51.6</v>
      </c>
      <c r="F319" s="108">
        <v>33.200000000000003</v>
      </c>
      <c r="G319" s="108">
        <v>67.7</v>
      </c>
    </row>
    <row r="320" spans="1:7" s="107" customFormat="1">
      <c r="A320" s="575" t="s">
        <v>390</v>
      </c>
      <c r="B320" s="577"/>
      <c r="C320" s="108">
        <v>2390.6</v>
      </c>
      <c r="D320" s="108">
        <v>2.9</v>
      </c>
      <c r="E320" s="108">
        <v>51.4</v>
      </c>
      <c r="F320" s="108">
        <v>33.1</v>
      </c>
      <c r="G320" s="108">
        <v>67.599999999999994</v>
      </c>
    </row>
    <row r="321" spans="1:7" s="107" customFormat="1">
      <c r="A321" s="575" t="s">
        <v>391</v>
      </c>
      <c r="B321" s="577"/>
      <c r="C321" s="108">
        <v>2388.1999999999998</v>
      </c>
      <c r="D321" s="108">
        <v>2.9</v>
      </c>
      <c r="E321" s="108">
        <v>51.5</v>
      </c>
      <c r="F321" s="108">
        <v>33.299999999999997</v>
      </c>
      <c r="G321" s="108">
        <v>67.599999999999994</v>
      </c>
    </row>
    <row r="322" spans="1:7" s="107" customFormat="1">
      <c r="A322" s="575" t="s">
        <v>392</v>
      </c>
      <c r="B322" s="577"/>
      <c r="C322" s="108">
        <v>2387.6999999999998</v>
      </c>
      <c r="D322" s="108">
        <v>2.9</v>
      </c>
      <c r="E322" s="108">
        <v>51.9</v>
      </c>
      <c r="F322" s="108">
        <v>33.5</v>
      </c>
      <c r="G322" s="108">
        <v>68</v>
      </c>
    </row>
    <row r="323" spans="1:7" s="107" customFormat="1">
      <c r="A323" s="575" t="s">
        <v>393</v>
      </c>
      <c r="B323" s="577"/>
      <c r="C323" s="108">
        <v>2386.5</v>
      </c>
      <c r="D323" s="108">
        <v>2.9</v>
      </c>
      <c r="E323" s="108">
        <v>51.7</v>
      </c>
      <c r="F323" s="108">
        <v>33.5</v>
      </c>
      <c r="G323" s="108">
        <v>67.5</v>
      </c>
    </row>
    <row r="324" spans="1:7" s="107" customFormat="1">
      <c r="A324" s="575" t="s">
        <v>394</v>
      </c>
      <c r="B324" s="577"/>
      <c r="C324" s="108">
        <v>2388</v>
      </c>
      <c r="D324" s="108">
        <v>2.9</v>
      </c>
      <c r="E324" s="108">
        <v>51.6</v>
      </c>
      <c r="F324" s="108">
        <v>33.5</v>
      </c>
      <c r="G324" s="108">
        <v>67</v>
      </c>
    </row>
    <row r="325" spans="1:7" s="107" customFormat="1">
      <c r="A325" s="575" t="s">
        <v>395</v>
      </c>
      <c r="B325" s="577"/>
      <c r="C325" s="108">
        <v>2389.4</v>
      </c>
      <c r="D325" s="108">
        <v>2.9</v>
      </c>
      <c r="E325" s="108">
        <v>51.5</v>
      </c>
      <c r="F325" s="108">
        <v>33.6</v>
      </c>
      <c r="G325" s="108">
        <v>66.7</v>
      </c>
    </row>
    <row r="326" spans="1:7" s="107" customFormat="1">
      <c r="A326" s="575" t="s">
        <v>396</v>
      </c>
      <c r="B326" s="577"/>
      <c r="C326" s="108">
        <v>2393.5</v>
      </c>
      <c r="D326" s="108">
        <v>2.9</v>
      </c>
      <c r="E326" s="108">
        <v>51.8</v>
      </c>
      <c r="F326" s="108">
        <v>33.6</v>
      </c>
      <c r="G326" s="108">
        <v>67.099999999999994</v>
      </c>
    </row>
    <row r="327" spans="1:7" s="107" customFormat="1">
      <c r="A327" s="575" t="s">
        <v>397</v>
      </c>
      <c r="B327" s="577"/>
      <c r="C327" s="108">
        <v>2397.3000000000002</v>
      </c>
      <c r="D327" s="108">
        <v>2.9</v>
      </c>
      <c r="E327" s="108">
        <v>51.5</v>
      </c>
      <c r="F327" s="108">
        <v>33.6</v>
      </c>
      <c r="G327" s="108">
        <v>66.8</v>
      </c>
    </row>
    <row r="328" spans="1:7" s="107" customFormat="1">
      <c r="A328" s="575" t="s">
        <v>398</v>
      </c>
      <c r="B328" s="577"/>
      <c r="C328" s="108">
        <v>2405</v>
      </c>
      <c r="D328" s="108">
        <v>2.9</v>
      </c>
      <c r="E328" s="108">
        <v>51.3</v>
      </c>
      <c r="F328" s="108">
        <v>33.4</v>
      </c>
      <c r="G328" s="108">
        <v>66.599999999999994</v>
      </c>
    </row>
    <row r="329" spans="1:7" s="107" customFormat="1">
      <c r="A329" s="575" t="s">
        <v>399</v>
      </c>
      <c r="B329" s="577"/>
      <c r="C329" s="108">
        <v>2413.9</v>
      </c>
      <c r="D329" s="108">
        <v>2.9</v>
      </c>
      <c r="E329" s="108">
        <v>51.1</v>
      </c>
      <c r="F329" s="108">
        <v>33.1</v>
      </c>
      <c r="G329" s="108">
        <v>66.599999999999994</v>
      </c>
    </row>
    <row r="330" spans="1:7" s="107" customFormat="1">
      <c r="A330" s="575" t="s">
        <v>400</v>
      </c>
      <c r="B330" s="577"/>
      <c r="C330" s="108">
        <v>2423.6</v>
      </c>
      <c r="D330" s="108">
        <v>2.9</v>
      </c>
      <c r="E330" s="108">
        <v>51.1</v>
      </c>
      <c r="F330" s="108">
        <v>32.9</v>
      </c>
      <c r="G330" s="108">
        <v>66.7</v>
      </c>
    </row>
    <row r="331" spans="1:7" s="107" customFormat="1">
      <c r="A331" s="575" t="s">
        <v>401</v>
      </c>
      <c r="B331" s="577"/>
      <c r="C331" s="108">
        <v>2423.8000000000002</v>
      </c>
      <c r="D331" s="108">
        <v>2.9</v>
      </c>
      <c r="E331" s="108">
        <v>50.9</v>
      </c>
      <c r="F331" s="108">
        <v>32.9</v>
      </c>
      <c r="G331" s="108">
        <v>66.400000000000006</v>
      </c>
    </row>
    <row r="332" spans="1:7" s="107" customFormat="1">
      <c r="A332" s="575" t="s">
        <v>402</v>
      </c>
      <c r="B332" s="577"/>
      <c r="C332" s="108">
        <v>2421.5</v>
      </c>
      <c r="D332" s="108">
        <v>2.9</v>
      </c>
      <c r="E332" s="108">
        <v>50.9</v>
      </c>
      <c r="F332" s="108">
        <v>33</v>
      </c>
      <c r="G332" s="108">
        <v>66.400000000000006</v>
      </c>
    </row>
    <row r="333" spans="1:7" s="107" customFormat="1">
      <c r="A333" s="575" t="s">
        <v>403</v>
      </c>
      <c r="B333" s="577"/>
      <c r="C333" s="108">
        <v>2420.6999999999998</v>
      </c>
      <c r="D333" s="108">
        <v>2.9</v>
      </c>
      <c r="E333" s="108">
        <v>50.8</v>
      </c>
      <c r="F333" s="108">
        <v>32.9</v>
      </c>
      <c r="G333" s="108">
        <v>66.3</v>
      </c>
    </row>
    <row r="334" spans="1:7" s="107" customFormat="1">
      <c r="A334" s="575" t="s">
        <v>404</v>
      </c>
      <c r="B334" s="577"/>
      <c r="C334" s="108">
        <v>2420.8000000000002</v>
      </c>
      <c r="D334" s="108">
        <v>2.9</v>
      </c>
      <c r="E334" s="108">
        <v>50.9</v>
      </c>
      <c r="F334" s="108">
        <v>33</v>
      </c>
      <c r="G334" s="108">
        <v>66.3</v>
      </c>
    </row>
    <row r="335" spans="1:7" s="107" customFormat="1">
      <c r="A335" s="575" t="s">
        <v>405</v>
      </c>
      <c r="B335" s="577"/>
      <c r="C335" s="108">
        <v>2421.5</v>
      </c>
      <c r="D335" s="108">
        <v>2.9</v>
      </c>
      <c r="E335" s="108">
        <v>51.1</v>
      </c>
      <c r="F335" s="108">
        <v>33.1</v>
      </c>
      <c r="G335" s="108">
        <v>66.5</v>
      </c>
    </row>
    <row r="336" spans="1:7" s="107" customFormat="1">
      <c r="A336" s="575" t="s">
        <v>406</v>
      </c>
      <c r="B336" s="577"/>
      <c r="C336" s="108">
        <v>2419</v>
      </c>
      <c r="D336" s="108">
        <v>2.9</v>
      </c>
      <c r="E336" s="108">
        <v>51.3</v>
      </c>
      <c r="F336" s="108">
        <v>33.4</v>
      </c>
      <c r="G336" s="108">
        <v>66.5</v>
      </c>
    </row>
    <row r="337" spans="1:7" s="107" customFormat="1">
      <c r="A337" s="575" t="s">
        <v>407</v>
      </c>
      <c r="B337" s="577"/>
      <c r="C337" s="108">
        <v>2421</v>
      </c>
      <c r="D337" s="108">
        <v>2.9</v>
      </c>
      <c r="E337" s="108">
        <v>51.2</v>
      </c>
      <c r="F337" s="108">
        <v>33.4</v>
      </c>
      <c r="G337" s="108">
        <v>66.400000000000006</v>
      </c>
    </row>
    <row r="338" spans="1:7" s="107" customFormat="1">
      <c r="A338" s="575" t="s">
        <v>408</v>
      </c>
      <c r="B338" s="577"/>
      <c r="C338" s="108">
        <v>2423.5</v>
      </c>
      <c r="D338" s="108">
        <v>2.9</v>
      </c>
      <c r="E338" s="108">
        <v>50.8</v>
      </c>
      <c r="F338" s="108">
        <v>33.1</v>
      </c>
      <c r="G338" s="108">
        <v>66</v>
      </c>
    </row>
    <row r="339" spans="1:7" s="107" customFormat="1">
      <c r="A339" s="575" t="s">
        <v>409</v>
      </c>
      <c r="B339" s="577"/>
      <c r="C339" s="108">
        <v>2427.6999999999998</v>
      </c>
      <c r="D339" s="108">
        <v>2.9</v>
      </c>
      <c r="E339" s="108">
        <v>50.7</v>
      </c>
      <c r="F339" s="108">
        <v>33</v>
      </c>
      <c r="G339" s="108">
        <v>66</v>
      </c>
    </row>
    <row r="340" spans="1:7" s="107" customFormat="1">
      <c r="A340" s="575" t="s">
        <v>410</v>
      </c>
      <c r="B340" s="577"/>
      <c r="C340" s="108">
        <v>2432.6999999999998</v>
      </c>
      <c r="D340" s="108">
        <v>2.9</v>
      </c>
      <c r="E340" s="108">
        <v>50.7</v>
      </c>
      <c r="F340" s="108">
        <v>32.6</v>
      </c>
      <c r="G340" s="108">
        <v>66.400000000000006</v>
      </c>
    </row>
    <row r="341" spans="1:7" s="107" customFormat="1">
      <c r="A341" s="575" t="s">
        <v>411</v>
      </c>
      <c r="B341" s="577"/>
      <c r="C341" s="108">
        <v>2436.1</v>
      </c>
      <c r="D341" s="108">
        <v>2.9</v>
      </c>
      <c r="E341" s="108">
        <v>50.6</v>
      </c>
      <c r="F341" s="108">
        <v>32.299999999999997</v>
      </c>
      <c r="G341" s="108">
        <v>66.400000000000006</v>
      </c>
    </row>
    <row r="342" spans="1:7" s="107" customFormat="1">
      <c r="A342" s="575" t="s">
        <v>412</v>
      </c>
      <c r="B342" s="577"/>
      <c r="C342" s="108">
        <v>2441.9</v>
      </c>
      <c r="D342" s="108">
        <v>2.9</v>
      </c>
      <c r="E342" s="108">
        <v>50.4</v>
      </c>
      <c r="F342" s="108">
        <v>32.1</v>
      </c>
      <c r="G342" s="108">
        <v>66.3</v>
      </c>
    </row>
    <row r="343" spans="1:7" s="107" customFormat="1">
      <c r="A343" s="575" t="s">
        <v>413</v>
      </c>
      <c r="B343" s="577"/>
      <c r="C343" s="108">
        <v>2440.5</v>
      </c>
      <c r="D343" s="108">
        <v>2.9</v>
      </c>
      <c r="E343" s="108">
        <v>50.3</v>
      </c>
      <c r="F343" s="108">
        <v>32.200000000000003</v>
      </c>
      <c r="G343" s="108">
        <v>66.099999999999994</v>
      </c>
    </row>
    <row r="344" spans="1:7" s="107" customFormat="1">
      <c r="A344" s="575" t="s">
        <v>414</v>
      </c>
      <c r="B344" s="577"/>
      <c r="C344" s="108">
        <v>2440.1999999999998</v>
      </c>
      <c r="D344" s="108">
        <v>2.9</v>
      </c>
      <c r="E344" s="108">
        <v>50.3</v>
      </c>
      <c r="F344" s="108">
        <v>32.299999999999997</v>
      </c>
      <c r="G344" s="108">
        <v>66.099999999999994</v>
      </c>
    </row>
    <row r="345" spans="1:7" s="107" customFormat="1">
      <c r="A345" s="575" t="s">
        <v>415</v>
      </c>
      <c r="B345" s="577"/>
      <c r="C345" s="108">
        <v>2439.1</v>
      </c>
      <c r="D345" s="108">
        <v>2.9</v>
      </c>
      <c r="E345" s="108">
        <v>50.2</v>
      </c>
      <c r="F345" s="108">
        <v>32.4</v>
      </c>
      <c r="G345" s="108">
        <v>65.7</v>
      </c>
    </row>
    <row r="346" spans="1:7" s="107" customFormat="1">
      <c r="A346" s="575" t="s">
        <v>416</v>
      </c>
      <c r="B346" s="577"/>
      <c r="C346" s="108">
        <v>2441.8000000000002</v>
      </c>
      <c r="D346" s="108">
        <v>2.9</v>
      </c>
      <c r="E346" s="108">
        <v>50.4</v>
      </c>
      <c r="F346" s="108">
        <v>32.4</v>
      </c>
      <c r="G346" s="108">
        <v>66.2</v>
      </c>
    </row>
    <row r="347" spans="1:7" s="107" customFormat="1">
      <c r="A347" s="575" t="s">
        <v>417</v>
      </c>
      <c r="B347" s="577"/>
      <c r="C347" s="108">
        <v>2445.1</v>
      </c>
      <c r="D347" s="108">
        <v>2.9</v>
      </c>
      <c r="E347" s="108">
        <v>50</v>
      </c>
      <c r="F347" s="108">
        <v>32.4</v>
      </c>
      <c r="G347" s="108">
        <v>65.3</v>
      </c>
    </row>
    <row r="348" spans="1:7" s="107" customFormat="1">
      <c r="A348" s="575" t="s">
        <v>418</v>
      </c>
      <c r="B348" s="577"/>
      <c r="C348" s="108">
        <v>2448.6</v>
      </c>
      <c r="D348" s="108">
        <v>2.9</v>
      </c>
      <c r="E348" s="108">
        <v>50</v>
      </c>
      <c r="F348" s="108">
        <v>32.5</v>
      </c>
      <c r="G348" s="108">
        <v>65.2</v>
      </c>
    </row>
    <row r="349" spans="1:7" s="107" customFormat="1">
      <c r="A349" s="575" t="s">
        <v>419</v>
      </c>
      <c r="B349" s="577"/>
      <c r="C349" s="108">
        <v>2451.6999999999998</v>
      </c>
      <c r="D349" s="108">
        <v>2.9</v>
      </c>
      <c r="E349" s="108">
        <v>50</v>
      </c>
      <c r="F349" s="108">
        <v>32.200000000000003</v>
      </c>
      <c r="G349" s="108">
        <v>65.5</v>
      </c>
    </row>
    <row r="350" spans="1:7" s="107" customFormat="1">
      <c r="A350" s="575" t="s">
        <v>420</v>
      </c>
      <c r="B350" s="577"/>
      <c r="C350" s="108">
        <v>2454.6999999999998</v>
      </c>
      <c r="D350" s="108">
        <v>2.9</v>
      </c>
      <c r="E350" s="108">
        <v>50.1</v>
      </c>
      <c r="F350" s="108">
        <v>32.200000000000003</v>
      </c>
      <c r="G350" s="108">
        <v>65.599999999999994</v>
      </c>
    </row>
    <row r="351" spans="1:7" s="107" customFormat="1">
      <c r="A351" s="575" t="s">
        <v>421</v>
      </c>
      <c r="B351" s="577"/>
      <c r="C351" s="108">
        <v>2457.6999999999998</v>
      </c>
      <c r="D351" s="108">
        <v>2.9</v>
      </c>
      <c r="E351" s="108">
        <v>50.5</v>
      </c>
      <c r="F351" s="108">
        <v>32.200000000000003</v>
      </c>
      <c r="G351" s="108">
        <v>66.3</v>
      </c>
    </row>
    <row r="352" spans="1:7" s="107" customFormat="1">
      <c r="A352" s="575" t="s">
        <v>422</v>
      </c>
      <c r="B352" s="577"/>
      <c r="C352" s="108">
        <v>2466</v>
      </c>
      <c r="D352" s="108">
        <v>2.9</v>
      </c>
      <c r="E352" s="108">
        <v>50</v>
      </c>
      <c r="F352" s="108">
        <v>32.200000000000003</v>
      </c>
      <c r="G352" s="108">
        <v>65.5</v>
      </c>
    </row>
    <row r="353" spans="1:7" s="107" customFormat="1">
      <c r="A353" s="575" t="s">
        <v>423</v>
      </c>
      <c r="B353" s="577"/>
      <c r="C353" s="108">
        <v>2476.5</v>
      </c>
      <c r="D353" s="108">
        <v>2.9</v>
      </c>
      <c r="E353" s="108">
        <v>50.3</v>
      </c>
      <c r="F353" s="108">
        <v>32.1</v>
      </c>
      <c r="G353" s="108">
        <v>66.099999999999994</v>
      </c>
    </row>
    <row r="354" spans="1:7" s="107" customFormat="1">
      <c r="A354" s="575" t="s">
        <v>424</v>
      </c>
      <c r="B354" s="577"/>
      <c r="C354" s="108">
        <v>2486.9</v>
      </c>
      <c r="D354" s="108">
        <v>2.8</v>
      </c>
      <c r="E354" s="108">
        <v>50.1</v>
      </c>
      <c r="F354" s="108">
        <v>31.8</v>
      </c>
      <c r="G354" s="108">
        <v>66.099999999999994</v>
      </c>
    </row>
    <row r="355" spans="1:7" s="107" customFormat="1">
      <c r="A355" s="575" t="s">
        <v>425</v>
      </c>
      <c r="B355" s="577"/>
      <c r="C355" s="108">
        <v>2486.1999999999998</v>
      </c>
      <c r="D355" s="108">
        <v>2.8</v>
      </c>
      <c r="E355" s="108">
        <v>50</v>
      </c>
      <c r="F355" s="108">
        <v>32</v>
      </c>
      <c r="G355" s="108">
        <v>65.7</v>
      </c>
    </row>
    <row r="356" spans="1:7" s="107" customFormat="1">
      <c r="A356" s="575" t="s">
        <v>426</v>
      </c>
      <c r="B356" s="577"/>
      <c r="C356" s="108">
        <v>2485.1999999999998</v>
      </c>
      <c r="D356" s="108">
        <v>2.8</v>
      </c>
      <c r="E356" s="108">
        <v>49.7</v>
      </c>
      <c r="F356" s="108">
        <v>32.1</v>
      </c>
      <c r="G356" s="108">
        <v>65.099999999999994</v>
      </c>
    </row>
    <row r="357" spans="1:7" s="107" customFormat="1">
      <c r="A357" s="575" t="s">
        <v>427</v>
      </c>
      <c r="B357" s="577"/>
      <c r="C357" s="108">
        <v>2482.1999999999998</v>
      </c>
      <c r="D357" s="108">
        <v>2.8</v>
      </c>
      <c r="E357" s="108">
        <v>49.8</v>
      </c>
      <c r="F357" s="108">
        <v>32.4</v>
      </c>
      <c r="G357" s="108">
        <v>65</v>
      </c>
    </row>
    <row r="358" spans="1:7" s="107" customFormat="1">
      <c r="A358" s="575" t="s">
        <v>428</v>
      </c>
      <c r="B358" s="577"/>
      <c r="C358" s="108">
        <v>2484.9</v>
      </c>
      <c r="D358" s="108">
        <v>2.8</v>
      </c>
      <c r="E358" s="108">
        <v>50.1</v>
      </c>
      <c r="F358" s="108">
        <v>32.200000000000003</v>
      </c>
      <c r="G358" s="108">
        <v>65.8</v>
      </c>
    </row>
    <row r="359" spans="1:7" s="107" customFormat="1">
      <c r="A359" s="575" t="s">
        <v>429</v>
      </c>
      <c r="B359" s="577"/>
      <c r="C359" s="108">
        <v>2485.5</v>
      </c>
      <c r="D359" s="108">
        <v>2.8</v>
      </c>
      <c r="E359" s="108">
        <v>49.8</v>
      </c>
      <c r="F359" s="108">
        <v>32.200000000000003</v>
      </c>
      <c r="G359" s="108">
        <v>65.3</v>
      </c>
    </row>
    <row r="360" spans="1:7" s="107" customFormat="1">
      <c r="A360" s="575" t="s">
        <v>430</v>
      </c>
      <c r="B360" s="577"/>
      <c r="C360" s="108">
        <v>2488</v>
      </c>
      <c r="D360" s="108">
        <v>2.8</v>
      </c>
      <c r="E360" s="108">
        <v>49.8</v>
      </c>
      <c r="F360" s="108">
        <v>32.1</v>
      </c>
      <c r="G360" s="108">
        <v>65.3</v>
      </c>
    </row>
    <row r="361" spans="1:7" s="107" customFormat="1">
      <c r="A361" s="575" t="s">
        <v>431</v>
      </c>
      <c r="B361" s="577"/>
      <c r="C361" s="108">
        <v>2485.8000000000002</v>
      </c>
      <c r="D361" s="108">
        <v>2.8</v>
      </c>
      <c r="E361" s="108">
        <v>50.1</v>
      </c>
      <c r="F361" s="108">
        <v>32.299999999999997</v>
      </c>
      <c r="G361" s="108">
        <v>65.7</v>
      </c>
    </row>
    <row r="362" spans="1:7" s="107" customFormat="1">
      <c r="A362" s="575" t="s">
        <v>432</v>
      </c>
      <c r="B362" s="577"/>
      <c r="C362" s="108">
        <v>2485.6</v>
      </c>
      <c r="D362" s="108">
        <v>2.8</v>
      </c>
      <c r="E362" s="108">
        <v>50.3</v>
      </c>
      <c r="F362" s="108">
        <v>32.200000000000003</v>
      </c>
      <c r="G362" s="108">
        <v>66.099999999999994</v>
      </c>
    </row>
    <row r="363" spans="1:7" s="107" customFormat="1">
      <c r="A363" s="575" t="s">
        <v>433</v>
      </c>
      <c r="B363" s="577"/>
      <c r="C363" s="108">
        <v>2488.3000000000002</v>
      </c>
      <c r="D363" s="108">
        <v>2.8</v>
      </c>
      <c r="E363" s="108">
        <v>50.5</v>
      </c>
      <c r="F363" s="108">
        <v>32</v>
      </c>
      <c r="G363" s="108">
        <v>66.3</v>
      </c>
    </row>
    <row r="364" spans="1:7" s="107" customFormat="1">
      <c r="A364" s="575" t="s">
        <v>434</v>
      </c>
      <c r="B364" s="577"/>
      <c r="C364" s="108">
        <v>2498.4</v>
      </c>
      <c r="D364" s="108">
        <v>2.8</v>
      </c>
      <c r="E364" s="108">
        <v>50.4</v>
      </c>
      <c r="F364" s="108">
        <v>31.9</v>
      </c>
      <c r="G364" s="108">
        <v>66.099999999999994</v>
      </c>
    </row>
    <row r="365" spans="1:7" s="107" customFormat="1">
      <c r="A365" s="575" t="s">
        <v>435</v>
      </c>
      <c r="B365" s="577"/>
      <c r="C365" s="108">
        <v>2504.6</v>
      </c>
      <c r="D365" s="108">
        <v>2.8</v>
      </c>
      <c r="E365" s="108">
        <v>50.4</v>
      </c>
      <c r="F365" s="108">
        <v>32</v>
      </c>
      <c r="G365" s="108">
        <v>66</v>
      </c>
    </row>
    <row r="366" spans="1:7" s="107" customFormat="1">
      <c r="A366" s="575" t="s">
        <v>436</v>
      </c>
      <c r="B366" s="577"/>
      <c r="C366" s="108">
        <v>2511.4</v>
      </c>
      <c r="D366" s="108">
        <v>2.8</v>
      </c>
      <c r="E366" s="108">
        <v>50.4</v>
      </c>
      <c r="F366" s="108">
        <v>32</v>
      </c>
      <c r="G366" s="108">
        <v>66</v>
      </c>
    </row>
    <row r="367" spans="1:7" s="107" customFormat="1">
      <c r="A367" s="575" t="s">
        <v>437</v>
      </c>
      <c r="B367" s="577"/>
      <c r="C367" s="108">
        <v>2509.1</v>
      </c>
      <c r="D367" s="108">
        <v>2.8</v>
      </c>
      <c r="E367" s="108">
        <v>50.1</v>
      </c>
      <c r="F367" s="108">
        <v>31.9</v>
      </c>
      <c r="G367" s="108">
        <v>65.5</v>
      </c>
    </row>
    <row r="368" spans="1:7" s="107" customFormat="1">
      <c r="A368" s="575" t="s">
        <v>438</v>
      </c>
      <c r="B368" s="577"/>
      <c r="C368" s="108">
        <v>2507</v>
      </c>
      <c r="D368" s="108">
        <v>2.8</v>
      </c>
      <c r="E368" s="108">
        <v>49.9</v>
      </c>
      <c r="F368" s="108">
        <v>31.8</v>
      </c>
      <c r="G368" s="108">
        <v>65.3</v>
      </c>
    </row>
    <row r="369" spans="1:7" s="107" customFormat="1">
      <c r="A369" s="575" t="s">
        <v>439</v>
      </c>
      <c r="B369" s="577"/>
      <c r="C369" s="108">
        <v>2503.6999999999998</v>
      </c>
      <c r="D369" s="108">
        <v>2.8</v>
      </c>
      <c r="E369" s="108">
        <v>49.7</v>
      </c>
      <c r="F369" s="108">
        <v>31.9</v>
      </c>
      <c r="G369" s="108">
        <v>64.8</v>
      </c>
    </row>
    <row r="370" spans="1:7" s="107" customFormat="1">
      <c r="A370" s="575" t="s">
        <v>440</v>
      </c>
      <c r="B370" s="577"/>
      <c r="C370" s="108">
        <v>2506.8000000000002</v>
      </c>
      <c r="D370" s="108">
        <v>2.8</v>
      </c>
      <c r="E370" s="108">
        <v>49.8</v>
      </c>
      <c r="F370" s="108">
        <v>31.7</v>
      </c>
      <c r="G370" s="108">
        <v>65.2</v>
      </c>
    </row>
    <row r="371" spans="1:7" s="107" customFormat="1">
      <c r="A371" s="575" t="s">
        <v>441</v>
      </c>
      <c r="B371" s="577"/>
      <c r="C371" s="108">
        <v>2508.6</v>
      </c>
      <c r="D371" s="108">
        <v>2.8</v>
      </c>
      <c r="E371" s="108">
        <v>50</v>
      </c>
      <c r="F371" s="108">
        <v>31.9</v>
      </c>
      <c r="G371" s="108">
        <v>65.5</v>
      </c>
    </row>
    <row r="372" spans="1:7" s="107" customFormat="1">
      <c r="A372" s="575" t="s">
        <v>442</v>
      </c>
      <c r="B372" s="577"/>
      <c r="C372" s="108">
        <v>2510</v>
      </c>
      <c r="D372" s="108">
        <v>2.8</v>
      </c>
      <c r="E372" s="108">
        <v>49.7</v>
      </c>
      <c r="F372" s="108">
        <v>31.9</v>
      </c>
      <c r="G372" s="108">
        <v>64.900000000000006</v>
      </c>
    </row>
    <row r="373" spans="1:7" s="107" customFormat="1">
      <c r="A373" s="575" t="s">
        <v>443</v>
      </c>
      <c r="B373" s="577"/>
      <c r="C373" s="108">
        <v>2511.3000000000002</v>
      </c>
      <c r="D373" s="108">
        <v>2.8</v>
      </c>
      <c r="E373" s="108">
        <v>49.3</v>
      </c>
      <c r="F373" s="108">
        <v>32</v>
      </c>
      <c r="G373" s="108">
        <v>64.099999999999994</v>
      </c>
    </row>
    <row r="374" spans="1:7" s="107" customFormat="1">
      <c r="A374" s="575" t="s">
        <v>444</v>
      </c>
      <c r="B374" s="577"/>
      <c r="C374" s="108">
        <v>2515.9</v>
      </c>
      <c r="D374" s="108">
        <v>2.8</v>
      </c>
      <c r="E374" s="108">
        <v>49.1</v>
      </c>
      <c r="F374" s="108">
        <v>31.9</v>
      </c>
      <c r="G374" s="108">
        <v>63.8</v>
      </c>
    </row>
    <row r="375" spans="1:7" s="107" customFormat="1">
      <c r="A375" s="575" t="s">
        <v>445</v>
      </c>
      <c r="B375" s="577"/>
      <c r="C375" s="108">
        <v>2521.8000000000002</v>
      </c>
      <c r="D375" s="108">
        <v>2.8</v>
      </c>
      <c r="E375" s="108">
        <v>49</v>
      </c>
      <c r="F375" s="108">
        <v>31.9</v>
      </c>
      <c r="G375" s="108">
        <v>63.4</v>
      </c>
    </row>
    <row r="376" spans="1:7" s="107" customFormat="1">
      <c r="A376" s="575" t="s">
        <v>446</v>
      </c>
      <c r="B376" s="577"/>
      <c r="C376" s="108">
        <v>2530.6</v>
      </c>
      <c r="D376" s="108">
        <v>2.8</v>
      </c>
      <c r="E376" s="108">
        <v>48.6</v>
      </c>
      <c r="F376" s="108">
        <v>32</v>
      </c>
      <c r="G376" s="108">
        <v>62.8</v>
      </c>
    </row>
    <row r="377" spans="1:7" s="107" customFormat="1">
      <c r="A377" s="575" t="s">
        <v>447</v>
      </c>
      <c r="B377" s="577"/>
      <c r="C377" s="108">
        <v>2539.5</v>
      </c>
      <c r="D377" s="108">
        <v>2.8</v>
      </c>
      <c r="E377" s="108">
        <v>48.5</v>
      </c>
      <c r="F377" s="108">
        <v>31.8</v>
      </c>
      <c r="G377" s="108">
        <v>62.6</v>
      </c>
    </row>
    <row r="378" spans="1:7" s="107" customFormat="1">
      <c r="A378" s="575" t="s">
        <v>448</v>
      </c>
      <c r="B378" s="577"/>
      <c r="C378" s="108">
        <v>2548.3000000000002</v>
      </c>
      <c r="D378" s="108">
        <v>2.8</v>
      </c>
      <c r="E378" s="108">
        <v>48.8</v>
      </c>
      <c r="F378" s="108">
        <v>31.7</v>
      </c>
      <c r="G378" s="108">
        <v>63.3</v>
      </c>
    </row>
    <row r="379" spans="1:7" s="107" customFormat="1">
      <c r="A379" s="575" t="s">
        <v>449</v>
      </c>
      <c r="B379" s="577"/>
      <c r="C379" s="108">
        <v>2547.8000000000002</v>
      </c>
      <c r="D379" s="108">
        <v>2.8</v>
      </c>
      <c r="E379" s="108">
        <v>49.3</v>
      </c>
      <c r="F379" s="108">
        <v>31.6</v>
      </c>
      <c r="G379" s="108">
        <v>64.400000000000006</v>
      </c>
    </row>
    <row r="380" spans="1:7" s="107" customFormat="1">
      <c r="A380" s="575" t="s">
        <v>450</v>
      </c>
      <c r="B380" s="577"/>
      <c r="C380" s="108">
        <v>2545.1</v>
      </c>
      <c r="D380" s="108">
        <v>2.8</v>
      </c>
      <c r="E380" s="108">
        <v>49.4</v>
      </c>
      <c r="F380" s="108">
        <v>31.7</v>
      </c>
      <c r="G380" s="108">
        <v>64.400000000000006</v>
      </c>
    </row>
    <row r="381" spans="1:7" s="107" customFormat="1">
      <c r="A381" s="575" t="s">
        <v>451</v>
      </c>
      <c r="B381" s="577"/>
      <c r="C381" s="108">
        <v>2540.8000000000002</v>
      </c>
      <c r="D381" s="108">
        <v>2.8</v>
      </c>
      <c r="E381" s="108">
        <v>49.2</v>
      </c>
      <c r="F381" s="108">
        <v>31.8</v>
      </c>
      <c r="G381" s="108">
        <v>64.099999999999994</v>
      </c>
    </row>
    <row r="382" spans="1:7" s="107" customFormat="1">
      <c r="A382" s="575" t="s">
        <v>452</v>
      </c>
      <c r="B382" s="577"/>
      <c r="C382" s="108">
        <v>2540.6</v>
      </c>
      <c r="D382" s="108">
        <v>2.8</v>
      </c>
      <c r="E382" s="108">
        <v>49.6</v>
      </c>
      <c r="F382" s="108">
        <v>31.8</v>
      </c>
      <c r="G382" s="108">
        <v>64.599999999999994</v>
      </c>
    </row>
    <row r="383" spans="1:7" s="107" customFormat="1">
      <c r="A383" s="575" t="s">
        <v>453</v>
      </c>
      <c r="B383" s="577"/>
      <c r="C383" s="108">
        <v>2546.3000000000002</v>
      </c>
      <c r="D383" s="108">
        <v>2.8</v>
      </c>
      <c r="E383" s="108">
        <v>49.5</v>
      </c>
      <c r="F383" s="108">
        <v>31.8</v>
      </c>
      <c r="G383" s="108">
        <v>64.400000000000006</v>
      </c>
    </row>
    <row r="384" spans="1:7" s="107" customFormat="1">
      <c r="A384" s="575" t="s">
        <v>454</v>
      </c>
      <c r="B384" s="577"/>
      <c r="C384" s="108">
        <v>2554.1</v>
      </c>
      <c r="D384" s="108">
        <v>2.8</v>
      </c>
      <c r="E384" s="108">
        <v>49.6</v>
      </c>
      <c r="F384" s="108">
        <v>31.8</v>
      </c>
      <c r="G384" s="108">
        <v>64.599999999999994</v>
      </c>
    </row>
    <row r="385" spans="1:7" s="107" customFormat="1">
      <c r="A385" s="575" t="s">
        <v>455</v>
      </c>
      <c r="B385" s="577"/>
      <c r="C385" s="108">
        <v>2558.3000000000002</v>
      </c>
      <c r="D385" s="108">
        <v>2.8</v>
      </c>
      <c r="E385" s="108">
        <v>49.3</v>
      </c>
      <c r="F385" s="108">
        <v>31.7</v>
      </c>
      <c r="G385" s="108">
        <v>64.099999999999994</v>
      </c>
    </row>
    <row r="386" spans="1:7" s="107" customFormat="1">
      <c r="A386" s="575" t="s">
        <v>456</v>
      </c>
      <c r="B386" s="577"/>
      <c r="C386" s="108">
        <v>2555.9</v>
      </c>
      <c r="D386" s="108">
        <v>2.8</v>
      </c>
      <c r="E386" s="108">
        <v>49.2</v>
      </c>
      <c r="F386" s="108">
        <v>31.6</v>
      </c>
      <c r="G386" s="108">
        <v>64</v>
      </c>
    </row>
    <row r="387" spans="1:7" s="107" customFormat="1">
      <c r="A387" s="575" t="s">
        <v>457</v>
      </c>
      <c r="B387" s="577"/>
      <c r="C387" s="108">
        <v>2560.5</v>
      </c>
      <c r="D387" s="108">
        <v>2.8</v>
      </c>
      <c r="E387" s="108">
        <v>49.2</v>
      </c>
      <c r="F387" s="108">
        <v>31.6</v>
      </c>
      <c r="G387" s="108">
        <v>64</v>
      </c>
    </row>
    <row r="388" spans="1:7" s="107" customFormat="1">
      <c r="A388" s="575" t="s">
        <v>458</v>
      </c>
      <c r="B388" s="577"/>
      <c r="C388" s="108">
        <v>2569.1999999999998</v>
      </c>
      <c r="D388" s="108">
        <v>2.8</v>
      </c>
      <c r="E388" s="108">
        <v>48.9</v>
      </c>
      <c r="F388" s="108">
        <v>31.4</v>
      </c>
      <c r="G388" s="108">
        <v>63.7</v>
      </c>
    </row>
    <row r="389" spans="1:7" s="107" customFormat="1">
      <c r="A389" s="575" t="s">
        <v>459</v>
      </c>
      <c r="B389" s="577"/>
      <c r="C389" s="108">
        <v>2574.6999999999998</v>
      </c>
      <c r="D389" s="108">
        <v>2.8</v>
      </c>
      <c r="E389" s="108">
        <v>49</v>
      </c>
      <c r="F389" s="108">
        <v>31.4</v>
      </c>
      <c r="G389" s="108">
        <v>63.8</v>
      </c>
    </row>
    <row r="390" spans="1:7" s="107" customFormat="1">
      <c r="A390" s="575" t="s">
        <v>460</v>
      </c>
      <c r="B390" s="577"/>
      <c r="C390" s="108">
        <v>2581.3000000000002</v>
      </c>
      <c r="D390" s="108">
        <v>2.8</v>
      </c>
      <c r="E390" s="108">
        <v>48.9</v>
      </c>
      <c r="F390" s="108">
        <v>31.5</v>
      </c>
      <c r="G390" s="108">
        <v>63.7</v>
      </c>
    </row>
    <row r="391" spans="1:7" s="107" customFormat="1">
      <c r="A391" s="575" t="s">
        <v>461</v>
      </c>
      <c r="B391" s="577"/>
      <c r="C391" s="108">
        <v>2579.1</v>
      </c>
      <c r="D391" s="108">
        <v>2.8</v>
      </c>
      <c r="E391" s="108">
        <v>49.1</v>
      </c>
      <c r="F391" s="108">
        <v>31.7</v>
      </c>
      <c r="G391" s="108">
        <v>64</v>
      </c>
    </row>
    <row r="392" spans="1:7" s="107" customFormat="1">
      <c r="A392" s="575" t="s">
        <v>462</v>
      </c>
      <c r="B392" s="577"/>
      <c r="C392" s="108">
        <v>2574.5</v>
      </c>
      <c r="D392" s="108">
        <v>2.8</v>
      </c>
      <c r="E392" s="108">
        <v>49.3</v>
      </c>
      <c r="F392" s="108">
        <v>31.8</v>
      </c>
      <c r="G392" s="108">
        <v>64.400000000000006</v>
      </c>
    </row>
    <row r="393" spans="1:7" s="107" customFormat="1">
      <c r="A393" s="575" t="s">
        <v>463</v>
      </c>
      <c r="B393" s="577"/>
      <c r="C393" s="108">
        <v>2570.9</v>
      </c>
      <c r="D393" s="108">
        <v>2.8</v>
      </c>
      <c r="E393" s="108">
        <v>49.1</v>
      </c>
      <c r="F393" s="108">
        <v>31.8</v>
      </c>
      <c r="G393" s="108">
        <v>64</v>
      </c>
    </row>
    <row r="394" spans="1:7" s="107" customFormat="1">
      <c r="A394" s="575" t="s">
        <v>464</v>
      </c>
      <c r="B394" s="577"/>
      <c r="C394" s="108">
        <v>2573.9</v>
      </c>
      <c r="D394" s="108">
        <v>2.8</v>
      </c>
      <c r="E394" s="108">
        <v>49.1</v>
      </c>
      <c r="F394" s="108">
        <v>32</v>
      </c>
      <c r="G394" s="108">
        <v>63.8</v>
      </c>
    </row>
    <row r="396" spans="1:7" s="107" customFormat="1" ht="12.75" customHeight="1">
      <c r="A396" s="113" t="s">
        <v>498</v>
      </c>
      <c r="B396" s="575" t="s">
        <v>499</v>
      </c>
      <c r="C396" s="576"/>
      <c r="D396" s="576"/>
      <c r="E396" s="576"/>
      <c r="F396" s="576"/>
      <c r="G396" s="576"/>
    </row>
    <row r="397" spans="1:7" s="107" customFormat="1" ht="12.75" customHeight="1">
      <c r="A397" s="113" t="s">
        <v>465</v>
      </c>
      <c r="B397" s="575" t="s">
        <v>500</v>
      </c>
      <c r="C397" s="576"/>
      <c r="D397" s="576"/>
      <c r="E397" s="576"/>
      <c r="F397" s="576"/>
      <c r="G397" s="576"/>
    </row>
    <row r="398" spans="1:7" s="107" customFormat="1" ht="63.75" customHeight="1">
      <c r="A398" s="113" t="s">
        <v>465</v>
      </c>
      <c r="B398" s="575" t="s">
        <v>501</v>
      </c>
      <c r="C398" s="576"/>
      <c r="D398" s="576"/>
      <c r="E398" s="576"/>
      <c r="F398" s="576"/>
      <c r="G398" s="576"/>
    </row>
    <row r="399" spans="1:7" s="107" customFormat="1" ht="25.5" customHeight="1">
      <c r="A399" s="113" t="s">
        <v>465</v>
      </c>
      <c r="B399" s="575" t="s">
        <v>502</v>
      </c>
      <c r="C399" s="576"/>
      <c r="D399" s="576"/>
      <c r="E399" s="576"/>
      <c r="F399" s="576"/>
      <c r="G399" s="576"/>
    </row>
    <row r="400" spans="1:7" s="107" customFormat="1" ht="12.75" customHeight="1">
      <c r="A400" s="113" t="s">
        <v>465</v>
      </c>
      <c r="B400" s="109" t="s">
        <v>109</v>
      </c>
      <c r="C400" s="575" t="s">
        <v>503</v>
      </c>
      <c r="D400" s="576"/>
      <c r="E400" s="576"/>
      <c r="F400" s="576"/>
      <c r="G400" s="576"/>
    </row>
    <row r="401" spans="1:10" s="107" customFormat="1" ht="51" customHeight="1">
      <c r="A401" s="113" t="s">
        <v>504</v>
      </c>
      <c r="B401" s="575" t="s">
        <v>505</v>
      </c>
      <c r="C401" s="576"/>
      <c r="D401" s="576"/>
      <c r="E401" s="576"/>
      <c r="F401" s="576"/>
      <c r="G401" s="576"/>
    </row>
    <row r="403" spans="1:10" s="107" customFormat="1" ht="12.75" customHeight="1">
      <c r="A403" s="575" t="s">
        <v>506</v>
      </c>
      <c r="B403" s="576"/>
      <c r="C403" s="576"/>
      <c r="D403" s="576"/>
      <c r="E403" s="576"/>
      <c r="F403" s="576"/>
      <c r="G403" s="576"/>
      <c r="H403" s="576"/>
      <c r="I403" s="576"/>
      <c r="J403" s="576"/>
    </row>
  </sheetData>
  <mergeCells count="400">
    <mergeCell ref="A1:O1"/>
    <mergeCell ref="A3:B3"/>
    <mergeCell ref="A4:B4"/>
    <mergeCell ref="A5:B5"/>
    <mergeCell ref="A6:B6"/>
    <mergeCell ref="A7:B7"/>
    <mergeCell ref="A14:B14"/>
    <mergeCell ref="A15:B15"/>
    <mergeCell ref="A16:B16"/>
    <mergeCell ref="A17:B17"/>
    <mergeCell ref="A18:B18"/>
    <mergeCell ref="A19:B19"/>
    <mergeCell ref="A8:B8"/>
    <mergeCell ref="A9:B9"/>
    <mergeCell ref="A10:B10"/>
    <mergeCell ref="A11:B11"/>
    <mergeCell ref="A12:B12"/>
    <mergeCell ref="A13:B13"/>
    <mergeCell ref="A26:B26"/>
    <mergeCell ref="A27:B27"/>
    <mergeCell ref="A28:B28"/>
    <mergeCell ref="A29:B29"/>
    <mergeCell ref="A30:B30"/>
    <mergeCell ref="A31:B31"/>
    <mergeCell ref="A20:B20"/>
    <mergeCell ref="A21:B21"/>
    <mergeCell ref="A22:B22"/>
    <mergeCell ref="A23:B23"/>
    <mergeCell ref="A24:B24"/>
    <mergeCell ref="A25:B25"/>
    <mergeCell ref="A38:B38"/>
    <mergeCell ref="A39:B39"/>
    <mergeCell ref="A40:B40"/>
    <mergeCell ref="A41:B41"/>
    <mergeCell ref="A42:B42"/>
    <mergeCell ref="A43:B43"/>
    <mergeCell ref="A32:B32"/>
    <mergeCell ref="A33:B33"/>
    <mergeCell ref="A34:B34"/>
    <mergeCell ref="A35:B35"/>
    <mergeCell ref="A36:B36"/>
    <mergeCell ref="A37:B37"/>
    <mergeCell ref="A50:B50"/>
    <mergeCell ref="A51:B51"/>
    <mergeCell ref="A52:B52"/>
    <mergeCell ref="A53:B53"/>
    <mergeCell ref="A54:B54"/>
    <mergeCell ref="A55:B55"/>
    <mergeCell ref="A44:B44"/>
    <mergeCell ref="A45:B45"/>
    <mergeCell ref="A46:B46"/>
    <mergeCell ref="A47:B47"/>
    <mergeCell ref="A48:B48"/>
    <mergeCell ref="A49:B49"/>
    <mergeCell ref="A62:B62"/>
    <mergeCell ref="A63:B63"/>
    <mergeCell ref="A64:B64"/>
    <mergeCell ref="A65:B65"/>
    <mergeCell ref="A66:B66"/>
    <mergeCell ref="A67:B67"/>
    <mergeCell ref="A56:B56"/>
    <mergeCell ref="A57:B57"/>
    <mergeCell ref="A58:B58"/>
    <mergeCell ref="A59:B59"/>
    <mergeCell ref="A60:B60"/>
    <mergeCell ref="A61:B61"/>
    <mergeCell ref="A74:B74"/>
    <mergeCell ref="A75:B75"/>
    <mergeCell ref="A76:B76"/>
    <mergeCell ref="A77:B77"/>
    <mergeCell ref="A78:B78"/>
    <mergeCell ref="A79:B79"/>
    <mergeCell ref="A68:B68"/>
    <mergeCell ref="A69:B69"/>
    <mergeCell ref="A70:B70"/>
    <mergeCell ref="A71:B71"/>
    <mergeCell ref="A72:B72"/>
    <mergeCell ref="A73:B73"/>
    <mergeCell ref="A86:B86"/>
    <mergeCell ref="A87:B87"/>
    <mergeCell ref="A88:B88"/>
    <mergeCell ref="A89:B89"/>
    <mergeCell ref="A90:B90"/>
    <mergeCell ref="A91:B91"/>
    <mergeCell ref="A80:B80"/>
    <mergeCell ref="A81:B81"/>
    <mergeCell ref="A82:B82"/>
    <mergeCell ref="A83:B83"/>
    <mergeCell ref="A84:B84"/>
    <mergeCell ref="A85:B85"/>
    <mergeCell ref="A98:B98"/>
    <mergeCell ref="A99:B99"/>
    <mergeCell ref="A100:B100"/>
    <mergeCell ref="A101:B101"/>
    <mergeCell ref="A102:B102"/>
    <mergeCell ref="A103:B103"/>
    <mergeCell ref="A92:B92"/>
    <mergeCell ref="A93:B93"/>
    <mergeCell ref="A94:B94"/>
    <mergeCell ref="A95:B95"/>
    <mergeCell ref="A96:B96"/>
    <mergeCell ref="A97:B97"/>
    <mergeCell ref="A110:B110"/>
    <mergeCell ref="A111:B111"/>
    <mergeCell ref="A112:B112"/>
    <mergeCell ref="A113:B113"/>
    <mergeCell ref="A114:B114"/>
    <mergeCell ref="A115:B115"/>
    <mergeCell ref="A104:B104"/>
    <mergeCell ref="A105:B105"/>
    <mergeCell ref="A106:B106"/>
    <mergeCell ref="A107:B107"/>
    <mergeCell ref="A108:B108"/>
    <mergeCell ref="A109:B10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34:B134"/>
    <mergeCell ref="A135:B135"/>
    <mergeCell ref="A136:B136"/>
    <mergeCell ref="A137:B137"/>
    <mergeCell ref="A138:B138"/>
    <mergeCell ref="A139:B139"/>
    <mergeCell ref="A128:B128"/>
    <mergeCell ref="A129:B129"/>
    <mergeCell ref="A130:B130"/>
    <mergeCell ref="A131:B131"/>
    <mergeCell ref="A132:B132"/>
    <mergeCell ref="A133:B133"/>
    <mergeCell ref="A146:B146"/>
    <mergeCell ref="A147:B147"/>
    <mergeCell ref="A148:B148"/>
    <mergeCell ref="A149:B149"/>
    <mergeCell ref="A150:B150"/>
    <mergeCell ref="A151:B151"/>
    <mergeCell ref="A140:B140"/>
    <mergeCell ref="A141:B141"/>
    <mergeCell ref="A142:B142"/>
    <mergeCell ref="A143:B143"/>
    <mergeCell ref="A144:B144"/>
    <mergeCell ref="A145:B145"/>
    <mergeCell ref="A158:B158"/>
    <mergeCell ref="A159:B159"/>
    <mergeCell ref="A160:B160"/>
    <mergeCell ref="A161:B161"/>
    <mergeCell ref="A162:B162"/>
    <mergeCell ref="A163:B163"/>
    <mergeCell ref="A152:B152"/>
    <mergeCell ref="A153:B153"/>
    <mergeCell ref="A154:B154"/>
    <mergeCell ref="A155:B155"/>
    <mergeCell ref="A156:B156"/>
    <mergeCell ref="A157:B157"/>
    <mergeCell ref="A170:B170"/>
    <mergeCell ref="A171:B171"/>
    <mergeCell ref="A172:B172"/>
    <mergeCell ref="A173:B173"/>
    <mergeCell ref="A174:B174"/>
    <mergeCell ref="A175:B175"/>
    <mergeCell ref="A164:B164"/>
    <mergeCell ref="A165:B165"/>
    <mergeCell ref="A166:B166"/>
    <mergeCell ref="A167:B167"/>
    <mergeCell ref="A168:B168"/>
    <mergeCell ref="A169:B169"/>
    <mergeCell ref="A182:B182"/>
    <mergeCell ref="A183:B183"/>
    <mergeCell ref="A184:B184"/>
    <mergeCell ref="A185:B185"/>
    <mergeCell ref="A186:B186"/>
    <mergeCell ref="A187:B187"/>
    <mergeCell ref="A176:B176"/>
    <mergeCell ref="A177:B177"/>
    <mergeCell ref="A178:B178"/>
    <mergeCell ref="A179:B179"/>
    <mergeCell ref="A180:B180"/>
    <mergeCell ref="A181:B181"/>
    <mergeCell ref="A194:B194"/>
    <mergeCell ref="A195:B195"/>
    <mergeCell ref="A196:B196"/>
    <mergeCell ref="A197:B197"/>
    <mergeCell ref="A198:B198"/>
    <mergeCell ref="A199:B199"/>
    <mergeCell ref="A188:B188"/>
    <mergeCell ref="A189:B189"/>
    <mergeCell ref="A190:B190"/>
    <mergeCell ref="A191:B191"/>
    <mergeCell ref="A192:B192"/>
    <mergeCell ref="A193:B193"/>
    <mergeCell ref="A206:B206"/>
    <mergeCell ref="A207:B207"/>
    <mergeCell ref="A208:B208"/>
    <mergeCell ref="A209:B209"/>
    <mergeCell ref="A210:B210"/>
    <mergeCell ref="A211:B211"/>
    <mergeCell ref="A200:B200"/>
    <mergeCell ref="A201:B201"/>
    <mergeCell ref="A202:B202"/>
    <mergeCell ref="A203:B203"/>
    <mergeCell ref="A204:B204"/>
    <mergeCell ref="A205:B205"/>
    <mergeCell ref="A218:B218"/>
    <mergeCell ref="A219:B219"/>
    <mergeCell ref="A220:B220"/>
    <mergeCell ref="A221:B221"/>
    <mergeCell ref="A222:B222"/>
    <mergeCell ref="A223:B223"/>
    <mergeCell ref="A212:B212"/>
    <mergeCell ref="A213:B213"/>
    <mergeCell ref="A214:B214"/>
    <mergeCell ref="A215:B215"/>
    <mergeCell ref="A216:B216"/>
    <mergeCell ref="A217:B217"/>
    <mergeCell ref="A230:B230"/>
    <mergeCell ref="A231:B231"/>
    <mergeCell ref="A232:B232"/>
    <mergeCell ref="A233:B233"/>
    <mergeCell ref="A234:B234"/>
    <mergeCell ref="A235:B235"/>
    <mergeCell ref="A224:B224"/>
    <mergeCell ref="A225:B225"/>
    <mergeCell ref="A226:B226"/>
    <mergeCell ref="A227:B227"/>
    <mergeCell ref="A228:B228"/>
    <mergeCell ref="A229:B229"/>
    <mergeCell ref="A242:B242"/>
    <mergeCell ref="A243:B243"/>
    <mergeCell ref="A244:B244"/>
    <mergeCell ref="A245:B245"/>
    <mergeCell ref="A246:B246"/>
    <mergeCell ref="A247:B247"/>
    <mergeCell ref="A236:B236"/>
    <mergeCell ref="A237:B237"/>
    <mergeCell ref="A238:B238"/>
    <mergeCell ref="A239:B239"/>
    <mergeCell ref="A240:B240"/>
    <mergeCell ref="A241:B241"/>
    <mergeCell ref="A254:B254"/>
    <mergeCell ref="A255:B255"/>
    <mergeCell ref="A256:B256"/>
    <mergeCell ref="A257:B257"/>
    <mergeCell ref="A258:B258"/>
    <mergeCell ref="A259:B259"/>
    <mergeCell ref="A248:B248"/>
    <mergeCell ref="A249:B249"/>
    <mergeCell ref="A250:B250"/>
    <mergeCell ref="A251:B251"/>
    <mergeCell ref="A252:B252"/>
    <mergeCell ref="A253:B253"/>
    <mergeCell ref="A266:B266"/>
    <mergeCell ref="A267:B267"/>
    <mergeCell ref="A268:B268"/>
    <mergeCell ref="A269:B269"/>
    <mergeCell ref="A270:B270"/>
    <mergeCell ref="A271:B271"/>
    <mergeCell ref="A260:B260"/>
    <mergeCell ref="A261:B261"/>
    <mergeCell ref="A262:B262"/>
    <mergeCell ref="A263:B263"/>
    <mergeCell ref="A264:B264"/>
    <mergeCell ref="A265:B265"/>
    <mergeCell ref="A278:B278"/>
    <mergeCell ref="A279:B279"/>
    <mergeCell ref="A280:B280"/>
    <mergeCell ref="A281:B281"/>
    <mergeCell ref="A282:B282"/>
    <mergeCell ref="A283:B283"/>
    <mergeCell ref="A272:B272"/>
    <mergeCell ref="A273:B273"/>
    <mergeCell ref="A274:B274"/>
    <mergeCell ref="A275:B275"/>
    <mergeCell ref="A276:B276"/>
    <mergeCell ref="A277:B277"/>
    <mergeCell ref="A290:B290"/>
    <mergeCell ref="A291:B291"/>
    <mergeCell ref="A292:B292"/>
    <mergeCell ref="A293:B293"/>
    <mergeCell ref="A294:B294"/>
    <mergeCell ref="A295:B295"/>
    <mergeCell ref="A284:B284"/>
    <mergeCell ref="A285:B285"/>
    <mergeCell ref="A286:B286"/>
    <mergeCell ref="A287:B287"/>
    <mergeCell ref="A288:B288"/>
    <mergeCell ref="A289:B289"/>
    <mergeCell ref="A302:B302"/>
    <mergeCell ref="A303:B303"/>
    <mergeCell ref="A304:B304"/>
    <mergeCell ref="A305:B305"/>
    <mergeCell ref="A306:B306"/>
    <mergeCell ref="A307:B307"/>
    <mergeCell ref="A296:B296"/>
    <mergeCell ref="A297:B297"/>
    <mergeCell ref="A298:B298"/>
    <mergeCell ref="A299:B299"/>
    <mergeCell ref="A300:B300"/>
    <mergeCell ref="A301:B301"/>
    <mergeCell ref="A314:B314"/>
    <mergeCell ref="A315:B315"/>
    <mergeCell ref="A316:B316"/>
    <mergeCell ref="A317:B317"/>
    <mergeCell ref="A318:B318"/>
    <mergeCell ref="A319:B319"/>
    <mergeCell ref="A308:B308"/>
    <mergeCell ref="A309:B309"/>
    <mergeCell ref="A310:B310"/>
    <mergeCell ref="A311:B311"/>
    <mergeCell ref="A312:B312"/>
    <mergeCell ref="A313:B313"/>
    <mergeCell ref="A326:B326"/>
    <mergeCell ref="A327:B327"/>
    <mergeCell ref="A328:B328"/>
    <mergeCell ref="A329:B329"/>
    <mergeCell ref="A330:B330"/>
    <mergeCell ref="A331:B331"/>
    <mergeCell ref="A320:B320"/>
    <mergeCell ref="A321:B321"/>
    <mergeCell ref="A322:B322"/>
    <mergeCell ref="A323:B323"/>
    <mergeCell ref="A324:B324"/>
    <mergeCell ref="A325:B325"/>
    <mergeCell ref="A338:B338"/>
    <mergeCell ref="A339:B339"/>
    <mergeCell ref="A340:B340"/>
    <mergeCell ref="A341:B341"/>
    <mergeCell ref="A342:B342"/>
    <mergeCell ref="A343:B343"/>
    <mergeCell ref="A332:B332"/>
    <mergeCell ref="A333:B333"/>
    <mergeCell ref="A334:B334"/>
    <mergeCell ref="A335:B335"/>
    <mergeCell ref="A336:B336"/>
    <mergeCell ref="A337:B337"/>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62:B362"/>
    <mergeCell ref="A363:B363"/>
    <mergeCell ref="A364:B364"/>
    <mergeCell ref="A365:B365"/>
    <mergeCell ref="A366:B366"/>
    <mergeCell ref="A367:B367"/>
    <mergeCell ref="A356:B356"/>
    <mergeCell ref="A357:B357"/>
    <mergeCell ref="A358:B358"/>
    <mergeCell ref="A359:B359"/>
    <mergeCell ref="A360:B360"/>
    <mergeCell ref="A361:B361"/>
    <mergeCell ref="A374:B374"/>
    <mergeCell ref="A375:B375"/>
    <mergeCell ref="A376:B376"/>
    <mergeCell ref="A377:B377"/>
    <mergeCell ref="A378:B378"/>
    <mergeCell ref="A379:B379"/>
    <mergeCell ref="A368:B368"/>
    <mergeCell ref="A369:B369"/>
    <mergeCell ref="A370:B370"/>
    <mergeCell ref="A371:B371"/>
    <mergeCell ref="A372:B372"/>
    <mergeCell ref="A373:B373"/>
    <mergeCell ref="A386:B386"/>
    <mergeCell ref="A387:B387"/>
    <mergeCell ref="A388:B388"/>
    <mergeCell ref="A389:B389"/>
    <mergeCell ref="A390:B390"/>
    <mergeCell ref="A391:B391"/>
    <mergeCell ref="A380:B380"/>
    <mergeCell ref="A381:B381"/>
    <mergeCell ref="A382:B382"/>
    <mergeCell ref="A383:B383"/>
    <mergeCell ref="A384:B384"/>
    <mergeCell ref="A385:B385"/>
    <mergeCell ref="B399:G399"/>
    <mergeCell ref="C400:G400"/>
    <mergeCell ref="B401:G401"/>
    <mergeCell ref="A403:J403"/>
    <mergeCell ref="A392:B392"/>
    <mergeCell ref="A393:B393"/>
    <mergeCell ref="A394:B394"/>
    <mergeCell ref="B396:G396"/>
    <mergeCell ref="B397:G397"/>
    <mergeCell ref="B398:G398"/>
  </mergeCells>
  <phoneticPr fontId="3" type="noConversion"/>
  <pageMargins left="0.75" right="0.75" top="1" bottom="1" header="0.5" footer="0.5"/>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27"/>
  <sheetViews>
    <sheetView zoomScaleNormal="100" workbookViewId="0">
      <pane xSplit="1" ySplit="6" topLeftCell="B7" activePane="bottomRight" state="frozen"/>
      <selection activeCell="F21" sqref="F21"/>
      <selection pane="topRight" activeCell="F21" sqref="F21"/>
      <selection pane="bottomLeft" activeCell="F21" sqref="F21"/>
      <selection pane="bottomRight" activeCell="F21" sqref="F21"/>
    </sheetView>
  </sheetViews>
  <sheetFormatPr defaultColWidth="9" defaultRowHeight="15"/>
  <cols>
    <col min="1" max="1" width="9" style="75"/>
    <col min="2" max="4" width="21.5703125" style="75" customWidth="1"/>
    <col min="5" max="5" width="11.42578125" style="75" customWidth="1"/>
    <col min="6" max="6" width="9.42578125" style="75" bestFit="1" customWidth="1"/>
    <col min="7" max="7" width="9.140625" style="75" bestFit="1" customWidth="1"/>
    <col min="8" max="257" width="9" style="75"/>
    <col min="258" max="260" width="21.5703125" style="75" customWidth="1"/>
    <col min="261" max="261" width="11.42578125" style="75" customWidth="1"/>
    <col min="262" max="262" width="9.42578125" style="75" bestFit="1" customWidth="1"/>
    <col min="263" max="263" width="9.140625" style="75" bestFit="1" customWidth="1"/>
    <col min="264" max="513" width="9" style="75"/>
    <col min="514" max="516" width="21.5703125" style="75" customWidth="1"/>
    <col min="517" max="517" width="11.42578125" style="75" customWidth="1"/>
    <col min="518" max="518" width="9.42578125" style="75" bestFit="1" customWidth="1"/>
    <col min="519" max="519" width="9.140625" style="75" bestFit="1" customWidth="1"/>
    <col min="520" max="769" width="9" style="75"/>
    <col min="770" max="772" width="21.5703125" style="75" customWidth="1"/>
    <col min="773" max="773" width="11.42578125" style="75" customWidth="1"/>
    <col min="774" max="774" width="9.42578125" style="75" bestFit="1" customWidth="1"/>
    <col min="775" max="775" width="9.140625" style="75" bestFit="1" customWidth="1"/>
    <col min="776" max="1025" width="9" style="75"/>
    <col min="1026" max="1028" width="21.5703125" style="75" customWidth="1"/>
    <col min="1029" max="1029" width="11.42578125" style="75" customWidth="1"/>
    <col min="1030" max="1030" width="9.42578125" style="75" bestFit="1" customWidth="1"/>
    <col min="1031" max="1031" width="9.140625" style="75" bestFit="1" customWidth="1"/>
    <col min="1032" max="1281" width="9" style="75"/>
    <col min="1282" max="1284" width="21.5703125" style="75" customWidth="1"/>
    <col min="1285" max="1285" width="11.42578125" style="75" customWidth="1"/>
    <col min="1286" max="1286" width="9.42578125" style="75" bestFit="1" customWidth="1"/>
    <col min="1287" max="1287" width="9.140625" style="75" bestFit="1" customWidth="1"/>
    <col min="1288" max="1537" width="9" style="75"/>
    <col min="1538" max="1540" width="21.5703125" style="75" customWidth="1"/>
    <col min="1541" max="1541" width="11.42578125" style="75" customWidth="1"/>
    <col min="1542" max="1542" width="9.42578125" style="75" bestFit="1" customWidth="1"/>
    <col min="1543" max="1543" width="9.140625" style="75" bestFit="1" customWidth="1"/>
    <col min="1544" max="1793" width="9" style="75"/>
    <col min="1794" max="1796" width="21.5703125" style="75" customWidth="1"/>
    <col min="1797" max="1797" width="11.42578125" style="75" customWidth="1"/>
    <col min="1798" max="1798" width="9.42578125" style="75" bestFit="1" customWidth="1"/>
    <col min="1799" max="1799" width="9.140625" style="75" bestFit="1" customWidth="1"/>
    <col min="1800" max="2049" width="9" style="75"/>
    <col min="2050" max="2052" width="21.5703125" style="75" customWidth="1"/>
    <col min="2053" max="2053" width="11.42578125" style="75" customWidth="1"/>
    <col min="2054" max="2054" width="9.42578125" style="75" bestFit="1" customWidth="1"/>
    <col min="2055" max="2055" width="9.140625" style="75" bestFit="1" customWidth="1"/>
    <col min="2056" max="2305" width="9" style="75"/>
    <col min="2306" max="2308" width="21.5703125" style="75" customWidth="1"/>
    <col min="2309" max="2309" width="11.42578125" style="75" customWidth="1"/>
    <col min="2310" max="2310" width="9.42578125" style="75" bestFit="1" customWidth="1"/>
    <col min="2311" max="2311" width="9.140625" style="75" bestFit="1" customWidth="1"/>
    <col min="2312" max="2561" width="9" style="75"/>
    <col min="2562" max="2564" width="21.5703125" style="75" customWidth="1"/>
    <col min="2565" max="2565" width="11.42578125" style="75" customWidth="1"/>
    <col min="2566" max="2566" width="9.42578125" style="75" bestFit="1" customWidth="1"/>
    <col min="2567" max="2567" width="9.140625" style="75" bestFit="1" customWidth="1"/>
    <col min="2568" max="2817" width="9" style="75"/>
    <col min="2818" max="2820" width="21.5703125" style="75" customWidth="1"/>
    <col min="2821" max="2821" width="11.42578125" style="75" customWidth="1"/>
    <col min="2822" max="2822" width="9.42578125" style="75" bestFit="1" customWidth="1"/>
    <col min="2823" max="2823" width="9.140625" style="75" bestFit="1" customWidth="1"/>
    <col min="2824" max="3073" width="9" style="75"/>
    <col min="3074" max="3076" width="21.5703125" style="75" customWidth="1"/>
    <col min="3077" max="3077" width="11.42578125" style="75" customWidth="1"/>
    <col min="3078" max="3078" width="9.42578125" style="75" bestFit="1" customWidth="1"/>
    <col min="3079" max="3079" width="9.140625" style="75" bestFit="1" customWidth="1"/>
    <col min="3080" max="3329" width="9" style="75"/>
    <col min="3330" max="3332" width="21.5703125" style="75" customWidth="1"/>
    <col min="3333" max="3333" width="11.42578125" style="75" customWidth="1"/>
    <col min="3334" max="3334" width="9.42578125" style="75" bestFit="1" customWidth="1"/>
    <col min="3335" max="3335" width="9.140625" style="75" bestFit="1" customWidth="1"/>
    <col min="3336" max="3585" width="9" style="75"/>
    <col min="3586" max="3588" width="21.5703125" style="75" customWidth="1"/>
    <col min="3589" max="3589" width="11.42578125" style="75" customWidth="1"/>
    <col min="3590" max="3590" width="9.42578125" style="75" bestFit="1" customWidth="1"/>
    <col min="3591" max="3591" width="9.140625" style="75" bestFit="1" customWidth="1"/>
    <col min="3592" max="3841" width="9" style="75"/>
    <col min="3842" max="3844" width="21.5703125" style="75" customWidth="1"/>
    <col min="3845" max="3845" width="11.42578125" style="75" customWidth="1"/>
    <col min="3846" max="3846" width="9.42578125" style="75" bestFit="1" customWidth="1"/>
    <col min="3847" max="3847" width="9.140625" style="75" bestFit="1" customWidth="1"/>
    <col min="3848" max="4097" width="9" style="75"/>
    <col min="4098" max="4100" width="21.5703125" style="75" customWidth="1"/>
    <col min="4101" max="4101" width="11.42578125" style="75" customWidth="1"/>
    <col min="4102" max="4102" width="9.42578125" style="75" bestFit="1" customWidth="1"/>
    <col min="4103" max="4103" width="9.140625" style="75" bestFit="1" customWidth="1"/>
    <col min="4104" max="4353" width="9" style="75"/>
    <col min="4354" max="4356" width="21.5703125" style="75" customWidth="1"/>
    <col min="4357" max="4357" width="11.42578125" style="75" customWidth="1"/>
    <col min="4358" max="4358" width="9.42578125" style="75" bestFit="1" customWidth="1"/>
    <col min="4359" max="4359" width="9.140625" style="75" bestFit="1" customWidth="1"/>
    <col min="4360" max="4609" width="9" style="75"/>
    <col min="4610" max="4612" width="21.5703125" style="75" customWidth="1"/>
    <col min="4613" max="4613" width="11.42578125" style="75" customWidth="1"/>
    <col min="4614" max="4614" width="9.42578125" style="75" bestFit="1" customWidth="1"/>
    <col min="4615" max="4615" width="9.140625" style="75" bestFit="1" customWidth="1"/>
    <col min="4616" max="4865" width="9" style="75"/>
    <col min="4866" max="4868" width="21.5703125" style="75" customWidth="1"/>
    <col min="4869" max="4869" width="11.42578125" style="75" customWidth="1"/>
    <col min="4870" max="4870" width="9.42578125" style="75" bestFit="1" customWidth="1"/>
    <col min="4871" max="4871" width="9.140625" style="75" bestFit="1" customWidth="1"/>
    <col min="4872" max="5121" width="9" style="75"/>
    <col min="5122" max="5124" width="21.5703125" style="75" customWidth="1"/>
    <col min="5125" max="5125" width="11.42578125" style="75" customWidth="1"/>
    <col min="5126" max="5126" width="9.42578125" style="75" bestFit="1" customWidth="1"/>
    <col min="5127" max="5127" width="9.140625" style="75" bestFit="1" customWidth="1"/>
    <col min="5128" max="5377" width="9" style="75"/>
    <col min="5378" max="5380" width="21.5703125" style="75" customWidth="1"/>
    <col min="5381" max="5381" width="11.42578125" style="75" customWidth="1"/>
    <col min="5382" max="5382" width="9.42578125" style="75" bestFit="1" customWidth="1"/>
    <col min="5383" max="5383" width="9.140625" style="75" bestFit="1" customWidth="1"/>
    <col min="5384" max="5633" width="9" style="75"/>
    <col min="5634" max="5636" width="21.5703125" style="75" customWidth="1"/>
    <col min="5637" max="5637" width="11.42578125" style="75" customWidth="1"/>
    <col min="5638" max="5638" width="9.42578125" style="75" bestFit="1" customWidth="1"/>
    <col min="5639" max="5639" width="9.140625" style="75" bestFit="1" customWidth="1"/>
    <col min="5640" max="5889" width="9" style="75"/>
    <col min="5890" max="5892" width="21.5703125" style="75" customWidth="1"/>
    <col min="5893" max="5893" width="11.42578125" style="75" customWidth="1"/>
    <col min="5894" max="5894" width="9.42578125" style="75" bestFit="1" customWidth="1"/>
    <col min="5895" max="5895" width="9.140625" style="75" bestFit="1" customWidth="1"/>
    <col min="5896" max="6145" width="9" style="75"/>
    <col min="6146" max="6148" width="21.5703125" style="75" customWidth="1"/>
    <col min="6149" max="6149" width="11.42578125" style="75" customWidth="1"/>
    <col min="6150" max="6150" width="9.42578125" style="75" bestFit="1" customWidth="1"/>
    <col min="6151" max="6151" width="9.140625" style="75" bestFit="1" customWidth="1"/>
    <col min="6152" max="6401" width="9" style="75"/>
    <col min="6402" max="6404" width="21.5703125" style="75" customWidth="1"/>
    <col min="6405" max="6405" width="11.42578125" style="75" customWidth="1"/>
    <col min="6406" max="6406" width="9.42578125" style="75" bestFit="1" customWidth="1"/>
    <col min="6407" max="6407" width="9.140625" style="75" bestFit="1" customWidth="1"/>
    <col min="6408" max="6657" width="9" style="75"/>
    <col min="6658" max="6660" width="21.5703125" style="75" customWidth="1"/>
    <col min="6661" max="6661" width="11.42578125" style="75" customWidth="1"/>
    <col min="6662" max="6662" width="9.42578125" style="75" bestFit="1" customWidth="1"/>
    <col min="6663" max="6663" width="9.140625" style="75" bestFit="1" customWidth="1"/>
    <col min="6664" max="6913" width="9" style="75"/>
    <col min="6914" max="6916" width="21.5703125" style="75" customWidth="1"/>
    <col min="6917" max="6917" width="11.42578125" style="75" customWidth="1"/>
    <col min="6918" max="6918" width="9.42578125" style="75" bestFit="1" customWidth="1"/>
    <col min="6919" max="6919" width="9.140625" style="75" bestFit="1" customWidth="1"/>
    <col min="6920" max="7169" width="9" style="75"/>
    <col min="7170" max="7172" width="21.5703125" style="75" customWidth="1"/>
    <col min="7173" max="7173" width="11.42578125" style="75" customWidth="1"/>
    <col min="7174" max="7174" width="9.42578125" style="75" bestFit="1" customWidth="1"/>
    <col min="7175" max="7175" width="9.140625" style="75" bestFit="1" customWidth="1"/>
    <col min="7176" max="7425" width="9" style="75"/>
    <col min="7426" max="7428" width="21.5703125" style="75" customWidth="1"/>
    <col min="7429" max="7429" width="11.42578125" style="75" customWidth="1"/>
    <col min="7430" max="7430" width="9.42578125" style="75" bestFit="1" customWidth="1"/>
    <col min="7431" max="7431" width="9.140625" style="75" bestFit="1" customWidth="1"/>
    <col min="7432" max="7681" width="9" style="75"/>
    <col min="7682" max="7684" width="21.5703125" style="75" customWidth="1"/>
    <col min="7685" max="7685" width="11.42578125" style="75" customWidth="1"/>
    <col min="7686" max="7686" width="9.42578125" style="75" bestFit="1" customWidth="1"/>
    <col min="7687" max="7687" width="9.140625" style="75" bestFit="1" customWidth="1"/>
    <col min="7688" max="7937" width="9" style="75"/>
    <col min="7938" max="7940" width="21.5703125" style="75" customWidth="1"/>
    <col min="7941" max="7941" width="11.42578125" style="75" customWidth="1"/>
    <col min="7942" max="7942" width="9.42578125" style="75" bestFit="1" customWidth="1"/>
    <col min="7943" max="7943" width="9.140625" style="75" bestFit="1" customWidth="1"/>
    <col min="7944" max="8193" width="9" style="75"/>
    <col min="8194" max="8196" width="21.5703125" style="75" customWidth="1"/>
    <col min="8197" max="8197" width="11.42578125" style="75" customWidth="1"/>
    <col min="8198" max="8198" width="9.42578125" style="75" bestFit="1" customWidth="1"/>
    <col min="8199" max="8199" width="9.140625" style="75" bestFit="1" customWidth="1"/>
    <col min="8200" max="8449" width="9" style="75"/>
    <col min="8450" max="8452" width="21.5703125" style="75" customWidth="1"/>
    <col min="8453" max="8453" width="11.42578125" style="75" customWidth="1"/>
    <col min="8454" max="8454" width="9.42578125" style="75" bestFit="1" customWidth="1"/>
    <col min="8455" max="8455" width="9.140625" style="75" bestFit="1" customWidth="1"/>
    <col min="8456" max="8705" width="9" style="75"/>
    <col min="8706" max="8708" width="21.5703125" style="75" customWidth="1"/>
    <col min="8709" max="8709" width="11.42578125" style="75" customWidth="1"/>
    <col min="8710" max="8710" width="9.42578125" style="75" bestFit="1" customWidth="1"/>
    <col min="8711" max="8711" width="9.140625" style="75" bestFit="1" customWidth="1"/>
    <col min="8712" max="8961" width="9" style="75"/>
    <col min="8962" max="8964" width="21.5703125" style="75" customWidth="1"/>
    <col min="8965" max="8965" width="11.42578125" style="75" customWidth="1"/>
    <col min="8966" max="8966" width="9.42578125" style="75" bestFit="1" customWidth="1"/>
    <col min="8967" max="8967" width="9.140625" style="75" bestFit="1" customWidth="1"/>
    <col min="8968" max="9217" width="9" style="75"/>
    <col min="9218" max="9220" width="21.5703125" style="75" customWidth="1"/>
    <col min="9221" max="9221" width="11.42578125" style="75" customWidth="1"/>
    <col min="9222" max="9222" width="9.42578125" style="75" bestFit="1" customWidth="1"/>
    <col min="9223" max="9223" width="9.140625" style="75" bestFit="1" customWidth="1"/>
    <col min="9224" max="9473" width="9" style="75"/>
    <col min="9474" max="9476" width="21.5703125" style="75" customWidth="1"/>
    <col min="9477" max="9477" width="11.42578125" style="75" customWidth="1"/>
    <col min="9478" max="9478" width="9.42578125" style="75" bestFit="1" customWidth="1"/>
    <col min="9479" max="9479" width="9.140625" style="75" bestFit="1" customWidth="1"/>
    <col min="9480" max="9729" width="9" style="75"/>
    <col min="9730" max="9732" width="21.5703125" style="75" customWidth="1"/>
    <col min="9733" max="9733" width="11.42578125" style="75" customWidth="1"/>
    <col min="9734" max="9734" width="9.42578125" style="75" bestFit="1" customWidth="1"/>
    <col min="9735" max="9735" width="9.140625" style="75" bestFit="1" customWidth="1"/>
    <col min="9736" max="9985" width="9" style="75"/>
    <col min="9986" max="9988" width="21.5703125" style="75" customWidth="1"/>
    <col min="9989" max="9989" width="11.42578125" style="75" customWidth="1"/>
    <col min="9990" max="9990" width="9.42578125" style="75" bestFit="1" customWidth="1"/>
    <col min="9991" max="9991" width="9.140625" style="75" bestFit="1" customWidth="1"/>
    <col min="9992" max="10241" width="9" style="75"/>
    <col min="10242" max="10244" width="21.5703125" style="75" customWidth="1"/>
    <col min="10245" max="10245" width="11.42578125" style="75" customWidth="1"/>
    <col min="10246" max="10246" width="9.42578125" style="75" bestFit="1" customWidth="1"/>
    <col min="10247" max="10247" width="9.140625" style="75" bestFit="1" customWidth="1"/>
    <col min="10248" max="10497" width="9" style="75"/>
    <col min="10498" max="10500" width="21.5703125" style="75" customWidth="1"/>
    <col min="10501" max="10501" width="11.42578125" style="75" customWidth="1"/>
    <col min="10502" max="10502" width="9.42578125" style="75" bestFit="1" customWidth="1"/>
    <col min="10503" max="10503" width="9.140625" style="75" bestFit="1" customWidth="1"/>
    <col min="10504" max="10753" width="9" style="75"/>
    <col min="10754" max="10756" width="21.5703125" style="75" customWidth="1"/>
    <col min="10757" max="10757" width="11.42578125" style="75" customWidth="1"/>
    <col min="10758" max="10758" width="9.42578125" style="75" bestFit="1" customWidth="1"/>
    <col min="10759" max="10759" width="9.140625" style="75" bestFit="1" customWidth="1"/>
    <col min="10760" max="11009" width="9" style="75"/>
    <col min="11010" max="11012" width="21.5703125" style="75" customWidth="1"/>
    <col min="11013" max="11013" width="11.42578125" style="75" customWidth="1"/>
    <col min="11014" max="11014" width="9.42578125" style="75" bestFit="1" customWidth="1"/>
    <col min="11015" max="11015" width="9.140625" style="75" bestFit="1" customWidth="1"/>
    <col min="11016" max="11265" width="9" style="75"/>
    <col min="11266" max="11268" width="21.5703125" style="75" customWidth="1"/>
    <col min="11269" max="11269" width="11.42578125" style="75" customWidth="1"/>
    <col min="11270" max="11270" width="9.42578125" style="75" bestFit="1" customWidth="1"/>
    <col min="11271" max="11271" width="9.140625" style="75" bestFit="1" customWidth="1"/>
    <col min="11272" max="11521" width="9" style="75"/>
    <col min="11522" max="11524" width="21.5703125" style="75" customWidth="1"/>
    <col min="11525" max="11525" width="11.42578125" style="75" customWidth="1"/>
    <col min="11526" max="11526" width="9.42578125" style="75" bestFit="1" customWidth="1"/>
    <col min="11527" max="11527" width="9.140625" style="75" bestFit="1" customWidth="1"/>
    <col min="11528" max="11777" width="9" style="75"/>
    <col min="11778" max="11780" width="21.5703125" style="75" customWidth="1"/>
    <col min="11781" max="11781" width="11.42578125" style="75" customWidth="1"/>
    <col min="11782" max="11782" width="9.42578125" style="75" bestFit="1" customWidth="1"/>
    <col min="11783" max="11783" width="9.140625" style="75" bestFit="1" customWidth="1"/>
    <col min="11784" max="12033" width="9" style="75"/>
    <col min="12034" max="12036" width="21.5703125" style="75" customWidth="1"/>
    <col min="12037" max="12037" width="11.42578125" style="75" customWidth="1"/>
    <col min="12038" max="12038" width="9.42578125" style="75" bestFit="1" customWidth="1"/>
    <col min="12039" max="12039" width="9.140625" style="75" bestFit="1" customWidth="1"/>
    <col min="12040" max="12289" width="9" style="75"/>
    <col min="12290" max="12292" width="21.5703125" style="75" customWidth="1"/>
    <col min="12293" max="12293" width="11.42578125" style="75" customWidth="1"/>
    <col min="12294" max="12294" width="9.42578125" style="75" bestFit="1" customWidth="1"/>
    <col min="12295" max="12295" width="9.140625" style="75" bestFit="1" customWidth="1"/>
    <col min="12296" max="12545" width="9" style="75"/>
    <col min="12546" max="12548" width="21.5703125" style="75" customWidth="1"/>
    <col min="12549" max="12549" width="11.42578125" style="75" customWidth="1"/>
    <col min="12550" max="12550" width="9.42578125" style="75" bestFit="1" customWidth="1"/>
    <col min="12551" max="12551" width="9.140625" style="75" bestFit="1" customWidth="1"/>
    <col min="12552" max="12801" width="9" style="75"/>
    <col min="12802" max="12804" width="21.5703125" style="75" customWidth="1"/>
    <col min="12805" max="12805" width="11.42578125" style="75" customWidth="1"/>
    <col min="12806" max="12806" width="9.42578125" style="75" bestFit="1" customWidth="1"/>
    <col min="12807" max="12807" width="9.140625" style="75" bestFit="1" customWidth="1"/>
    <col min="12808" max="13057" width="9" style="75"/>
    <col min="13058" max="13060" width="21.5703125" style="75" customWidth="1"/>
    <col min="13061" max="13061" width="11.42578125" style="75" customWidth="1"/>
    <col min="13062" max="13062" width="9.42578125" style="75" bestFit="1" customWidth="1"/>
    <col min="13063" max="13063" width="9.140625" style="75" bestFit="1" customWidth="1"/>
    <col min="13064" max="13313" width="9" style="75"/>
    <col min="13314" max="13316" width="21.5703125" style="75" customWidth="1"/>
    <col min="13317" max="13317" width="11.42578125" style="75" customWidth="1"/>
    <col min="13318" max="13318" width="9.42578125" style="75" bestFit="1" customWidth="1"/>
    <col min="13319" max="13319" width="9.140625" style="75" bestFit="1" customWidth="1"/>
    <col min="13320" max="13569" width="9" style="75"/>
    <col min="13570" max="13572" width="21.5703125" style="75" customWidth="1"/>
    <col min="13573" max="13573" width="11.42578125" style="75" customWidth="1"/>
    <col min="13574" max="13574" width="9.42578125" style="75" bestFit="1" customWidth="1"/>
    <col min="13575" max="13575" width="9.140625" style="75" bestFit="1" customWidth="1"/>
    <col min="13576" max="13825" width="9" style="75"/>
    <col min="13826" max="13828" width="21.5703125" style="75" customWidth="1"/>
    <col min="13829" max="13829" width="11.42578125" style="75" customWidth="1"/>
    <col min="13830" max="13830" width="9.42578125" style="75" bestFit="1" customWidth="1"/>
    <col min="13831" max="13831" width="9.140625" style="75" bestFit="1" customWidth="1"/>
    <col min="13832" max="14081" width="9" style="75"/>
    <col min="14082" max="14084" width="21.5703125" style="75" customWidth="1"/>
    <col min="14085" max="14085" width="11.42578125" style="75" customWidth="1"/>
    <col min="14086" max="14086" width="9.42578125" style="75" bestFit="1" customWidth="1"/>
    <col min="14087" max="14087" width="9.140625" style="75" bestFit="1" customWidth="1"/>
    <col min="14088" max="14337" width="9" style="75"/>
    <col min="14338" max="14340" width="21.5703125" style="75" customWidth="1"/>
    <col min="14341" max="14341" width="11.42578125" style="75" customWidth="1"/>
    <col min="14342" max="14342" width="9.42578125" style="75" bestFit="1" customWidth="1"/>
    <col min="14343" max="14343" width="9.140625" style="75" bestFit="1" customWidth="1"/>
    <col min="14344" max="14593" width="9" style="75"/>
    <col min="14594" max="14596" width="21.5703125" style="75" customWidth="1"/>
    <col min="14597" max="14597" width="11.42578125" style="75" customWidth="1"/>
    <col min="14598" max="14598" width="9.42578125" style="75" bestFit="1" customWidth="1"/>
    <col min="14599" max="14599" width="9.140625" style="75" bestFit="1" customWidth="1"/>
    <col min="14600" max="14849" width="9" style="75"/>
    <col min="14850" max="14852" width="21.5703125" style="75" customWidth="1"/>
    <col min="14853" max="14853" width="11.42578125" style="75" customWidth="1"/>
    <col min="14854" max="14854" width="9.42578125" style="75" bestFit="1" customWidth="1"/>
    <col min="14855" max="14855" width="9.140625" style="75" bestFit="1" customWidth="1"/>
    <col min="14856" max="15105" width="9" style="75"/>
    <col min="15106" max="15108" width="21.5703125" style="75" customWidth="1"/>
    <col min="15109" max="15109" width="11.42578125" style="75" customWidth="1"/>
    <col min="15110" max="15110" width="9.42578125" style="75" bestFit="1" customWidth="1"/>
    <col min="15111" max="15111" width="9.140625" style="75" bestFit="1" customWidth="1"/>
    <col min="15112" max="15361" width="9" style="75"/>
    <col min="15362" max="15364" width="21.5703125" style="75" customWidth="1"/>
    <col min="15365" max="15365" width="11.42578125" style="75" customWidth="1"/>
    <col min="15366" max="15366" width="9.42578125" style="75" bestFit="1" customWidth="1"/>
    <col min="15367" max="15367" width="9.140625" style="75" bestFit="1" customWidth="1"/>
    <col min="15368" max="15617" width="9" style="75"/>
    <col min="15618" max="15620" width="21.5703125" style="75" customWidth="1"/>
    <col min="15621" max="15621" width="11.42578125" style="75" customWidth="1"/>
    <col min="15622" max="15622" width="9.42578125" style="75" bestFit="1" customWidth="1"/>
    <col min="15623" max="15623" width="9.140625" style="75" bestFit="1" customWidth="1"/>
    <col min="15624" max="15873" width="9" style="75"/>
    <col min="15874" max="15876" width="21.5703125" style="75" customWidth="1"/>
    <col min="15877" max="15877" width="11.42578125" style="75" customWidth="1"/>
    <col min="15878" max="15878" width="9.42578125" style="75" bestFit="1" customWidth="1"/>
    <col min="15879" max="15879" width="9.140625" style="75" bestFit="1" customWidth="1"/>
    <col min="15880" max="16129" width="9" style="75"/>
    <col min="16130" max="16132" width="21.5703125" style="75" customWidth="1"/>
    <col min="16133" max="16133" width="11.42578125" style="75" customWidth="1"/>
    <col min="16134" max="16134" width="9.42578125" style="75" bestFit="1" customWidth="1"/>
    <col min="16135" max="16135" width="9.140625" style="75" bestFit="1" customWidth="1"/>
    <col min="16136" max="16384" width="9" style="75"/>
  </cols>
  <sheetData>
    <row r="1" spans="1:7" ht="18.75">
      <c r="A1" s="73" t="s">
        <v>466</v>
      </c>
      <c r="B1" s="74" t="s">
        <v>467</v>
      </c>
      <c r="E1" s="103"/>
    </row>
    <row r="2" spans="1:7" ht="18.75">
      <c r="A2" s="74" t="s">
        <v>468</v>
      </c>
      <c r="B2" s="74" t="s">
        <v>469</v>
      </c>
    </row>
    <row r="3" spans="1:7" ht="15.75" thickBot="1">
      <c r="A3" s="76"/>
    </row>
    <row r="4" spans="1:7" ht="17.25" customHeight="1">
      <c r="A4" s="77" t="s">
        <v>470</v>
      </c>
      <c r="B4" s="78" t="s">
        <v>471</v>
      </c>
      <c r="C4" s="78" t="s">
        <v>472</v>
      </c>
      <c r="D4" s="78" t="s">
        <v>473</v>
      </c>
    </row>
    <row r="5" spans="1:7" ht="45">
      <c r="A5" s="79" t="s">
        <v>0</v>
      </c>
      <c r="B5" s="80" t="s">
        <v>474</v>
      </c>
      <c r="C5" s="80" t="s">
        <v>475</v>
      </c>
      <c r="D5" s="80" t="s">
        <v>476</v>
      </c>
    </row>
    <row r="6" spans="1:7" ht="15.75" thickBot="1">
      <c r="A6" s="81"/>
      <c r="B6" s="82"/>
      <c r="C6" s="83"/>
      <c r="D6" s="82"/>
    </row>
    <row r="7" spans="1:7">
      <c r="A7" s="84">
        <v>1981</v>
      </c>
      <c r="B7" s="85">
        <v>1244700</v>
      </c>
      <c r="C7" s="85" t="s">
        <v>477</v>
      </c>
      <c r="D7" s="86">
        <v>3.9</v>
      </c>
      <c r="E7" s="87"/>
      <c r="F7" s="87"/>
      <c r="G7" s="87"/>
    </row>
    <row r="8" spans="1:7">
      <c r="A8" s="84">
        <v>1986</v>
      </c>
      <c r="B8" s="85">
        <v>1452600</v>
      </c>
      <c r="C8" s="85">
        <v>41600</v>
      </c>
      <c r="D8" s="86">
        <v>3.7</v>
      </c>
      <c r="E8" s="87"/>
      <c r="F8" s="87"/>
      <c r="G8" s="87"/>
    </row>
    <row r="9" spans="1:7">
      <c r="A9" s="84">
        <v>1991</v>
      </c>
      <c r="B9" s="85">
        <v>1582200</v>
      </c>
      <c r="C9" s="85">
        <v>25900</v>
      </c>
      <c r="D9" s="86">
        <v>3.4</v>
      </c>
      <c r="E9" s="87"/>
      <c r="F9" s="87"/>
      <c r="G9" s="87"/>
    </row>
    <row r="10" spans="1:7">
      <c r="A10" s="84">
        <v>1996</v>
      </c>
      <c r="B10" s="85">
        <v>1855600</v>
      </c>
      <c r="C10" s="85">
        <v>54700</v>
      </c>
      <c r="D10" s="86">
        <v>3.3</v>
      </c>
      <c r="E10" s="87"/>
      <c r="F10" s="87"/>
      <c r="G10" s="87"/>
    </row>
    <row r="11" spans="1:7">
      <c r="A11" s="84">
        <v>2001</v>
      </c>
      <c r="B11" s="85">
        <v>2053400</v>
      </c>
      <c r="C11" s="85">
        <v>39600</v>
      </c>
      <c r="D11" s="86">
        <v>3.1</v>
      </c>
      <c r="E11" s="87"/>
      <c r="F11" s="87"/>
      <c r="G11" s="87"/>
    </row>
    <row r="12" spans="1:7">
      <c r="A12" s="84">
        <v>2006</v>
      </c>
      <c r="B12" s="85">
        <v>2226500</v>
      </c>
      <c r="C12" s="85">
        <v>34600</v>
      </c>
      <c r="D12" s="86">
        <v>3</v>
      </c>
      <c r="E12" s="87"/>
      <c r="F12" s="87"/>
      <c r="G12" s="87"/>
    </row>
    <row r="13" spans="1:7">
      <c r="A13" s="88">
        <v>2011</v>
      </c>
      <c r="B13" s="89">
        <v>2368800</v>
      </c>
      <c r="C13" s="89">
        <v>28500</v>
      </c>
      <c r="D13" s="90">
        <v>2.9</v>
      </c>
      <c r="E13" s="87"/>
      <c r="F13" s="87"/>
      <c r="G13" s="87"/>
    </row>
    <row r="14" spans="1:7" ht="15.75" thickBot="1">
      <c r="A14" s="91">
        <v>2016</v>
      </c>
      <c r="B14" s="92">
        <v>2509700</v>
      </c>
      <c r="C14" s="93">
        <v>28200</v>
      </c>
      <c r="D14" s="94">
        <v>2.8</v>
      </c>
    </row>
    <row r="15" spans="1:7">
      <c r="A15" s="84">
        <v>2021</v>
      </c>
      <c r="B15" s="85">
        <v>2657000</v>
      </c>
      <c r="C15" s="85">
        <v>29400</v>
      </c>
      <c r="D15" s="86">
        <v>2.8</v>
      </c>
      <c r="E15" s="87"/>
      <c r="F15" s="87"/>
      <c r="G15" s="87"/>
    </row>
    <row r="16" spans="1:7">
      <c r="A16" s="84">
        <v>2026</v>
      </c>
      <c r="B16" s="85">
        <v>2768900</v>
      </c>
      <c r="C16" s="85">
        <v>22400</v>
      </c>
      <c r="D16" s="86">
        <v>2.7</v>
      </c>
      <c r="E16" s="87"/>
      <c r="F16" s="87"/>
      <c r="G16" s="87"/>
    </row>
    <row r="17" spans="1:7">
      <c r="A17" s="84">
        <v>2031</v>
      </c>
      <c r="B17" s="85">
        <v>2854500</v>
      </c>
      <c r="C17" s="85">
        <v>17100</v>
      </c>
      <c r="D17" s="86">
        <v>2.7</v>
      </c>
      <c r="E17" s="87"/>
      <c r="F17" s="87"/>
      <c r="G17" s="87"/>
    </row>
    <row r="18" spans="1:7">
      <c r="A18" s="84">
        <v>2036</v>
      </c>
      <c r="B18" s="85">
        <v>2920200</v>
      </c>
      <c r="C18" s="85">
        <v>13100</v>
      </c>
      <c r="D18" s="86">
        <v>2.7</v>
      </c>
      <c r="E18" s="87"/>
      <c r="F18" s="87"/>
      <c r="G18" s="87"/>
    </row>
    <row r="19" spans="1:7">
      <c r="A19" s="84">
        <v>2041</v>
      </c>
      <c r="B19" s="85">
        <v>2961400</v>
      </c>
      <c r="C19" s="85">
        <v>8200</v>
      </c>
      <c r="D19" s="86">
        <v>2.7</v>
      </c>
      <c r="E19" s="87"/>
      <c r="F19" s="87"/>
      <c r="G19" s="87"/>
    </row>
    <row r="20" spans="1:7">
      <c r="A20" s="84">
        <v>2046</v>
      </c>
      <c r="B20" s="85">
        <v>2972300</v>
      </c>
      <c r="C20" s="85">
        <v>2200</v>
      </c>
      <c r="D20" s="86">
        <v>2.7</v>
      </c>
      <c r="E20" s="87"/>
      <c r="F20" s="87"/>
      <c r="G20" s="87"/>
    </row>
    <row r="21" spans="1:7" ht="15.75" thickBot="1">
      <c r="A21" s="95">
        <v>2051</v>
      </c>
      <c r="B21" s="96">
        <v>2949500</v>
      </c>
      <c r="C21" s="96">
        <v>-4500</v>
      </c>
      <c r="D21" s="97">
        <v>2.7</v>
      </c>
      <c r="E21" s="87"/>
      <c r="F21" s="87"/>
      <c r="G21" s="87"/>
    </row>
    <row r="22" spans="1:7">
      <c r="A22" s="84"/>
      <c r="B22" s="85"/>
      <c r="C22" s="85"/>
      <c r="D22" s="86"/>
      <c r="E22" s="87"/>
      <c r="F22" s="87"/>
      <c r="G22" s="87"/>
    </row>
    <row r="23" spans="1:7" ht="23.45" customHeight="1">
      <c r="A23" s="98" t="s">
        <v>478</v>
      </c>
      <c r="B23" s="99" t="s">
        <v>479</v>
      </c>
      <c r="C23" s="100"/>
      <c r="D23" s="100"/>
    </row>
    <row r="24" spans="1:7" ht="82.9" customHeight="1">
      <c r="A24" s="100"/>
      <c r="B24" s="581" t="s">
        <v>480</v>
      </c>
      <c r="C24" s="582"/>
      <c r="D24" s="582"/>
    </row>
    <row r="25" spans="1:7">
      <c r="A25" s="100"/>
      <c r="B25" s="100"/>
      <c r="C25" s="100"/>
      <c r="D25" s="100"/>
    </row>
    <row r="26" spans="1:7" ht="23.45" customHeight="1">
      <c r="A26" s="100" t="s">
        <v>481</v>
      </c>
      <c r="B26" s="100" t="s">
        <v>482</v>
      </c>
      <c r="C26" s="100"/>
      <c r="D26" s="100"/>
    </row>
    <row r="27" spans="1:7" ht="78.75" customHeight="1">
      <c r="A27" s="100"/>
      <c r="B27" s="582" t="s">
        <v>483</v>
      </c>
      <c r="C27" s="582"/>
      <c r="D27" s="582"/>
    </row>
  </sheetData>
  <mergeCells count="2">
    <mergeCell ref="B24:D24"/>
    <mergeCell ref="B27:D27"/>
  </mergeCells>
  <phoneticPr fontId="3" type="noConversion"/>
  <pageMargins left="0.70866141732283472" right="0.70866141732283472" top="0.74803149606299213" bottom="0.74803149606299213" header="0.31496062992125984" footer="0.31496062992125984"/>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33"/>
  <sheetViews>
    <sheetView zoomScale="75" workbookViewId="0">
      <selection activeCell="B7" sqref="B7"/>
    </sheetView>
  </sheetViews>
  <sheetFormatPr defaultRowHeight="15"/>
  <cols>
    <col min="15" max="15" width="9.140625" bestFit="1" customWidth="1"/>
  </cols>
  <sheetData>
    <row r="1" spans="1:13" ht="23.25">
      <c r="A1" s="125" t="s">
        <v>579</v>
      </c>
    </row>
    <row r="2" spans="1:13">
      <c r="A2" s="103" t="s">
        <v>571</v>
      </c>
      <c r="B2" s="103" t="s">
        <v>577</v>
      </c>
    </row>
    <row r="3" spans="1:13">
      <c r="A3" t="s">
        <v>12</v>
      </c>
    </row>
    <row r="5" spans="1:13">
      <c r="A5" s="64" t="s">
        <v>8</v>
      </c>
      <c r="B5" s="64"/>
      <c r="C5" s="64"/>
      <c r="D5" s="64"/>
      <c r="E5" s="64"/>
      <c r="F5" s="64" t="s">
        <v>2</v>
      </c>
      <c r="H5" s="64" t="s">
        <v>9</v>
      </c>
      <c r="I5" s="64"/>
      <c r="J5" s="64"/>
      <c r="K5" s="64"/>
      <c r="L5" s="64"/>
      <c r="M5" s="64"/>
    </row>
    <row r="6" spans="1:13">
      <c r="A6" t="s">
        <v>1</v>
      </c>
      <c r="B6" t="s">
        <v>3</v>
      </c>
      <c r="C6" t="s">
        <v>4</v>
      </c>
      <c r="D6" t="s">
        <v>5</v>
      </c>
      <c r="E6" t="s">
        <v>6</v>
      </c>
      <c r="F6" t="s">
        <v>7</v>
      </c>
      <c r="H6" t="s">
        <v>1</v>
      </c>
      <c r="I6" t="s">
        <v>3</v>
      </c>
      <c r="J6" t="s">
        <v>4</v>
      </c>
      <c r="K6" t="s">
        <v>5</v>
      </c>
      <c r="L6" t="s">
        <v>6</v>
      </c>
      <c r="M6" t="s">
        <v>7</v>
      </c>
    </row>
    <row r="7" spans="1:13">
      <c r="A7">
        <v>2006</v>
      </c>
      <c r="B7">
        <v>53982</v>
      </c>
      <c r="C7">
        <v>111884</v>
      </c>
      <c r="D7">
        <v>18934</v>
      </c>
      <c r="E7">
        <v>96404</v>
      </c>
      <c r="F7">
        <f>SUM(B7:E7)</f>
        <v>281204</v>
      </c>
      <c r="H7">
        <v>2006</v>
      </c>
      <c r="I7" s="1">
        <f>B7/$F7</f>
        <v>0.19196739733431956</v>
      </c>
      <c r="J7" s="1">
        <f>C7/$F7</f>
        <v>0.39787485242030696</v>
      </c>
      <c r="K7" s="1">
        <f>D7/$F7</f>
        <v>6.7331901395428231E-2</v>
      </c>
      <c r="L7" s="1">
        <f>E7/$F7</f>
        <v>0.34282584884994521</v>
      </c>
      <c r="M7" s="1">
        <f>F7/$F7</f>
        <v>1</v>
      </c>
    </row>
    <row r="8" spans="1:13">
      <c r="A8">
        <v>2007</v>
      </c>
      <c r="B8">
        <v>54717</v>
      </c>
      <c r="C8">
        <v>113914</v>
      </c>
      <c r="D8">
        <v>17645</v>
      </c>
      <c r="E8">
        <v>96165</v>
      </c>
      <c r="F8">
        <f t="shared" ref="F8:F17" si="0">SUM(B8:E8)</f>
        <v>282441</v>
      </c>
      <c r="H8">
        <v>2007</v>
      </c>
      <c r="I8" s="1">
        <f t="shared" ref="I8:I17" si="1">B8/$F8</f>
        <v>0.19372895578191551</v>
      </c>
      <c r="J8" s="1">
        <f t="shared" ref="J8:J17" si="2">C8/$F8</f>
        <v>0.40331963135663734</v>
      </c>
      <c r="K8" s="1">
        <f t="shared" ref="K8:K17" si="3">D8/$F8</f>
        <v>6.2473224496443505E-2</v>
      </c>
      <c r="L8" s="1">
        <f t="shared" ref="L8:M17" si="4">E8/$F8</f>
        <v>0.34047818836500365</v>
      </c>
      <c r="M8" s="1">
        <f t="shared" si="4"/>
        <v>1</v>
      </c>
    </row>
    <row r="9" spans="1:13">
      <c r="A9">
        <v>2008</v>
      </c>
      <c r="B9">
        <v>55849</v>
      </c>
      <c r="C9">
        <v>113753</v>
      </c>
      <c r="D9">
        <v>17332</v>
      </c>
      <c r="E9">
        <v>94504</v>
      </c>
      <c r="F9">
        <f t="shared" si="0"/>
        <v>281438</v>
      </c>
      <c r="H9">
        <v>2008</v>
      </c>
      <c r="I9" s="1">
        <f t="shared" si="1"/>
        <v>0.19844157505383067</v>
      </c>
      <c r="J9" s="1">
        <f t="shared" si="2"/>
        <v>0.40418493593615645</v>
      </c>
      <c r="K9" s="1">
        <f t="shared" si="3"/>
        <v>6.1583723590986295E-2</v>
      </c>
      <c r="L9" s="1">
        <f t="shared" si="4"/>
        <v>0.33578976541902655</v>
      </c>
      <c r="M9" s="1">
        <f t="shared" si="4"/>
        <v>1</v>
      </c>
    </row>
    <row r="10" spans="1:13">
      <c r="A10">
        <v>2009</v>
      </c>
      <c r="B10">
        <v>57731</v>
      </c>
      <c r="C10">
        <v>114297</v>
      </c>
      <c r="D10">
        <v>16129</v>
      </c>
      <c r="E10">
        <v>90643</v>
      </c>
      <c r="F10">
        <f t="shared" si="0"/>
        <v>278800</v>
      </c>
      <c r="H10">
        <v>2009</v>
      </c>
      <c r="I10" s="1">
        <f t="shared" si="1"/>
        <v>0.20706958393113342</v>
      </c>
      <c r="J10" s="1">
        <f t="shared" si="2"/>
        <v>0.40996054519368724</v>
      </c>
      <c r="K10" s="1">
        <f t="shared" si="3"/>
        <v>5.7851506456241035E-2</v>
      </c>
      <c r="L10" s="1">
        <f t="shared" si="4"/>
        <v>0.32511836441893832</v>
      </c>
      <c r="M10" s="1">
        <f t="shared" si="4"/>
        <v>1</v>
      </c>
    </row>
    <row r="11" spans="1:13">
      <c r="A11">
        <v>2010</v>
      </c>
      <c r="B11">
        <v>58396</v>
      </c>
      <c r="C11">
        <v>116391</v>
      </c>
      <c r="D11">
        <v>16053</v>
      </c>
      <c r="E11">
        <v>90889</v>
      </c>
      <c r="F11">
        <f t="shared" si="0"/>
        <v>281729</v>
      </c>
      <c r="H11">
        <v>2010</v>
      </c>
      <c r="I11" s="1">
        <f t="shared" si="1"/>
        <v>0.20727720610941722</v>
      </c>
      <c r="J11" s="1">
        <f t="shared" si="2"/>
        <v>0.41313105857047022</v>
      </c>
      <c r="K11" s="1">
        <f t="shared" si="3"/>
        <v>5.6980289569053946E-2</v>
      </c>
      <c r="L11" s="1">
        <f t="shared" si="4"/>
        <v>0.32261144575105866</v>
      </c>
      <c r="M11" s="1">
        <f t="shared" si="4"/>
        <v>1</v>
      </c>
    </row>
    <row r="12" spans="1:13">
      <c r="A12">
        <v>2011</v>
      </c>
      <c r="B12">
        <v>58826</v>
      </c>
      <c r="C12">
        <v>118558</v>
      </c>
      <c r="D12">
        <v>14732</v>
      </c>
      <c r="E12">
        <v>90774</v>
      </c>
      <c r="F12">
        <f t="shared" si="0"/>
        <v>282890</v>
      </c>
      <c r="H12">
        <v>2011</v>
      </c>
      <c r="I12" s="1">
        <f t="shared" si="1"/>
        <v>0.20794655166319065</v>
      </c>
      <c r="J12" s="1">
        <f t="shared" si="2"/>
        <v>0.41909576160345008</v>
      </c>
      <c r="K12" s="1">
        <f t="shared" si="3"/>
        <v>5.2076778960019797E-2</v>
      </c>
      <c r="L12" s="1">
        <f t="shared" si="4"/>
        <v>0.32088090777333944</v>
      </c>
      <c r="M12" s="1">
        <f t="shared" si="4"/>
        <v>1</v>
      </c>
    </row>
    <row r="13" spans="1:13">
      <c r="A13">
        <v>2012</v>
      </c>
      <c r="B13">
        <v>59932</v>
      </c>
      <c r="C13">
        <v>120970</v>
      </c>
      <c r="D13">
        <v>14723</v>
      </c>
      <c r="E13">
        <v>90423</v>
      </c>
      <c r="F13">
        <f t="shared" si="0"/>
        <v>286048</v>
      </c>
      <c r="H13">
        <v>2012</v>
      </c>
      <c r="I13" s="1">
        <f t="shared" si="1"/>
        <v>0.209517283812507</v>
      </c>
      <c r="J13" s="1">
        <f t="shared" si="2"/>
        <v>0.42290105157176416</v>
      </c>
      <c r="K13" s="1">
        <f t="shared" si="3"/>
        <v>5.147038259313122E-2</v>
      </c>
      <c r="L13" s="1">
        <f t="shared" si="4"/>
        <v>0.31611128202259758</v>
      </c>
      <c r="M13" s="1">
        <f t="shared" si="4"/>
        <v>1</v>
      </c>
    </row>
    <row r="14" spans="1:13">
      <c r="A14">
        <v>2013</v>
      </c>
      <c r="B14">
        <v>58394</v>
      </c>
      <c r="C14">
        <v>121215</v>
      </c>
      <c r="D14">
        <v>14583</v>
      </c>
      <c r="E14">
        <v>90198</v>
      </c>
      <c r="F14">
        <f t="shared" si="0"/>
        <v>284390</v>
      </c>
      <c r="H14">
        <v>2013</v>
      </c>
      <c r="I14" s="1">
        <f t="shared" si="1"/>
        <v>0.20533070783079574</v>
      </c>
      <c r="J14" s="1">
        <f t="shared" si="2"/>
        <v>0.42622806709096661</v>
      </c>
      <c r="K14" s="1">
        <f t="shared" si="3"/>
        <v>5.1278174338056891E-2</v>
      </c>
      <c r="L14" s="1">
        <f t="shared" si="4"/>
        <v>0.31716305074018075</v>
      </c>
      <c r="M14" s="1">
        <f t="shared" si="4"/>
        <v>1</v>
      </c>
    </row>
    <row r="15" spans="1:13">
      <c r="A15">
        <v>2014</v>
      </c>
      <c r="B15">
        <v>61910</v>
      </c>
      <c r="C15">
        <v>122711</v>
      </c>
      <c r="D15">
        <v>14718</v>
      </c>
      <c r="E15">
        <v>89999</v>
      </c>
      <c r="F15">
        <f t="shared" si="0"/>
        <v>289338</v>
      </c>
      <c r="H15">
        <v>2014</v>
      </c>
      <c r="I15" s="1">
        <f t="shared" si="1"/>
        <v>0.21397120322944099</v>
      </c>
      <c r="J15" s="1">
        <f t="shared" si="2"/>
        <v>0.42410951897089216</v>
      </c>
      <c r="K15" s="1">
        <f t="shared" si="3"/>
        <v>5.0867843145387059E-2</v>
      </c>
      <c r="L15" s="1">
        <f t="shared" si="4"/>
        <v>0.31105143465427976</v>
      </c>
      <c r="M15" s="1">
        <f t="shared" si="4"/>
        <v>1</v>
      </c>
    </row>
    <row r="16" spans="1:13">
      <c r="A16">
        <v>2015</v>
      </c>
      <c r="B16">
        <v>60214</v>
      </c>
      <c r="C16">
        <v>123674</v>
      </c>
      <c r="D16">
        <v>14853</v>
      </c>
      <c r="E16">
        <v>89245</v>
      </c>
      <c r="F16">
        <f t="shared" si="0"/>
        <v>287986</v>
      </c>
      <c r="H16">
        <v>2015</v>
      </c>
      <c r="I16" s="1">
        <f t="shared" si="1"/>
        <v>0.2090865528185398</v>
      </c>
      <c r="J16" s="1">
        <f t="shared" si="2"/>
        <v>0.4294444868847791</v>
      </c>
      <c r="K16" s="1">
        <f t="shared" si="3"/>
        <v>5.1575423805323872E-2</v>
      </c>
      <c r="L16" s="1">
        <f t="shared" si="4"/>
        <v>0.3098935364913572</v>
      </c>
      <c r="M16" s="1">
        <f t="shared" si="4"/>
        <v>1</v>
      </c>
    </row>
    <row r="17" spans="1:15">
      <c r="A17">
        <v>2016</v>
      </c>
      <c r="B17">
        <v>61439</v>
      </c>
      <c r="C17">
        <v>123969</v>
      </c>
      <c r="D17">
        <v>13992</v>
      </c>
      <c r="E17">
        <v>89819</v>
      </c>
      <c r="F17">
        <f t="shared" si="0"/>
        <v>289219</v>
      </c>
      <c r="H17">
        <v>2016</v>
      </c>
      <c r="I17" s="1">
        <f t="shared" si="1"/>
        <v>0.21243071859041074</v>
      </c>
      <c r="J17" s="1">
        <f t="shared" si="2"/>
        <v>0.42863366514648071</v>
      </c>
      <c r="K17" s="1">
        <f t="shared" si="3"/>
        <v>4.8378564340517051E-2</v>
      </c>
      <c r="L17" s="1">
        <f t="shared" si="4"/>
        <v>0.31055705192259153</v>
      </c>
      <c r="M17" s="1">
        <f t="shared" si="4"/>
        <v>1</v>
      </c>
    </row>
    <row r="21" spans="1:15">
      <c r="A21" s="64" t="s">
        <v>10</v>
      </c>
      <c r="B21" s="64"/>
      <c r="C21" s="64"/>
      <c r="D21" s="64"/>
      <c r="E21" s="64"/>
      <c r="F21" s="64"/>
      <c r="H21" s="64" t="s">
        <v>11</v>
      </c>
      <c r="I21" s="64"/>
      <c r="J21" s="64"/>
      <c r="K21" s="64"/>
      <c r="L21" s="64"/>
      <c r="M21" s="64"/>
    </row>
    <row r="22" spans="1:15">
      <c r="A22" t="s">
        <v>1</v>
      </c>
      <c r="B22" t="s">
        <v>3</v>
      </c>
      <c r="C22" t="s">
        <v>4</v>
      </c>
      <c r="D22" t="s">
        <v>5</v>
      </c>
      <c r="E22" t="s">
        <v>6</v>
      </c>
      <c r="F22" t="s">
        <v>7</v>
      </c>
      <c r="H22" t="s">
        <v>1</v>
      </c>
      <c r="I22" t="s">
        <v>3</v>
      </c>
      <c r="J22" t="s">
        <v>4</v>
      </c>
      <c r="K22" t="s">
        <v>5</v>
      </c>
      <c r="L22" t="s">
        <v>6</v>
      </c>
      <c r="M22" t="s">
        <v>7</v>
      </c>
      <c r="O22" s="176" t="s">
        <v>675</v>
      </c>
    </row>
    <row r="23" spans="1:15">
      <c r="A23">
        <v>2006</v>
      </c>
      <c r="B23">
        <v>35428</v>
      </c>
      <c r="C23">
        <v>93317</v>
      </c>
      <c r="D23">
        <v>14015</v>
      </c>
      <c r="E23">
        <v>2444</v>
      </c>
      <c r="F23">
        <f>SUM(B23:E23)</f>
        <v>145204</v>
      </c>
      <c r="H23">
        <v>2006</v>
      </c>
      <c r="I23" s="1">
        <f>B23/$F23</f>
        <v>0.24398776893198534</v>
      </c>
      <c r="J23" s="1">
        <f t="shared" ref="J23:J33" si="5">C23/$F23</f>
        <v>0.64266135919120682</v>
      </c>
      <c r="K23" s="1">
        <f t="shared" ref="K23:K33" si="6">D23/$F23</f>
        <v>9.6519379631415117E-2</v>
      </c>
      <c r="L23" s="1">
        <f t="shared" ref="L23:L33" si="7">E23/$F23</f>
        <v>1.6831492245392689E-2</v>
      </c>
      <c r="M23" s="1">
        <f>F23/$F23</f>
        <v>1</v>
      </c>
      <c r="O23" s="177">
        <f>B7*'History Type Share'!G5</f>
        <v>35628.120000000003</v>
      </c>
    </row>
    <row r="24" spans="1:15">
      <c r="A24">
        <v>2007</v>
      </c>
      <c r="B24">
        <v>36422</v>
      </c>
      <c r="C24">
        <v>95051</v>
      </c>
      <c r="D24">
        <v>13104</v>
      </c>
      <c r="E24">
        <v>2495</v>
      </c>
      <c r="F24">
        <f t="shared" ref="F24:F33" si="8">SUM(B24:E24)</f>
        <v>147072</v>
      </c>
      <c r="H24">
        <v>2007</v>
      </c>
      <c r="I24" s="1">
        <f t="shared" ref="I24:I33" si="9">B24/$F24</f>
        <v>0.24764741079199304</v>
      </c>
      <c r="J24" s="1">
        <f t="shared" si="5"/>
        <v>0.64628889251523058</v>
      </c>
      <c r="K24" s="1">
        <f t="shared" si="6"/>
        <v>8.9099216710182769E-2</v>
      </c>
      <c r="L24" s="1">
        <f t="shared" si="7"/>
        <v>1.696447998259356E-2</v>
      </c>
      <c r="M24" s="1">
        <f t="shared" ref="M24:M33" si="10">F24/$F24</f>
        <v>1</v>
      </c>
      <c r="O24" s="177">
        <f>B8*'History Type Share'!G6</f>
        <v>36660.39</v>
      </c>
    </row>
    <row r="25" spans="1:15">
      <c r="A25">
        <v>2008</v>
      </c>
      <c r="B25">
        <v>37100</v>
      </c>
      <c r="C25">
        <v>95543</v>
      </c>
      <c r="D25">
        <v>12182</v>
      </c>
      <c r="E25">
        <v>2520</v>
      </c>
      <c r="F25">
        <f t="shared" si="8"/>
        <v>147345</v>
      </c>
      <c r="H25">
        <v>2008</v>
      </c>
      <c r="I25" s="1">
        <f t="shared" si="9"/>
        <v>0.25179001662764261</v>
      </c>
      <c r="J25" s="1">
        <f t="shared" si="5"/>
        <v>0.64843055414164041</v>
      </c>
      <c r="K25" s="1">
        <f t="shared" si="6"/>
        <v>8.2676711120160173E-2</v>
      </c>
      <c r="L25" s="1">
        <f t="shared" si="7"/>
        <v>1.7102718110556855E-2</v>
      </c>
      <c r="M25" s="1">
        <f t="shared" si="10"/>
        <v>1</v>
      </c>
      <c r="O25" s="177">
        <f>B9*'History Type Share'!G7</f>
        <v>36860.340000000004</v>
      </c>
    </row>
    <row r="26" spans="1:15">
      <c r="A26">
        <v>2009</v>
      </c>
      <c r="B26">
        <v>38972</v>
      </c>
      <c r="C26">
        <v>96728</v>
      </c>
      <c r="D26">
        <v>11143</v>
      </c>
      <c r="E26">
        <v>2523</v>
      </c>
      <c r="F26">
        <f t="shared" si="8"/>
        <v>149366</v>
      </c>
      <c r="H26">
        <v>2009</v>
      </c>
      <c r="I26" s="1">
        <f t="shared" si="9"/>
        <v>0.26091613888033421</v>
      </c>
      <c r="J26" s="1">
        <f t="shared" si="5"/>
        <v>0.64759048243910933</v>
      </c>
      <c r="K26" s="1">
        <f t="shared" si="6"/>
        <v>7.4601984387343834E-2</v>
      </c>
      <c r="L26" s="1">
        <f t="shared" si="7"/>
        <v>1.6891394293212646E-2</v>
      </c>
      <c r="M26" s="1">
        <f t="shared" si="10"/>
        <v>1</v>
      </c>
      <c r="O26" s="177">
        <f>B10*'History Type Share'!G8</f>
        <v>39257.08</v>
      </c>
    </row>
    <row r="27" spans="1:15">
      <c r="A27">
        <v>2010</v>
      </c>
      <c r="B27">
        <v>39344</v>
      </c>
      <c r="C27">
        <v>97894</v>
      </c>
      <c r="D27">
        <v>11082</v>
      </c>
      <c r="E27">
        <v>2540</v>
      </c>
      <c r="F27">
        <f t="shared" si="8"/>
        <v>150860</v>
      </c>
      <c r="H27">
        <v>2010</v>
      </c>
      <c r="I27" s="1">
        <f t="shared" si="9"/>
        <v>0.26079809094524725</v>
      </c>
      <c r="J27" s="1">
        <f t="shared" si="5"/>
        <v>0.64890627071456985</v>
      </c>
      <c r="K27" s="1">
        <f t="shared" si="6"/>
        <v>7.3458836006893805E-2</v>
      </c>
      <c r="L27" s="1">
        <f t="shared" si="7"/>
        <v>1.6836802333289141E-2</v>
      </c>
      <c r="M27" s="1">
        <f t="shared" si="10"/>
        <v>1</v>
      </c>
      <c r="O27" s="177">
        <f>B11*'History Type Share'!G9</f>
        <v>39125.32</v>
      </c>
    </row>
    <row r="28" spans="1:15">
      <c r="A28">
        <v>2011</v>
      </c>
      <c r="B28">
        <v>39872</v>
      </c>
      <c r="C28">
        <v>99594</v>
      </c>
      <c r="D28">
        <v>9530</v>
      </c>
      <c r="E28">
        <v>2609</v>
      </c>
      <c r="F28">
        <f t="shared" si="8"/>
        <v>151605</v>
      </c>
      <c r="H28">
        <v>2011</v>
      </c>
      <c r="I28" s="1">
        <f t="shared" si="9"/>
        <v>0.26299924144982023</v>
      </c>
      <c r="J28" s="1">
        <f t="shared" si="5"/>
        <v>0.65693084001187296</v>
      </c>
      <c r="K28" s="1">
        <f t="shared" si="6"/>
        <v>6.2860723590910592E-2</v>
      </c>
      <c r="L28" s="1">
        <f t="shared" si="7"/>
        <v>1.7209194947396193E-2</v>
      </c>
      <c r="M28" s="1">
        <f t="shared" si="10"/>
        <v>1</v>
      </c>
      <c r="O28" s="177">
        <f>B12*'History Type Share'!G10</f>
        <v>40001.68</v>
      </c>
    </row>
    <row r="29" spans="1:15">
      <c r="A29">
        <v>2012</v>
      </c>
      <c r="B29">
        <v>41189</v>
      </c>
      <c r="C29">
        <v>101813</v>
      </c>
      <c r="D29">
        <v>9356</v>
      </c>
      <c r="E29">
        <v>2722</v>
      </c>
      <c r="F29">
        <f t="shared" si="8"/>
        <v>155080</v>
      </c>
      <c r="H29">
        <v>2012</v>
      </c>
      <c r="I29" s="1">
        <f t="shared" si="9"/>
        <v>0.26559840082538044</v>
      </c>
      <c r="J29" s="1">
        <f t="shared" si="5"/>
        <v>0.65651921588857365</v>
      </c>
      <c r="K29" s="1">
        <f t="shared" si="6"/>
        <v>6.0330152179520251E-2</v>
      </c>
      <c r="L29" s="1">
        <f t="shared" si="7"/>
        <v>1.7552231106525665E-2</v>
      </c>
      <c r="M29" s="1">
        <f t="shared" si="10"/>
        <v>1</v>
      </c>
      <c r="O29" s="177">
        <f>B13*'History Type Share'!G11</f>
        <v>41353.079999999994</v>
      </c>
    </row>
    <row r="30" spans="1:15">
      <c r="A30">
        <v>2013</v>
      </c>
      <c r="B30">
        <v>39941</v>
      </c>
      <c r="C30">
        <v>101480</v>
      </c>
      <c r="D30">
        <v>9144</v>
      </c>
      <c r="E30">
        <v>2796</v>
      </c>
      <c r="F30">
        <f t="shared" si="8"/>
        <v>153361</v>
      </c>
      <c r="H30">
        <v>2013</v>
      </c>
      <c r="I30" s="1">
        <f t="shared" si="9"/>
        <v>0.2604377905725706</v>
      </c>
      <c r="J30" s="1">
        <f t="shared" si="5"/>
        <v>0.66170669205339039</v>
      </c>
      <c r="K30" s="1">
        <f t="shared" si="6"/>
        <v>5.9624024360821849E-2</v>
      </c>
      <c r="L30" s="1">
        <f t="shared" si="7"/>
        <v>1.8231493013217179E-2</v>
      </c>
      <c r="M30" s="1">
        <f t="shared" si="10"/>
        <v>1</v>
      </c>
      <c r="O30" s="177">
        <f>B14*'History Type Share'!G12</f>
        <v>39707.920000000006</v>
      </c>
    </row>
    <row r="31" spans="1:15">
      <c r="A31">
        <v>2014</v>
      </c>
      <c r="B31">
        <v>43415</v>
      </c>
      <c r="C31">
        <v>102627</v>
      </c>
      <c r="D31">
        <v>9230</v>
      </c>
      <c r="E31">
        <v>2875</v>
      </c>
      <c r="F31">
        <f t="shared" si="8"/>
        <v>158147</v>
      </c>
      <c r="H31">
        <v>2014</v>
      </c>
      <c r="I31" s="1">
        <f t="shared" si="9"/>
        <v>0.2745230703080046</v>
      </c>
      <c r="J31" s="1">
        <f t="shared" si="5"/>
        <v>0.64893421942875928</v>
      </c>
      <c r="K31" s="1">
        <f t="shared" si="6"/>
        <v>5.8363421373785147E-2</v>
      </c>
      <c r="L31" s="1">
        <f t="shared" si="7"/>
        <v>1.8179288889450952E-2</v>
      </c>
      <c r="M31" s="1">
        <f t="shared" si="10"/>
        <v>1</v>
      </c>
      <c r="O31" s="177">
        <f>B15*'History Type Share'!G13</f>
        <v>43337</v>
      </c>
    </row>
    <row r="32" spans="1:15">
      <c r="A32">
        <v>2015</v>
      </c>
      <c r="B32">
        <v>42368</v>
      </c>
      <c r="C32">
        <v>103693</v>
      </c>
      <c r="D32">
        <v>9242</v>
      </c>
      <c r="E32">
        <v>2972</v>
      </c>
      <c r="F32">
        <f t="shared" si="8"/>
        <v>158275</v>
      </c>
      <c r="H32">
        <v>2015</v>
      </c>
      <c r="I32" s="1">
        <f t="shared" si="9"/>
        <v>0.26768598957510664</v>
      </c>
      <c r="J32" s="1">
        <f t="shared" si="5"/>
        <v>0.65514452693097458</v>
      </c>
      <c r="K32" s="1">
        <f t="shared" si="6"/>
        <v>5.8392039172326646E-2</v>
      </c>
      <c r="L32" s="1">
        <f t="shared" si="7"/>
        <v>1.8777444321592167E-2</v>
      </c>
      <c r="M32" s="1">
        <f t="shared" si="10"/>
        <v>1</v>
      </c>
      <c r="O32" s="177">
        <f>B16*'History Type Share'!G14</f>
        <v>42149.799999999996</v>
      </c>
    </row>
    <row r="33" spans="1:15">
      <c r="A33">
        <v>2016</v>
      </c>
      <c r="B33">
        <v>43120</v>
      </c>
      <c r="C33">
        <v>103881</v>
      </c>
      <c r="D33">
        <v>8709</v>
      </c>
      <c r="E33">
        <v>2951</v>
      </c>
      <c r="F33">
        <f t="shared" si="8"/>
        <v>158661</v>
      </c>
      <c r="H33">
        <v>2016</v>
      </c>
      <c r="I33" s="1">
        <f t="shared" si="9"/>
        <v>0.27177441211135694</v>
      </c>
      <c r="J33" s="1">
        <f t="shared" si="5"/>
        <v>0.65473556828710266</v>
      </c>
      <c r="K33" s="1">
        <f t="shared" si="6"/>
        <v>5.4890615841322064E-2</v>
      </c>
      <c r="L33" s="1">
        <f t="shared" si="7"/>
        <v>1.8599403760218326E-2</v>
      </c>
      <c r="M33" s="1">
        <f t="shared" si="10"/>
        <v>1</v>
      </c>
      <c r="O33" s="177">
        <f>B17*'History Type Share'!G15</f>
        <v>43007.299999999996</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H32"/>
  <sheetViews>
    <sheetView zoomScaleNormal="100" workbookViewId="0">
      <selection activeCell="H17" sqref="H17"/>
    </sheetView>
  </sheetViews>
  <sheetFormatPr defaultRowHeight="15"/>
  <sheetData>
    <row r="1" spans="1:8" s="103" customFormat="1" ht="21">
      <c r="A1" s="121" t="s">
        <v>578</v>
      </c>
    </row>
    <row r="2" spans="1:8">
      <c r="A2" s="103" t="s">
        <v>571</v>
      </c>
      <c r="B2" s="103" t="s">
        <v>577</v>
      </c>
    </row>
    <row r="3" spans="1:8">
      <c r="A3" t="s">
        <v>18</v>
      </c>
    </row>
    <row r="4" spans="1:8" ht="20.100000000000001" customHeight="1">
      <c r="A4" s="2" t="s">
        <v>13</v>
      </c>
      <c r="B4" s="585" t="s">
        <v>14</v>
      </c>
      <c r="C4" s="586"/>
      <c r="D4" s="587" t="s">
        <v>15</v>
      </c>
      <c r="E4" s="588"/>
      <c r="F4" s="583" t="s">
        <v>16</v>
      </c>
      <c r="G4" s="584"/>
      <c r="H4" s="7" t="s">
        <v>17</v>
      </c>
    </row>
    <row r="5" spans="1:8">
      <c r="A5" s="12">
        <v>2006</v>
      </c>
      <c r="B5" s="8">
        <v>18476</v>
      </c>
      <c r="C5" s="13">
        <v>0.34</v>
      </c>
      <c r="D5" s="16">
        <v>79</v>
      </c>
      <c r="E5" s="5">
        <v>0</v>
      </c>
      <c r="F5" s="14">
        <v>35428</v>
      </c>
      <c r="G5" s="15">
        <v>0.66</v>
      </c>
      <c r="H5" s="11">
        <v>53982</v>
      </c>
    </row>
    <row r="6" spans="1:8">
      <c r="A6" s="12">
        <v>2007</v>
      </c>
      <c r="B6" s="8">
        <v>18238</v>
      </c>
      <c r="C6" s="13">
        <v>0.33</v>
      </c>
      <c r="D6" s="16">
        <v>57</v>
      </c>
      <c r="E6" s="5">
        <v>0</v>
      </c>
      <c r="F6" s="14">
        <v>36422</v>
      </c>
      <c r="G6" s="15">
        <v>0.67</v>
      </c>
      <c r="H6" s="11">
        <v>54717</v>
      </c>
    </row>
    <row r="7" spans="1:8">
      <c r="A7" s="12">
        <v>2008</v>
      </c>
      <c r="B7" s="8">
        <v>18708</v>
      </c>
      <c r="C7" s="13">
        <v>0.33</v>
      </c>
      <c r="D7" s="16">
        <v>41</v>
      </c>
      <c r="E7" s="5">
        <v>0</v>
      </c>
      <c r="F7" s="14">
        <v>37100</v>
      </c>
      <c r="G7" s="15">
        <v>0.66</v>
      </c>
      <c r="H7" s="11">
        <v>55849</v>
      </c>
    </row>
    <row r="8" spans="1:8">
      <c r="A8" s="12">
        <v>2009</v>
      </c>
      <c r="B8" s="8">
        <v>18736</v>
      </c>
      <c r="C8" s="13">
        <v>0.32</v>
      </c>
      <c r="D8" s="16">
        <v>23</v>
      </c>
      <c r="E8" s="5">
        <v>0</v>
      </c>
      <c r="F8" s="14">
        <v>38972</v>
      </c>
      <c r="G8" s="15">
        <v>0.68</v>
      </c>
      <c r="H8" s="11">
        <v>57731</v>
      </c>
    </row>
    <row r="9" spans="1:8">
      <c r="A9" s="12">
        <v>2010</v>
      </c>
      <c r="B9" s="8">
        <v>19038</v>
      </c>
      <c r="C9" s="13">
        <v>0.33</v>
      </c>
      <c r="D9" s="16">
        <v>13</v>
      </c>
      <c r="E9" s="5">
        <v>0</v>
      </c>
      <c r="F9" s="14">
        <v>39344</v>
      </c>
      <c r="G9" s="15">
        <v>0.67</v>
      </c>
      <c r="H9" s="11">
        <v>58396</v>
      </c>
    </row>
    <row r="10" spans="1:8">
      <c r="A10" s="12">
        <v>2011</v>
      </c>
      <c r="B10" s="8">
        <v>18946</v>
      </c>
      <c r="C10" s="13">
        <v>0.32</v>
      </c>
      <c r="D10" s="16">
        <v>8</v>
      </c>
      <c r="E10" s="5">
        <v>0</v>
      </c>
      <c r="F10" s="14">
        <v>39872</v>
      </c>
      <c r="G10" s="15">
        <v>0.68</v>
      </c>
      <c r="H10" s="11">
        <v>58826</v>
      </c>
    </row>
    <row r="11" spans="1:8">
      <c r="A11" s="12">
        <v>2012</v>
      </c>
      <c r="B11" s="8">
        <v>18736</v>
      </c>
      <c r="C11" s="13">
        <v>0.31</v>
      </c>
      <c r="D11" s="16">
        <v>8</v>
      </c>
      <c r="E11" s="5">
        <v>0</v>
      </c>
      <c r="F11" s="14">
        <v>41189</v>
      </c>
      <c r="G11" s="15">
        <v>0.69</v>
      </c>
      <c r="H11" s="11">
        <v>59932</v>
      </c>
    </row>
    <row r="12" spans="1:8">
      <c r="A12" s="12">
        <v>2013</v>
      </c>
      <c r="B12" s="8">
        <v>18446</v>
      </c>
      <c r="C12" s="13">
        <v>0.32</v>
      </c>
      <c r="D12" s="16">
        <v>8</v>
      </c>
      <c r="E12" s="5">
        <v>0</v>
      </c>
      <c r="F12" s="14">
        <v>39941</v>
      </c>
      <c r="G12" s="15">
        <v>0.68</v>
      </c>
      <c r="H12" s="11">
        <v>58394</v>
      </c>
    </row>
    <row r="13" spans="1:8">
      <c r="A13" s="12">
        <v>2014</v>
      </c>
      <c r="B13" s="8">
        <v>18487</v>
      </c>
      <c r="C13" s="13">
        <v>0.3</v>
      </c>
      <c r="D13" s="16">
        <v>8</v>
      </c>
      <c r="E13" s="5">
        <v>0</v>
      </c>
      <c r="F13" s="14">
        <v>43415</v>
      </c>
      <c r="G13" s="15">
        <v>0.7</v>
      </c>
      <c r="H13" s="11">
        <v>61910</v>
      </c>
    </row>
    <row r="14" spans="1:8">
      <c r="A14" s="12">
        <v>2015</v>
      </c>
      <c r="B14" s="8">
        <v>17838</v>
      </c>
      <c r="C14" s="13">
        <v>0.3</v>
      </c>
      <c r="D14" s="16">
        <v>8</v>
      </c>
      <c r="E14" s="5">
        <v>0</v>
      </c>
      <c r="F14" s="14">
        <v>42368</v>
      </c>
      <c r="G14" s="15">
        <v>0.7</v>
      </c>
      <c r="H14" s="11">
        <v>60214</v>
      </c>
    </row>
    <row r="15" spans="1:8">
      <c r="A15" s="12">
        <v>2016</v>
      </c>
      <c r="B15" s="8">
        <v>18311</v>
      </c>
      <c r="C15" s="13">
        <v>0.3</v>
      </c>
      <c r="D15" s="16">
        <v>8</v>
      </c>
      <c r="E15" s="5">
        <v>0</v>
      </c>
      <c r="F15" s="14">
        <v>43120</v>
      </c>
      <c r="G15" s="15">
        <v>0.7</v>
      </c>
      <c r="H15" s="11">
        <v>61439</v>
      </c>
    </row>
    <row r="18" spans="1:8" ht="21">
      <c r="A18" s="121" t="s">
        <v>576</v>
      </c>
      <c r="B18" s="103"/>
      <c r="C18" s="103"/>
      <c r="D18" s="103"/>
      <c r="E18" s="103"/>
      <c r="F18" s="103"/>
      <c r="G18" s="103"/>
      <c r="H18" s="103"/>
    </row>
    <row r="19" spans="1:8">
      <c r="A19" s="103" t="s">
        <v>571</v>
      </c>
      <c r="B19" s="103" t="s">
        <v>577</v>
      </c>
      <c r="C19" s="103"/>
      <c r="D19" s="103"/>
      <c r="E19" s="103"/>
      <c r="F19" s="103"/>
      <c r="G19" s="103"/>
      <c r="H19" s="103"/>
    </row>
    <row r="20" spans="1:8">
      <c r="A20" s="103" t="s">
        <v>19</v>
      </c>
      <c r="B20" s="103"/>
      <c r="C20" s="103"/>
      <c r="D20" s="103"/>
      <c r="E20" s="103"/>
      <c r="F20" s="103"/>
      <c r="G20" s="103"/>
      <c r="H20" s="103"/>
    </row>
    <row r="21" spans="1:8" ht="22.5">
      <c r="A21" s="2" t="s">
        <v>13</v>
      </c>
      <c r="B21" s="585" t="s">
        <v>14</v>
      </c>
      <c r="C21" s="586"/>
      <c r="D21" s="587" t="s">
        <v>15</v>
      </c>
      <c r="E21" s="588"/>
      <c r="F21" s="589" t="s">
        <v>16</v>
      </c>
      <c r="G21" s="590"/>
      <c r="H21" s="7" t="s">
        <v>17</v>
      </c>
    </row>
    <row r="22" spans="1:8">
      <c r="A22" s="3">
        <v>2006</v>
      </c>
      <c r="B22" s="8">
        <v>13631</v>
      </c>
      <c r="C22" s="4">
        <v>0.12</v>
      </c>
      <c r="D22" s="9">
        <v>4936</v>
      </c>
      <c r="E22" s="5">
        <v>0.04</v>
      </c>
      <c r="F22" s="6">
        <v>93317</v>
      </c>
      <c r="G22" s="10">
        <v>0.83</v>
      </c>
      <c r="H22" s="11">
        <v>111884</v>
      </c>
    </row>
    <row r="23" spans="1:8">
      <c r="A23" s="3">
        <v>2007</v>
      </c>
      <c r="B23" s="8">
        <v>13888</v>
      </c>
      <c r="C23" s="4">
        <v>0.12</v>
      </c>
      <c r="D23" s="9">
        <v>4975</v>
      </c>
      <c r="E23" s="5">
        <v>0.04</v>
      </c>
      <c r="F23" s="6">
        <v>95051</v>
      </c>
      <c r="G23" s="10">
        <v>0.83</v>
      </c>
      <c r="H23" s="11">
        <v>113914</v>
      </c>
    </row>
    <row r="24" spans="1:8">
      <c r="A24" s="3">
        <v>2008</v>
      </c>
      <c r="B24" s="8">
        <v>13471</v>
      </c>
      <c r="C24" s="4">
        <v>0.12</v>
      </c>
      <c r="D24" s="9">
        <v>4739</v>
      </c>
      <c r="E24" s="5">
        <v>0.04</v>
      </c>
      <c r="F24" s="6">
        <v>95543</v>
      </c>
      <c r="G24" s="10">
        <v>0.84</v>
      </c>
      <c r="H24" s="11">
        <v>113753</v>
      </c>
    </row>
    <row r="25" spans="1:8">
      <c r="A25" s="3">
        <v>2009</v>
      </c>
      <c r="B25" s="8">
        <v>12815</v>
      </c>
      <c r="C25" s="4">
        <v>0.11</v>
      </c>
      <c r="D25" s="9">
        <v>4753</v>
      </c>
      <c r="E25" s="5">
        <v>0.04</v>
      </c>
      <c r="F25" s="6">
        <v>96728</v>
      </c>
      <c r="G25" s="10">
        <v>0.85</v>
      </c>
      <c r="H25" s="11">
        <v>114297</v>
      </c>
    </row>
    <row r="26" spans="1:8">
      <c r="A26" s="3">
        <v>2010</v>
      </c>
      <c r="B26" s="8">
        <v>13971</v>
      </c>
      <c r="C26" s="4">
        <v>0.12</v>
      </c>
      <c r="D26" s="9">
        <v>4526</v>
      </c>
      <c r="E26" s="5">
        <v>0.04</v>
      </c>
      <c r="F26" s="6">
        <v>97894</v>
      </c>
      <c r="G26" s="10">
        <v>0.84</v>
      </c>
      <c r="H26" s="11">
        <v>116391</v>
      </c>
    </row>
    <row r="27" spans="1:8">
      <c r="A27" s="3">
        <v>2011</v>
      </c>
      <c r="B27" s="8">
        <v>14161</v>
      </c>
      <c r="C27" s="4">
        <v>0.12</v>
      </c>
      <c r="D27" s="9">
        <v>4803</v>
      </c>
      <c r="E27" s="5">
        <v>0.04</v>
      </c>
      <c r="F27" s="6">
        <v>99594</v>
      </c>
      <c r="G27" s="10">
        <v>0.84</v>
      </c>
      <c r="H27" s="11">
        <v>118558</v>
      </c>
    </row>
    <row r="28" spans="1:8">
      <c r="A28" s="3">
        <v>2012</v>
      </c>
      <c r="B28" s="8">
        <v>14388</v>
      </c>
      <c r="C28" s="4">
        <v>0.12</v>
      </c>
      <c r="D28" s="9">
        <v>4769</v>
      </c>
      <c r="E28" s="5">
        <v>0.04</v>
      </c>
      <c r="F28" s="6">
        <v>101813</v>
      </c>
      <c r="G28" s="10">
        <v>0.84</v>
      </c>
      <c r="H28" s="11">
        <v>120970</v>
      </c>
    </row>
    <row r="29" spans="1:8">
      <c r="A29" s="3">
        <v>2013</v>
      </c>
      <c r="B29" s="8">
        <v>14709</v>
      </c>
      <c r="C29" s="4">
        <v>0.12</v>
      </c>
      <c r="D29" s="9">
        <v>5026</v>
      </c>
      <c r="E29" s="5">
        <v>0.04</v>
      </c>
      <c r="F29" s="6">
        <v>101480</v>
      </c>
      <c r="G29" s="10">
        <v>0.84</v>
      </c>
      <c r="H29" s="11">
        <v>121215</v>
      </c>
    </row>
    <row r="30" spans="1:8">
      <c r="A30" s="3">
        <v>2014</v>
      </c>
      <c r="B30" s="8">
        <v>14928</v>
      </c>
      <c r="C30" s="4">
        <v>0.12</v>
      </c>
      <c r="D30" s="9">
        <v>5156</v>
      </c>
      <c r="E30" s="5">
        <v>0.04</v>
      </c>
      <c r="F30" s="6">
        <v>102627</v>
      </c>
      <c r="G30" s="10">
        <v>0.84</v>
      </c>
      <c r="H30" s="11">
        <v>122711</v>
      </c>
    </row>
    <row r="31" spans="1:8">
      <c r="A31" s="3">
        <v>2015</v>
      </c>
      <c r="B31" s="8">
        <v>14795</v>
      </c>
      <c r="C31" s="4">
        <v>0.12</v>
      </c>
      <c r="D31" s="9">
        <v>5186</v>
      </c>
      <c r="E31" s="5">
        <v>0.04</v>
      </c>
      <c r="F31" s="6">
        <v>103693</v>
      </c>
      <c r="G31" s="10">
        <v>0.84</v>
      </c>
      <c r="H31" s="11">
        <v>123674</v>
      </c>
    </row>
    <row r="32" spans="1:8">
      <c r="A32" s="3">
        <v>2016</v>
      </c>
      <c r="B32" s="8">
        <v>14924</v>
      </c>
      <c r="C32" s="4">
        <v>0.12</v>
      </c>
      <c r="D32" s="9">
        <v>5164</v>
      </c>
      <c r="E32" s="5">
        <v>0.04</v>
      </c>
      <c r="F32" s="6">
        <v>103881</v>
      </c>
      <c r="G32" s="10">
        <v>0.84</v>
      </c>
      <c r="H32" s="11">
        <v>123969</v>
      </c>
    </row>
  </sheetData>
  <mergeCells count="6">
    <mergeCell ref="F4:G4"/>
    <mergeCell ref="B4:C4"/>
    <mergeCell ref="D4:E4"/>
    <mergeCell ref="B21:C21"/>
    <mergeCell ref="D21:E21"/>
    <mergeCell ref="F21:G21"/>
  </mergeCells>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5"/>
  <sheetViews>
    <sheetView workbookViewId="0">
      <selection activeCell="E16" sqref="E16"/>
    </sheetView>
  </sheetViews>
  <sheetFormatPr defaultRowHeight="15"/>
  <sheetData>
    <row r="1" spans="1:8" ht="21">
      <c r="A1" s="121" t="s">
        <v>576</v>
      </c>
    </row>
    <row r="2" spans="1:8" s="103" customFormat="1">
      <c r="A2" s="103" t="s">
        <v>571</v>
      </c>
      <c r="B2" s="103" t="s">
        <v>577</v>
      </c>
    </row>
    <row r="3" spans="1:8">
      <c r="A3" t="s">
        <v>19</v>
      </c>
    </row>
    <row r="4" spans="1:8" ht="22.5">
      <c r="A4" s="2" t="s">
        <v>13</v>
      </c>
      <c r="B4" s="585" t="s">
        <v>14</v>
      </c>
      <c r="C4" s="586"/>
      <c r="D4" s="587" t="s">
        <v>15</v>
      </c>
      <c r="E4" s="588"/>
      <c r="F4" s="589" t="s">
        <v>16</v>
      </c>
      <c r="G4" s="590"/>
      <c r="H4" s="7" t="s">
        <v>17</v>
      </c>
    </row>
    <row r="5" spans="1:8">
      <c r="A5" s="3">
        <v>2006</v>
      </c>
      <c r="B5" s="8">
        <v>13631</v>
      </c>
      <c r="C5" s="4">
        <v>0.12</v>
      </c>
      <c r="D5" s="9">
        <v>4936</v>
      </c>
      <c r="E5" s="5">
        <v>0.04</v>
      </c>
      <c r="F5" s="6">
        <v>93317</v>
      </c>
      <c r="G5" s="10">
        <v>0.83</v>
      </c>
      <c r="H5" s="11">
        <v>111884</v>
      </c>
    </row>
    <row r="6" spans="1:8">
      <c r="A6" s="3">
        <v>2007</v>
      </c>
      <c r="B6" s="8">
        <v>13888</v>
      </c>
      <c r="C6" s="4">
        <v>0.12</v>
      </c>
      <c r="D6" s="9">
        <v>4975</v>
      </c>
      <c r="E6" s="5">
        <v>0.04</v>
      </c>
      <c r="F6" s="6">
        <v>95051</v>
      </c>
      <c r="G6" s="10">
        <v>0.83</v>
      </c>
      <c r="H6" s="11">
        <v>113914</v>
      </c>
    </row>
    <row r="7" spans="1:8">
      <c r="A7" s="3">
        <v>2008</v>
      </c>
      <c r="B7" s="8">
        <v>13471</v>
      </c>
      <c r="C7" s="4">
        <v>0.12</v>
      </c>
      <c r="D7" s="9">
        <v>4739</v>
      </c>
      <c r="E7" s="5">
        <v>0.04</v>
      </c>
      <c r="F7" s="6">
        <v>95543</v>
      </c>
      <c r="G7" s="10">
        <v>0.84</v>
      </c>
      <c r="H7" s="11">
        <v>113753</v>
      </c>
    </row>
    <row r="8" spans="1:8">
      <c r="A8" s="3">
        <v>2009</v>
      </c>
      <c r="B8" s="8">
        <v>12815</v>
      </c>
      <c r="C8" s="4">
        <v>0.11</v>
      </c>
      <c r="D8" s="9">
        <v>4753</v>
      </c>
      <c r="E8" s="5">
        <v>0.04</v>
      </c>
      <c r="F8" s="6">
        <v>96728</v>
      </c>
      <c r="G8" s="10">
        <v>0.85</v>
      </c>
      <c r="H8" s="11">
        <v>114297</v>
      </c>
    </row>
    <row r="9" spans="1:8">
      <c r="A9" s="3">
        <v>2010</v>
      </c>
      <c r="B9" s="8">
        <v>13971</v>
      </c>
      <c r="C9" s="4">
        <v>0.12</v>
      </c>
      <c r="D9" s="9">
        <v>4526</v>
      </c>
      <c r="E9" s="5">
        <v>0.04</v>
      </c>
      <c r="F9" s="6">
        <v>97894</v>
      </c>
      <c r="G9" s="10">
        <v>0.84</v>
      </c>
      <c r="H9" s="11">
        <v>116391</v>
      </c>
    </row>
    <row r="10" spans="1:8">
      <c r="A10" s="3">
        <v>2011</v>
      </c>
      <c r="B10" s="8">
        <v>14161</v>
      </c>
      <c r="C10" s="4">
        <v>0.12</v>
      </c>
      <c r="D10" s="9">
        <v>4803</v>
      </c>
      <c r="E10" s="5">
        <v>0.04</v>
      </c>
      <c r="F10" s="6">
        <v>99594</v>
      </c>
      <c r="G10" s="10">
        <v>0.84</v>
      </c>
      <c r="H10" s="11">
        <v>118558</v>
      </c>
    </row>
    <row r="11" spans="1:8">
      <c r="A11" s="3">
        <v>2012</v>
      </c>
      <c r="B11" s="8">
        <v>14388</v>
      </c>
      <c r="C11" s="4">
        <v>0.12</v>
      </c>
      <c r="D11" s="9">
        <v>4769</v>
      </c>
      <c r="E11" s="5">
        <v>0.04</v>
      </c>
      <c r="F11" s="6">
        <v>101813</v>
      </c>
      <c r="G11" s="10">
        <v>0.84</v>
      </c>
      <c r="H11" s="11">
        <v>120970</v>
      </c>
    </row>
    <row r="12" spans="1:8">
      <c r="A12" s="3">
        <v>2013</v>
      </c>
      <c r="B12" s="8">
        <v>14709</v>
      </c>
      <c r="C12" s="4">
        <v>0.12</v>
      </c>
      <c r="D12" s="9">
        <v>5026</v>
      </c>
      <c r="E12" s="5">
        <v>0.04</v>
      </c>
      <c r="F12" s="6">
        <v>101480</v>
      </c>
      <c r="G12" s="10">
        <v>0.84</v>
      </c>
      <c r="H12" s="11">
        <v>121215</v>
      </c>
    </row>
    <row r="13" spans="1:8">
      <c r="A13" s="3">
        <v>2014</v>
      </c>
      <c r="B13" s="8">
        <v>14928</v>
      </c>
      <c r="C13" s="4">
        <v>0.12</v>
      </c>
      <c r="D13" s="9">
        <v>5156</v>
      </c>
      <c r="E13" s="5">
        <v>0.04</v>
      </c>
      <c r="F13" s="6">
        <v>102627</v>
      </c>
      <c r="G13" s="10">
        <v>0.84</v>
      </c>
      <c r="H13" s="11">
        <v>122711</v>
      </c>
    </row>
    <row r="14" spans="1:8">
      <c r="A14" s="3">
        <v>2015</v>
      </c>
      <c r="B14" s="8">
        <v>14795</v>
      </c>
      <c r="C14" s="4">
        <v>0.12</v>
      </c>
      <c r="D14" s="9">
        <v>5186</v>
      </c>
      <c r="E14" s="5">
        <v>0.04</v>
      </c>
      <c r="F14" s="6">
        <v>103693</v>
      </c>
      <c r="G14" s="10">
        <v>0.84</v>
      </c>
      <c r="H14" s="11">
        <v>123674</v>
      </c>
    </row>
    <row r="15" spans="1:8">
      <c r="A15" s="3">
        <v>2016</v>
      </c>
      <c r="B15" s="8">
        <v>14924</v>
      </c>
      <c r="C15" s="4">
        <v>0.12</v>
      </c>
      <c r="D15" s="9">
        <v>5164</v>
      </c>
      <c r="E15" s="5">
        <v>0.04</v>
      </c>
      <c r="F15" s="6">
        <v>103881</v>
      </c>
      <c r="G15" s="10">
        <v>0.84</v>
      </c>
      <c r="H15" s="11">
        <v>123969</v>
      </c>
    </row>
  </sheetData>
  <mergeCells count="3">
    <mergeCell ref="F4:G4"/>
    <mergeCell ref="B4:C4"/>
    <mergeCell ref="D4:E4"/>
  </mergeCells>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56"/>
  <sheetViews>
    <sheetView topLeftCell="I30" zoomScale="85" workbookViewId="0">
      <selection activeCell="I50" sqref="I50"/>
    </sheetView>
  </sheetViews>
  <sheetFormatPr defaultRowHeight="15"/>
  <cols>
    <col min="3" max="3" width="16.28515625" bestFit="1" customWidth="1"/>
    <col min="8" max="8" width="11.85546875" customWidth="1"/>
    <col min="17" max="17" width="14.28515625" customWidth="1"/>
    <col min="25" max="25" width="7.42578125" customWidth="1"/>
  </cols>
  <sheetData>
    <row r="1" spans="1:15" s="103" customFormat="1" ht="18.75">
      <c r="A1" s="120" t="s">
        <v>574</v>
      </c>
    </row>
    <row r="2" spans="1:15" s="103" customFormat="1">
      <c r="A2" s="103" t="s">
        <v>571</v>
      </c>
      <c r="B2" s="103" t="s">
        <v>573</v>
      </c>
      <c r="D2" t="s">
        <v>55</v>
      </c>
    </row>
    <row r="4" spans="1:15">
      <c r="B4" s="35" t="s">
        <v>59</v>
      </c>
      <c r="C4" s="36"/>
      <c r="D4" s="37"/>
      <c r="E4" s="38"/>
      <c r="G4" s="35" t="s">
        <v>60</v>
      </c>
      <c r="H4" s="36"/>
      <c r="I4" s="36"/>
      <c r="J4" s="36"/>
      <c r="K4" s="36"/>
      <c r="L4" s="36"/>
      <c r="M4" s="36"/>
      <c r="N4" s="36"/>
      <c r="O4" s="40"/>
    </row>
    <row r="5" spans="1:15">
      <c r="B5" s="23" t="s">
        <v>34</v>
      </c>
      <c r="C5" s="24"/>
      <c r="D5" s="24"/>
      <c r="E5" s="25"/>
      <c r="G5" s="23" t="s">
        <v>34</v>
      </c>
      <c r="H5" s="24"/>
      <c r="I5" s="24"/>
      <c r="J5" s="24"/>
      <c r="K5" s="24"/>
      <c r="L5" s="24"/>
      <c r="M5" s="24"/>
      <c r="N5" s="24"/>
      <c r="O5" s="25"/>
    </row>
    <row r="6" spans="1:15">
      <c r="B6" s="23"/>
      <c r="C6" s="24"/>
      <c r="D6" s="24">
        <v>2016</v>
      </c>
      <c r="E6" s="25">
        <v>2006</v>
      </c>
      <c r="G6" s="23"/>
      <c r="H6" s="24" t="s">
        <v>21</v>
      </c>
      <c r="I6" s="24" t="s">
        <v>27</v>
      </c>
      <c r="J6" s="24" t="s">
        <v>28</v>
      </c>
      <c r="K6" s="24" t="s">
        <v>29</v>
      </c>
      <c r="L6" s="24" t="s">
        <v>30</v>
      </c>
      <c r="M6" s="24" t="s">
        <v>31</v>
      </c>
      <c r="N6" s="24" t="s">
        <v>33</v>
      </c>
      <c r="O6" s="25" t="s">
        <v>53</v>
      </c>
    </row>
    <row r="7" spans="1:15">
      <c r="B7" s="23" t="s">
        <v>20</v>
      </c>
      <c r="C7" s="24" t="s">
        <v>21</v>
      </c>
      <c r="D7" s="26">
        <v>0.25</v>
      </c>
      <c r="E7" s="27">
        <v>0.22</v>
      </c>
      <c r="G7" s="23">
        <v>2005</v>
      </c>
      <c r="H7" s="26">
        <v>0.23</v>
      </c>
      <c r="I7" s="26">
        <v>0.21</v>
      </c>
      <c r="J7" s="26">
        <v>0.08</v>
      </c>
      <c r="K7" s="26">
        <v>0.11</v>
      </c>
      <c r="L7" s="26">
        <v>0.08</v>
      </c>
      <c r="M7" s="26">
        <v>0.26</v>
      </c>
      <c r="N7" s="26">
        <v>0.03</v>
      </c>
      <c r="O7" s="27">
        <f>SUM(H7:N7)</f>
        <v>1</v>
      </c>
    </row>
    <row r="8" spans="1:15">
      <c r="B8" s="23" t="s">
        <v>22</v>
      </c>
      <c r="C8" s="24" t="s">
        <v>27</v>
      </c>
      <c r="D8" s="26">
        <v>0.18</v>
      </c>
      <c r="E8" s="27">
        <v>0.2</v>
      </c>
      <c r="G8" s="23">
        <v>2006</v>
      </c>
      <c r="H8" s="26">
        <v>0.22</v>
      </c>
      <c r="I8" s="26">
        <v>0.2</v>
      </c>
      <c r="J8" s="26">
        <v>0.08</v>
      </c>
      <c r="K8" s="26">
        <v>0.11</v>
      </c>
      <c r="L8" s="26">
        <v>0.09</v>
      </c>
      <c r="M8" s="26">
        <v>0.26</v>
      </c>
      <c r="N8" s="26">
        <v>0.04</v>
      </c>
      <c r="O8" s="27">
        <f>SUM(H8:N8)</f>
        <v>1</v>
      </c>
    </row>
    <row r="9" spans="1:15">
      <c r="B9" s="23" t="s">
        <v>23</v>
      </c>
      <c r="C9" s="24" t="s">
        <v>28</v>
      </c>
      <c r="D9" s="26">
        <v>0.06</v>
      </c>
      <c r="E9" s="27">
        <v>0.08</v>
      </c>
      <c r="G9" s="23">
        <v>2007</v>
      </c>
      <c r="H9" s="39" t="s">
        <v>56</v>
      </c>
      <c r="I9" s="32"/>
      <c r="J9" s="32"/>
      <c r="K9" s="32"/>
      <c r="L9" s="32"/>
      <c r="M9" s="32"/>
      <c r="N9" s="32"/>
      <c r="O9" s="34"/>
    </row>
    <row r="10" spans="1:15">
      <c r="B10" s="23" t="s">
        <v>25</v>
      </c>
      <c r="C10" s="24" t="s">
        <v>29</v>
      </c>
      <c r="D10" s="26">
        <v>0.09</v>
      </c>
      <c r="E10" s="27">
        <v>0.11</v>
      </c>
      <c r="G10" s="23">
        <v>2008</v>
      </c>
      <c r="H10" s="32" t="s">
        <v>57</v>
      </c>
      <c r="I10" s="32"/>
      <c r="J10" s="32"/>
      <c r="K10" s="32"/>
      <c r="L10" s="32"/>
      <c r="M10" s="32"/>
      <c r="N10" s="32"/>
      <c r="O10" s="34"/>
    </row>
    <row r="11" spans="1:15">
      <c r="B11" s="23" t="s">
        <v>24</v>
      </c>
      <c r="C11" s="24" t="s">
        <v>30</v>
      </c>
      <c r="D11" s="26">
        <v>0.11</v>
      </c>
      <c r="E11" s="27">
        <v>0.09</v>
      </c>
      <c r="G11" s="23">
        <v>2009</v>
      </c>
      <c r="H11" s="33"/>
      <c r="I11" s="33"/>
      <c r="J11" s="33"/>
      <c r="K11" s="33"/>
      <c r="L11" s="33"/>
      <c r="M11" s="33"/>
      <c r="N11" s="33"/>
      <c r="O11" s="34"/>
    </row>
    <row r="12" spans="1:15">
      <c r="B12" s="23" t="s">
        <v>26</v>
      </c>
      <c r="C12" s="24" t="s">
        <v>31</v>
      </c>
      <c r="D12" s="26">
        <v>0.24</v>
      </c>
      <c r="E12" s="27">
        <v>0.26</v>
      </c>
      <c r="G12" s="23">
        <v>2010</v>
      </c>
      <c r="H12" s="32"/>
      <c r="I12" s="32"/>
      <c r="J12" s="32"/>
      <c r="K12" s="32"/>
      <c r="L12" s="32"/>
      <c r="M12" s="32"/>
      <c r="N12" s="32"/>
      <c r="O12" s="34"/>
    </row>
    <row r="13" spans="1:15">
      <c r="B13" s="23" t="s">
        <v>32</v>
      </c>
      <c r="C13" s="24" t="s">
        <v>33</v>
      </c>
      <c r="D13" s="26">
        <v>7.0000000000000007E-2</v>
      </c>
      <c r="E13" s="27">
        <v>0.04</v>
      </c>
      <c r="G13" s="23">
        <v>2011</v>
      </c>
      <c r="H13" s="26">
        <v>0.23</v>
      </c>
      <c r="I13" s="26">
        <v>0.19</v>
      </c>
      <c r="J13" s="26">
        <v>7.0000000000000007E-2</v>
      </c>
      <c r="K13" s="26">
        <v>0.1</v>
      </c>
      <c r="L13" s="26">
        <v>0.1</v>
      </c>
      <c r="M13" s="26">
        <v>0.25</v>
      </c>
      <c r="N13" s="26">
        <v>0.06</v>
      </c>
      <c r="O13" s="27">
        <f t="shared" ref="O13:O18" si="0">SUM(H13:N13)</f>
        <v>1</v>
      </c>
    </row>
    <row r="14" spans="1:15">
      <c r="B14" s="23" t="s">
        <v>36</v>
      </c>
      <c r="C14" s="24"/>
      <c r="D14" s="26">
        <f>SUM(D7:D13)</f>
        <v>1</v>
      </c>
      <c r="E14" s="27">
        <f>SUM(E7:E13)</f>
        <v>1</v>
      </c>
      <c r="G14" s="23">
        <v>2012</v>
      </c>
      <c r="H14" s="26">
        <v>0.23</v>
      </c>
      <c r="I14" s="26">
        <v>0.19</v>
      </c>
      <c r="J14" s="26">
        <v>7.0000000000000007E-2</v>
      </c>
      <c r="K14" s="26">
        <v>0.09</v>
      </c>
      <c r="L14" s="26">
        <v>0.1</v>
      </c>
      <c r="M14" s="26">
        <v>0.26</v>
      </c>
      <c r="N14" s="26">
        <v>0.06</v>
      </c>
      <c r="O14" s="27">
        <f t="shared" si="0"/>
        <v>1</v>
      </c>
    </row>
    <row r="15" spans="1:15">
      <c r="B15" s="23"/>
      <c r="C15" s="24"/>
      <c r="D15" s="26"/>
      <c r="E15" s="27"/>
      <c r="G15" s="23">
        <v>2013</v>
      </c>
      <c r="H15" s="26">
        <v>0.21</v>
      </c>
      <c r="I15" s="26">
        <v>0.19</v>
      </c>
      <c r="J15" s="26">
        <v>7.0000000000000007E-2</v>
      </c>
      <c r="K15" s="26">
        <v>0.09</v>
      </c>
      <c r="L15" s="26">
        <v>0.11</v>
      </c>
      <c r="M15" s="26">
        <v>0.26</v>
      </c>
      <c r="N15" s="26">
        <v>7.0000000000000007E-2</v>
      </c>
      <c r="O15" s="27">
        <f t="shared" si="0"/>
        <v>1</v>
      </c>
    </row>
    <row r="16" spans="1:15">
      <c r="B16" s="23"/>
      <c r="C16" s="24"/>
      <c r="D16" s="24"/>
      <c r="E16" s="25"/>
      <c r="G16" s="23">
        <v>2014</v>
      </c>
      <c r="H16" s="26">
        <v>0.25</v>
      </c>
      <c r="I16" s="26">
        <v>0.18</v>
      </c>
      <c r="J16" s="26">
        <v>0.06</v>
      </c>
      <c r="K16" s="26">
        <v>0.09</v>
      </c>
      <c r="L16" s="26">
        <v>0.1</v>
      </c>
      <c r="M16" s="26">
        <v>0.25</v>
      </c>
      <c r="N16" s="26">
        <v>7.0000000000000007E-2</v>
      </c>
      <c r="O16" s="27">
        <f t="shared" si="0"/>
        <v>1</v>
      </c>
    </row>
    <row r="17" spans="2:15">
      <c r="B17" s="23"/>
      <c r="C17" s="24"/>
      <c r="D17" s="26"/>
      <c r="E17" s="27"/>
      <c r="G17" s="23">
        <v>2015</v>
      </c>
      <c r="H17" s="26">
        <v>0.25</v>
      </c>
      <c r="I17" s="26">
        <v>0.18</v>
      </c>
      <c r="J17" s="26">
        <v>0.06</v>
      </c>
      <c r="K17" s="26">
        <v>0.1</v>
      </c>
      <c r="L17" s="26">
        <v>0.1</v>
      </c>
      <c r="M17" s="26">
        <v>0.24</v>
      </c>
      <c r="N17" s="26">
        <v>7.0000000000000007E-2</v>
      </c>
      <c r="O17" s="27">
        <f t="shared" si="0"/>
        <v>1</v>
      </c>
    </row>
    <row r="18" spans="2:15">
      <c r="B18" s="23"/>
      <c r="C18" s="24"/>
      <c r="D18" s="26"/>
      <c r="E18" s="27"/>
      <c r="G18" s="23">
        <v>2016</v>
      </c>
      <c r="H18" s="26">
        <v>0.25</v>
      </c>
      <c r="I18" s="26">
        <v>0.18</v>
      </c>
      <c r="J18" s="26">
        <v>0.06</v>
      </c>
      <c r="K18" s="26">
        <v>0.09</v>
      </c>
      <c r="L18" s="26">
        <v>0.11</v>
      </c>
      <c r="M18" s="26">
        <v>0.24</v>
      </c>
      <c r="N18" s="26">
        <v>7.0000000000000007E-2</v>
      </c>
      <c r="O18" s="27">
        <f t="shared" si="0"/>
        <v>1</v>
      </c>
    </row>
    <row r="19" spans="2:15">
      <c r="B19" s="23"/>
      <c r="C19" s="24"/>
      <c r="D19" s="26"/>
      <c r="E19" s="27"/>
      <c r="G19" s="23"/>
      <c r="H19" s="24"/>
      <c r="I19" s="24"/>
      <c r="J19" s="24"/>
      <c r="K19" s="24"/>
      <c r="L19" s="24"/>
      <c r="M19" s="24"/>
      <c r="N19" s="24"/>
      <c r="O19" s="25"/>
    </row>
    <row r="20" spans="2:15">
      <c r="B20" s="23"/>
      <c r="C20" s="24"/>
      <c r="D20" s="24"/>
      <c r="E20" s="25"/>
      <c r="G20" s="23" t="s">
        <v>35</v>
      </c>
      <c r="H20" s="24"/>
      <c r="I20" s="24"/>
      <c r="J20" s="24"/>
      <c r="K20" s="24"/>
      <c r="L20" s="24"/>
      <c r="M20" s="24"/>
      <c r="N20" s="24"/>
      <c r="O20" s="25"/>
    </row>
    <row r="21" spans="2:15">
      <c r="B21" s="23" t="s">
        <v>35</v>
      </c>
      <c r="C21" s="24"/>
      <c r="D21" s="24"/>
      <c r="E21" s="25"/>
      <c r="G21" s="23"/>
      <c r="H21" s="24" t="s">
        <v>21</v>
      </c>
      <c r="I21" s="24" t="s">
        <v>27</v>
      </c>
      <c r="J21" s="24" t="s">
        <v>28</v>
      </c>
      <c r="K21" s="24" t="s">
        <v>29</v>
      </c>
      <c r="L21" s="24" t="s">
        <v>30</v>
      </c>
      <c r="M21" s="24" t="s">
        <v>31</v>
      </c>
      <c r="N21" s="24" t="s">
        <v>33</v>
      </c>
      <c r="O21" s="25" t="s">
        <v>54</v>
      </c>
    </row>
    <row r="22" spans="2:15">
      <c r="B22" s="23"/>
      <c r="C22" s="24"/>
      <c r="D22" s="24">
        <v>2016</v>
      </c>
      <c r="E22" s="25">
        <v>2006</v>
      </c>
      <c r="G22" s="23">
        <v>2005</v>
      </c>
      <c r="H22" s="26">
        <v>0.35</v>
      </c>
      <c r="I22" s="26">
        <v>0.1</v>
      </c>
      <c r="J22" s="26">
        <v>0.12</v>
      </c>
      <c r="K22" s="26">
        <v>0.16</v>
      </c>
      <c r="L22" s="26">
        <v>0.13</v>
      </c>
      <c r="M22" s="26">
        <v>0.09</v>
      </c>
      <c r="N22" s="26">
        <v>0.05</v>
      </c>
      <c r="O22" s="27">
        <f>SUM(H22:N22)</f>
        <v>1</v>
      </c>
    </row>
    <row r="23" spans="2:15">
      <c r="B23" s="23" t="s">
        <v>20</v>
      </c>
      <c r="C23" s="24" t="s">
        <v>21</v>
      </c>
      <c r="D23" s="26">
        <v>0.35</v>
      </c>
      <c r="E23" s="27">
        <v>0.34</v>
      </c>
      <c r="G23" s="23">
        <v>2006</v>
      </c>
      <c r="H23" s="26">
        <v>0.34</v>
      </c>
      <c r="I23" s="26">
        <v>0.11</v>
      </c>
      <c r="J23" s="26">
        <v>0.12</v>
      </c>
      <c r="K23" s="26">
        <v>0.16</v>
      </c>
      <c r="L23" s="26">
        <v>0.13</v>
      </c>
      <c r="M23" s="26">
        <v>0.09</v>
      </c>
      <c r="N23" s="26">
        <v>0.05</v>
      </c>
      <c r="O23" s="27">
        <f>SUM(H23:N23)</f>
        <v>1</v>
      </c>
    </row>
    <row r="24" spans="2:15">
      <c r="B24" s="23" t="s">
        <v>22</v>
      </c>
      <c r="C24" s="24" t="s">
        <v>27</v>
      </c>
      <c r="D24" s="26">
        <v>0.08</v>
      </c>
      <c r="E24" s="27">
        <v>0.11</v>
      </c>
      <c r="G24" s="23">
        <v>2007</v>
      </c>
      <c r="H24" s="32" t="s">
        <v>58</v>
      </c>
      <c r="I24" s="32"/>
      <c r="J24" s="32"/>
      <c r="K24" s="32"/>
      <c r="L24" s="32"/>
      <c r="M24" s="32"/>
      <c r="N24" s="32"/>
      <c r="O24" s="34"/>
    </row>
    <row r="25" spans="2:15">
      <c r="B25" s="23" t="s">
        <v>23</v>
      </c>
      <c r="C25" s="24" t="s">
        <v>28</v>
      </c>
      <c r="D25" s="26">
        <v>0.09</v>
      </c>
      <c r="E25" s="27">
        <v>0.12</v>
      </c>
      <c r="G25" s="23">
        <v>2008</v>
      </c>
      <c r="H25" s="32"/>
      <c r="I25" s="32"/>
      <c r="J25" s="32"/>
      <c r="K25" s="32"/>
      <c r="L25" s="32"/>
      <c r="M25" s="32"/>
      <c r="N25" s="32"/>
      <c r="O25" s="34"/>
    </row>
    <row r="26" spans="2:15">
      <c r="B26" s="23" t="s">
        <v>25</v>
      </c>
      <c r="C26" s="24" t="s">
        <v>29</v>
      </c>
      <c r="D26" s="26">
        <v>0.14000000000000001</v>
      </c>
      <c r="E26" s="27">
        <v>0.16</v>
      </c>
      <c r="G26" s="23">
        <v>2009</v>
      </c>
      <c r="H26" s="32"/>
      <c r="I26" s="32"/>
      <c r="J26" s="32"/>
      <c r="K26" s="32"/>
      <c r="L26" s="32"/>
      <c r="M26" s="32"/>
      <c r="N26" s="32"/>
      <c r="O26" s="34"/>
    </row>
    <row r="27" spans="2:15">
      <c r="B27" s="23" t="s">
        <v>24</v>
      </c>
      <c r="C27" s="24" t="s">
        <v>30</v>
      </c>
      <c r="D27" s="26">
        <v>0.15</v>
      </c>
      <c r="E27" s="27">
        <v>0.13</v>
      </c>
      <c r="G27" s="23">
        <v>2010</v>
      </c>
      <c r="H27" s="32"/>
      <c r="I27" s="32"/>
      <c r="J27" s="32"/>
      <c r="K27" s="32"/>
      <c r="L27" s="32"/>
      <c r="M27" s="32"/>
      <c r="N27" s="32"/>
      <c r="O27" s="34"/>
    </row>
    <row r="28" spans="2:15">
      <c r="B28" s="23" t="s">
        <v>26</v>
      </c>
      <c r="C28" s="24" t="s">
        <v>31</v>
      </c>
      <c r="D28" s="26">
        <v>0.09</v>
      </c>
      <c r="E28" s="27">
        <v>0.09</v>
      </c>
      <c r="G28" s="23">
        <v>2011</v>
      </c>
      <c r="H28" s="32"/>
      <c r="I28" s="32"/>
      <c r="J28" s="32"/>
      <c r="K28" s="32"/>
      <c r="L28" s="32"/>
      <c r="M28" s="32"/>
      <c r="N28" s="32"/>
      <c r="O28" s="34"/>
    </row>
    <row r="29" spans="2:15">
      <c r="B29" s="23" t="s">
        <v>32</v>
      </c>
      <c r="C29" s="24" t="s">
        <v>33</v>
      </c>
      <c r="D29" s="26">
        <v>0.1</v>
      </c>
      <c r="E29" s="27">
        <v>0.05</v>
      </c>
      <c r="G29" s="23">
        <v>2012</v>
      </c>
      <c r="H29" s="26">
        <v>0.34</v>
      </c>
      <c r="I29" s="26">
        <v>0.08</v>
      </c>
      <c r="J29" s="26">
        <v>0.1</v>
      </c>
      <c r="K29" s="26">
        <v>0.14000000000000001</v>
      </c>
      <c r="L29" s="26">
        <v>0.15</v>
      </c>
      <c r="M29" s="26">
        <v>0.09</v>
      </c>
      <c r="N29" s="26">
        <v>0.1</v>
      </c>
      <c r="O29" s="27">
        <f>SUM(H29:N29)</f>
        <v>1</v>
      </c>
    </row>
    <row r="30" spans="2:15">
      <c r="B30" s="28" t="s">
        <v>36</v>
      </c>
      <c r="C30" s="29"/>
      <c r="D30" s="30">
        <f>SUM(D23:D29)</f>
        <v>1</v>
      </c>
      <c r="E30" s="31">
        <f>SUM(E23:E29)</f>
        <v>1</v>
      </c>
      <c r="G30" s="23">
        <v>2013</v>
      </c>
      <c r="H30" s="26">
        <v>0.31</v>
      </c>
      <c r="I30" s="26">
        <v>0.09</v>
      </c>
      <c r="J30" s="26">
        <v>0.1</v>
      </c>
      <c r="K30" s="26">
        <v>0.14000000000000001</v>
      </c>
      <c r="L30" s="26">
        <v>0.16</v>
      </c>
      <c r="M30" s="26">
        <v>0.1</v>
      </c>
      <c r="N30" s="26">
        <v>0.1</v>
      </c>
      <c r="O30" s="27">
        <f>SUM(H30:N30)</f>
        <v>1</v>
      </c>
    </row>
    <row r="31" spans="2:15">
      <c r="G31" s="23">
        <v>2014</v>
      </c>
      <c r="H31" s="26">
        <v>0.36</v>
      </c>
      <c r="I31" s="26">
        <v>0.08</v>
      </c>
      <c r="J31" s="26">
        <v>0.09</v>
      </c>
      <c r="K31" s="26">
        <v>0.13</v>
      </c>
      <c r="L31" s="26">
        <v>0.15</v>
      </c>
      <c r="M31" s="26">
        <v>0.09</v>
      </c>
      <c r="N31" s="26">
        <v>0.1</v>
      </c>
      <c r="O31" s="27">
        <f>SUM(H31:N31)</f>
        <v>1</v>
      </c>
    </row>
    <row r="32" spans="2:15">
      <c r="G32" s="23">
        <v>2015</v>
      </c>
      <c r="H32" s="26">
        <v>0.36</v>
      </c>
      <c r="I32" s="26">
        <v>0.08</v>
      </c>
      <c r="J32" s="26">
        <v>0.09</v>
      </c>
      <c r="K32" s="26">
        <v>0.14000000000000001</v>
      </c>
      <c r="L32" s="26">
        <v>0.15</v>
      </c>
      <c r="M32" s="26">
        <v>0.09</v>
      </c>
      <c r="N32" s="26">
        <v>0.09</v>
      </c>
      <c r="O32" s="27">
        <f>SUM(H32:N32)</f>
        <v>1</v>
      </c>
    </row>
    <row r="33" spans="7:26">
      <c r="G33" s="28">
        <v>2016</v>
      </c>
      <c r="H33" s="30">
        <v>0.35</v>
      </c>
      <c r="I33" s="30">
        <v>0.08</v>
      </c>
      <c r="J33" s="30">
        <v>0.09</v>
      </c>
      <c r="K33" s="30">
        <v>0.14000000000000001</v>
      </c>
      <c r="L33" s="30">
        <v>0.15</v>
      </c>
      <c r="M33" s="30">
        <v>0.09</v>
      </c>
      <c r="N33" s="30">
        <v>0.1</v>
      </c>
      <c r="O33" s="31">
        <f>SUM(H33:N33)</f>
        <v>1</v>
      </c>
    </row>
    <row r="35" spans="7:26">
      <c r="G35" t="s">
        <v>61</v>
      </c>
      <c r="V35" t="s">
        <v>41</v>
      </c>
    </row>
    <row r="36" spans="7:26">
      <c r="G36" t="s">
        <v>62</v>
      </c>
      <c r="V36" t="s">
        <v>42</v>
      </c>
    </row>
    <row r="37" spans="7:26">
      <c r="H37" t="s">
        <v>63</v>
      </c>
    </row>
    <row r="38" spans="7:26">
      <c r="H38" t="s">
        <v>66</v>
      </c>
    </row>
    <row r="40" spans="7:26">
      <c r="H40" t="s">
        <v>65</v>
      </c>
    </row>
    <row r="41" spans="7:26">
      <c r="G41" t="s">
        <v>67</v>
      </c>
    </row>
    <row r="42" spans="7:26">
      <c r="G42" s="41" t="s">
        <v>64</v>
      </c>
      <c r="H42" s="42"/>
      <c r="I42" s="42"/>
      <c r="J42" s="42"/>
      <c r="K42" s="42"/>
      <c r="L42" s="42"/>
      <c r="M42" s="42"/>
      <c r="N42" s="42"/>
      <c r="O42" s="43"/>
      <c r="R42" s="20" t="s">
        <v>52</v>
      </c>
      <c r="S42" s="21"/>
      <c r="T42" s="21"/>
      <c r="U42" s="21"/>
      <c r="V42" s="21"/>
      <c r="W42" s="21"/>
      <c r="X42" s="21"/>
      <c r="Y42" s="21"/>
      <c r="Z42" s="22"/>
    </row>
    <row r="43" spans="7:26">
      <c r="G43" s="44"/>
      <c r="H43" s="45" t="s">
        <v>21</v>
      </c>
      <c r="I43" s="45" t="s">
        <v>27</v>
      </c>
      <c r="J43" s="45" t="s">
        <v>28</v>
      </c>
      <c r="K43" s="45" t="s">
        <v>29</v>
      </c>
      <c r="L43" s="45" t="s">
        <v>30</v>
      </c>
      <c r="M43" s="45" t="s">
        <v>31</v>
      </c>
      <c r="N43" s="45" t="s">
        <v>33</v>
      </c>
      <c r="O43" s="46" t="s">
        <v>53</v>
      </c>
      <c r="P43" t="s">
        <v>75</v>
      </c>
      <c r="R43" s="23"/>
      <c r="S43" s="24" t="s">
        <v>43</v>
      </c>
      <c r="T43" s="24" t="s">
        <v>68</v>
      </c>
      <c r="U43" s="24" t="s">
        <v>45</v>
      </c>
      <c r="V43" s="24" t="s">
        <v>69</v>
      </c>
      <c r="W43" s="24" t="s">
        <v>46</v>
      </c>
      <c r="X43" s="24" t="s">
        <v>47</v>
      </c>
      <c r="Y43" s="24" t="s">
        <v>48</v>
      </c>
      <c r="Z43" s="25" t="s">
        <v>49</v>
      </c>
    </row>
    <row r="44" spans="7:26">
      <c r="G44" s="44">
        <v>2006</v>
      </c>
      <c r="H44" s="47">
        <f>(Residential8EndUse!H8*Energy8Sec!$B7-Residential8EndUse!H23*Energy8Sec!$B23)/(Energy8Sec!$B7-Energy8Sec!$B23)</f>
        <v>-9.1344184542416496E-3</v>
      </c>
      <c r="I44" s="47">
        <f>(Residential8EndUse!I8*Energy8Sec!$B7-Residential8EndUse!I23*Energy8Sec!$B23)/(Energy8Sec!$B7-Energy8Sec!$B23)</f>
        <v>0.37185081384068136</v>
      </c>
      <c r="J44" s="47">
        <f>(Residential8EndUse!J8*Energy8Sec!$B7-Residential8EndUse!J23*Energy8Sec!$B23)/(Energy8Sec!$B7-Energy8Sec!$B23)</f>
        <v>3.621860515252815E-3</v>
      </c>
      <c r="K44" s="47">
        <f>(Residential8EndUse!K8*Energy8Sec!$B7-Residential8EndUse!K23*Energy8Sec!$B23)/(Energy8Sec!$B7-Energy8Sec!$B23)</f>
        <v>1.4527325644065968E-2</v>
      </c>
      <c r="L44" s="47">
        <f>(Residential8EndUse!L8*Energy8Sec!$B7-Residential8EndUse!L23*Energy8Sec!$B23)/(Energy8Sec!$B7-Energy8Sec!$B23)</f>
        <v>1.3621860515252764E-2</v>
      </c>
      <c r="M44" s="47">
        <f>(Residential8EndUse!M8*Energy8Sec!$B7-Residential8EndUse!M23*Energy8Sec!$B23)/(Energy8Sec!$B7-Energy8Sec!$B23)</f>
        <v>0.58460709281017564</v>
      </c>
      <c r="N44" s="47">
        <f>(Residential8EndUse!N8*Energy8Sec!$B7-Residential8EndUse!N23*Energy8Sec!$B23)/(Energy8Sec!$B7-Energy8Sec!$B23)</f>
        <v>2.0905465128813201E-2</v>
      </c>
      <c r="O44" s="48">
        <f>(Residential8EndUse!O8*Energy8Sec!$B7-Residential8EndUse!O23*Energy8Sec!$B23)/(Energy8Sec!$B7-Energy8Sec!$B23)</f>
        <v>1</v>
      </c>
      <c r="P44" t="s">
        <v>74</v>
      </c>
      <c r="R44" s="23">
        <v>2006</v>
      </c>
      <c r="S44" s="54">
        <v>0</v>
      </c>
      <c r="T44" s="54">
        <v>0.37185081384068136</v>
      </c>
      <c r="U44" s="54">
        <v>3.621860515252815E-3</v>
      </c>
      <c r="V44" s="54">
        <v>0</v>
      </c>
      <c r="W44" s="54">
        <v>1.3621860515252764E-2</v>
      </c>
      <c r="X44" s="54">
        <f>1-S44-T44-U44-V44-Y44-W44</f>
        <v>0.59</v>
      </c>
      <c r="Y44" s="54">
        <v>2.0905465128813201E-2</v>
      </c>
      <c r="Z44" s="27">
        <v>1</v>
      </c>
    </row>
    <row r="45" spans="7:26">
      <c r="G45" s="44">
        <v>2007</v>
      </c>
      <c r="H45" s="49"/>
      <c r="I45" s="49"/>
      <c r="J45" s="49"/>
      <c r="K45" s="49"/>
      <c r="L45" s="49"/>
      <c r="M45" s="49"/>
      <c r="N45" s="49"/>
      <c r="O45" s="50"/>
      <c r="R45" s="23">
        <v>2007</v>
      </c>
      <c r="S45" s="54"/>
      <c r="T45" s="54"/>
      <c r="U45" s="54"/>
      <c r="V45" s="54"/>
      <c r="W45" s="54"/>
      <c r="X45" s="54"/>
      <c r="Y45" s="54"/>
      <c r="Z45" s="27"/>
    </row>
    <row r="46" spans="7:26">
      <c r="G46" s="44">
        <v>2008</v>
      </c>
      <c r="H46" s="49"/>
      <c r="I46" s="49"/>
      <c r="J46" s="49"/>
      <c r="K46" s="49"/>
      <c r="L46" s="49"/>
      <c r="M46" s="49"/>
      <c r="N46" s="49"/>
      <c r="O46" s="50"/>
      <c r="P46" t="s">
        <v>77</v>
      </c>
      <c r="R46" s="23">
        <v>2008</v>
      </c>
      <c r="S46" s="54"/>
      <c r="T46" s="54"/>
      <c r="U46" s="54"/>
      <c r="V46" s="54"/>
      <c r="W46" s="54"/>
      <c r="X46" s="54"/>
      <c r="Y46" s="54"/>
      <c r="Z46" s="27"/>
    </row>
    <row r="47" spans="7:26">
      <c r="G47" s="44">
        <v>2009</v>
      </c>
      <c r="H47" s="49"/>
      <c r="I47" s="49"/>
      <c r="J47" s="49"/>
      <c r="K47" s="49"/>
      <c r="L47" s="49"/>
      <c r="M47" s="49"/>
      <c r="N47" s="49"/>
      <c r="O47" s="50"/>
      <c r="P47" t="s">
        <v>73</v>
      </c>
      <c r="R47" s="23">
        <v>2009</v>
      </c>
      <c r="S47" s="54"/>
      <c r="T47" s="54"/>
      <c r="U47" s="54"/>
      <c r="V47" s="54"/>
      <c r="W47" s="54"/>
      <c r="X47" s="54"/>
      <c r="Y47" s="54"/>
      <c r="Z47" s="27"/>
    </row>
    <row r="48" spans="7:26">
      <c r="G48" s="44">
        <v>2010</v>
      </c>
      <c r="H48" s="49"/>
      <c r="I48" s="49"/>
      <c r="J48" s="49"/>
      <c r="K48" s="49"/>
      <c r="L48" s="49"/>
      <c r="M48" s="49"/>
      <c r="N48" s="49"/>
      <c r="O48" s="50"/>
      <c r="R48" s="23">
        <v>2010</v>
      </c>
      <c r="S48" s="54"/>
      <c r="T48" s="54"/>
      <c r="U48" s="54"/>
      <c r="V48" s="54"/>
      <c r="W48" s="54"/>
      <c r="X48" s="54"/>
      <c r="Y48" s="54"/>
      <c r="Z48" s="27"/>
    </row>
    <row r="49" spans="7:26">
      <c r="G49" s="44">
        <v>2011</v>
      </c>
      <c r="H49" s="49"/>
      <c r="I49" s="49"/>
      <c r="J49" s="49"/>
      <c r="K49" s="49"/>
      <c r="L49" s="49"/>
      <c r="M49" s="49"/>
      <c r="N49" s="49"/>
      <c r="O49" s="50"/>
      <c r="R49" s="23">
        <v>2011</v>
      </c>
      <c r="S49" s="54"/>
      <c r="T49" s="54"/>
      <c r="U49" s="54"/>
      <c r="V49" s="54"/>
      <c r="W49" s="54"/>
      <c r="X49" s="54"/>
      <c r="Y49" s="54"/>
      <c r="Z49" s="27"/>
    </row>
    <row r="50" spans="7:26">
      <c r="G50" s="44">
        <v>2012</v>
      </c>
      <c r="H50" s="47">
        <f>(Residential8EndUse!H14*Energy8Sec!$B13-Residential8EndUse!H29*Energy8Sec!$B29)/(Energy8Sec!$B13-Energy8Sec!$B29)</f>
        <v>-1.1732380088566379E-2</v>
      </c>
      <c r="I50" s="47">
        <f>(Residential8EndUse!I14*Energy8Sec!$B13-Residential8EndUse!I29*Energy8Sec!$B29)/(Energy8Sec!$B13-Energy8Sec!$B29)</f>
        <v>0.4317323800885664</v>
      </c>
      <c r="J50" s="47">
        <f>(Residential8EndUse!J14*Energy8Sec!$B13-Residential8EndUse!J29*Energy8Sec!$B29)/(Energy8Sec!$B13-Energy8Sec!$B29)</f>
        <v>4.0729872485728083E-3</v>
      </c>
      <c r="K50" s="47">
        <f>(Residential8EndUse!K14*Energy8Sec!$B13-Residential8EndUse!K29*Energy8Sec!$B29)/(Energy8Sec!$B13-Energy8Sec!$B29)</f>
        <v>-1.9878354585712042E-2</v>
      </c>
      <c r="L50" s="47">
        <f>(Residential8EndUse!L14*Energy8Sec!$B13-Residential8EndUse!L29*Energy8Sec!$B29)/(Energy8Sec!$B13-Energy8Sec!$B29)</f>
        <v>-9.878354585711931E-3</v>
      </c>
      <c r="M50" s="47">
        <f>(Residential8EndUse!M14*Energy8Sec!$B13-Residential8EndUse!M29*Energy8Sec!$B29)/(Energy8Sec!$B13-Energy8Sec!$B29)</f>
        <v>0.63358640559142076</v>
      </c>
      <c r="N50" s="47">
        <f>(Residential8EndUse!N14*Energy8Sec!$B13-Residential8EndUse!N29*Energy8Sec!$B29)/(Energy8Sec!$B13-Energy8Sec!$B29)</f>
        <v>-2.7902683668569624E-2</v>
      </c>
      <c r="O50" s="48">
        <f>(Residential8EndUse!O14*Energy8Sec!$B13-Residential8EndUse!O29*Energy8Sec!$B29)/(Energy8Sec!$B13-Energy8Sec!$B29)</f>
        <v>1</v>
      </c>
      <c r="R50" s="23">
        <v>2012</v>
      </c>
      <c r="S50" s="54">
        <v>0</v>
      </c>
      <c r="T50" s="54">
        <v>0.4317323800885664</v>
      </c>
      <c r="U50" s="54">
        <v>4.0729872485728083E-3</v>
      </c>
      <c r="V50" s="54">
        <v>0</v>
      </c>
      <c r="W50" s="54">
        <v>0</v>
      </c>
      <c r="X50" s="54">
        <f>1-S50-T50-U50-V50-Y50-W50</f>
        <v>0.56419463266286074</v>
      </c>
      <c r="Y50" s="54">
        <v>0</v>
      </c>
      <c r="Z50" s="27">
        <v>1</v>
      </c>
    </row>
    <row r="51" spans="7:26">
      <c r="G51" s="44">
        <v>2013</v>
      </c>
      <c r="H51" s="47">
        <f>(Residential8EndUse!H15*Energy8Sec!$B14-Residential8EndUse!H30*Energy8Sec!$B30)/(Energy8Sec!$B14-Energy8Sec!$B30)</f>
        <v>-6.4471901587817345E-3</v>
      </c>
      <c r="I51" s="47">
        <f>(Residential8EndUse!I15*Energy8Sec!$B14-Residential8EndUse!I30*Energy8Sec!$B30)/(Energy8Sec!$B14-Energy8Sec!$B30)</f>
        <v>0.40644719015878178</v>
      </c>
      <c r="J51" s="47">
        <f>(Residential8EndUse!J15*Energy8Sec!$B14-Residential8EndUse!J30*Energy8Sec!$B30)/(Energy8Sec!$B14-Energy8Sec!$B30)</f>
        <v>5.0658429523654704E-3</v>
      </c>
      <c r="K51" s="47">
        <f>(Residential8EndUse!K15*Energy8Sec!$B14-Residential8EndUse!K30*Energy8Sec!$B30)/(Energy8Sec!$B14-Energy8Sec!$B30)</f>
        <v>-1.822359507939092E-2</v>
      </c>
      <c r="L51" s="47">
        <f>(Residential8EndUse!L15*Energy8Sec!$B14-Residential8EndUse!L30*Energy8Sec!$B30)/(Energy8Sec!$B14-Energy8Sec!$B30)</f>
        <v>1.7764049206091012E-3</v>
      </c>
      <c r="M51" s="47">
        <f>(Residential8EndUse!M15*Energy8Sec!$B14-Residential8EndUse!M30*Energy8Sec!$B30)/(Energy8Sec!$B14-Energy8Sec!$B30)</f>
        <v>0.60631550425405079</v>
      </c>
      <c r="N51" s="47">
        <f>(Residential8EndUse!N15*Energy8Sec!$B14-Residential8EndUse!N30*Energy8Sec!$B30)/(Energy8Sec!$B14-Energy8Sec!$B30)</f>
        <v>5.0658429523654704E-3</v>
      </c>
      <c r="O51" s="48">
        <f>(Residential8EndUse!O15*Energy8Sec!$B14-Residential8EndUse!O30*Energy8Sec!$B30)/(Energy8Sec!$B14-Energy8Sec!$B30)</f>
        <v>1</v>
      </c>
      <c r="R51" s="23">
        <v>2013</v>
      </c>
      <c r="S51" s="54">
        <v>0</v>
      </c>
      <c r="T51" s="54">
        <v>0.40644719015878178</v>
      </c>
      <c r="U51" s="54">
        <v>5.0658429523654704E-3</v>
      </c>
      <c r="V51" s="54">
        <v>0</v>
      </c>
      <c r="W51" s="54">
        <v>1.7764049206091012E-3</v>
      </c>
      <c r="X51" s="54">
        <f>1-S51-T51-U51-V51-Y51-W51</f>
        <v>0.58164471901587811</v>
      </c>
      <c r="Y51" s="54">
        <v>5.0658429523654704E-3</v>
      </c>
      <c r="Z51" s="27">
        <v>1</v>
      </c>
    </row>
    <row r="52" spans="7:26">
      <c r="G52" s="44">
        <v>2014</v>
      </c>
      <c r="H52" s="47">
        <f>(Residential8EndUse!H16*Energy8Sec!$B15-Residential8EndUse!H31*Energy8Sec!$B31)/(Energy8Sec!$B15-Energy8Sec!$B31)</f>
        <v>-8.213030548796952E-3</v>
      </c>
      <c r="I52" s="47">
        <f>(Residential8EndUse!I16*Energy8Sec!$B15-Residential8EndUse!I31*Energy8Sec!$B31)/(Energy8Sec!$B15-Energy8Sec!$B31)</f>
        <v>0.41473911868072444</v>
      </c>
      <c r="J52" s="47">
        <f>(Residential8EndUse!J16*Energy8Sec!$B15-Residential8EndUse!J31*Energy8Sec!$B31)/(Energy8Sec!$B15-Energy8Sec!$B31)</f>
        <v>-1.0421735604217356E-2</v>
      </c>
      <c r="K52" s="47">
        <f>(Residential8EndUse!K16*Energy8Sec!$B15-Residential8EndUse!K31*Energy8Sec!$B31)/(Energy8Sec!$B15-Energy8Sec!$B31)</f>
        <v>-3.8956474722898178E-3</v>
      </c>
      <c r="L52" s="47">
        <f>(Residential8EndUse!L16*Energy8Sec!$B15-Residential8EndUse!L31*Energy8Sec!$B31)/(Energy8Sec!$B15-Energy8Sec!$B31)</f>
        <v>-1.7369559340362259E-2</v>
      </c>
      <c r="M52" s="47">
        <f>(Residential8EndUse!M16*Energy8Sec!$B15-Residential8EndUse!M31*Energy8Sec!$B31)/(Energy8Sec!$B15-Energy8Sec!$B31)</f>
        <v>0.62558258988915916</v>
      </c>
      <c r="N52" s="47">
        <f>(Residential8EndUse!N16*Energy8Sec!$B15-Residential8EndUse!N31*Energy8Sec!$B31)/(Energy8Sec!$B15-Energy8Sec!$B31)</f>
        <v>-4.2173560421731671E-4</v>
      </c>
      <c r="O52" s="48">
        <f>(Residential8EndUse!O16*Energy8Sec!$B15-Residential8EndUse!O31*Energy8Sec!$B31)/(Energy8Sec!$B15-Energy8Sec!$B31)</f>
        <v>1</v>
      </c>
      <c r="R52" s="23">
        <v>2014</v>
      </c>
      <c r="S52" s="54">
        <v>0</v>
      </c>
      <c r="T52" s="54">
        <v>0.41473911868072444</v>
      </c>
      <c r="U52" s="54">
        <v>0</v>
      </c>
      <c r="V52" s="54">
        <v>0</v>
      </c>
      <c r="W52" s="54">
        <v>0</v>
      </c>
      <c r="X52" s="54">
        <f>1-S52-T52-U52-V52-Y52-W52</f>
        <v>0.58526088131927556</v>
      </c>
      <c r="Y52" s="54">
        <v>0</v>
      </c>
      <c r="Z52" s="27">
        <v>1</v>
      </c>
    </row>
    <row r="53" spans="7:26">
      <c r="G53" s="44">
        <v>2015</v>
      </c>
      <c r="H53" s="47">
        <f>(Residential8EndUse!H17*Energy8Sec!$B16-Residential8EndUse!H32*Energy8Sec!$B32)/(Energy8Sec!$B16-Energy8Sec!$B32)</f>
        <v>-1.1149837498599102E-2</v>
      </c>
      <c r="I53" s="47">
        <f>(Residential8EndUse!I17*Energy8Sec!$B16-Residential8EndUse!I32*Energy8Sec!$B32)/(Energy8Sec!$B16-Energy8Sec!$B32)</f>
        <v>0.41740894318054467</v>
      </c>
      <c r="J53" s="47">
        <f>(Residential8EndUse!J17*Energy8Sec!$B16-Residential8EndUse!J32*Energy8Sec!$B32)/(Energy8Sec!$B16-Energy8Sec!$B32)</f>
        <v>-1.1222682954163409E-2</v>
      </c>
      <c r="K53" s="47">
        <f>(Residential8EndUse!K17*Energy8Sec!$B16-Residential8EndUse!K32*Energy8Sec!$B32)/(Energy8Sec!$B16-Energy8Sec!$B32)</f>
        <v>5.0364227277821423E-3</v>
      </c>
      <c r="L53" s="47">
        <f>(Residential8EndUse!L17*Energy8Sec!$B16-Residential8EndUse!L32*Energy8Sec!$B32)/(Energy8Sec!$B16-Energy8Sec!$B32)</f>
        <v>-1.870447159027229E-2</v>
      </c>
      <c r="M53" s="47">
        <f>(Residential8EndUse!M17*Energy8Sec!$B16-Residential8EndUse!M32*Energy8Sec!$B32)/(Energy8Sec!$B16-Energy8Sec!$B32)</f>
        <v>0.59611341477081692</v>
      </c>
      <c r="N53" s="47">
        <f>(Residential8EndUse!N17*Energy8Sec!$B16-Residential8EndUse!N32*Energy8Sec!$B32)/(Energy8Sec!$B16-Energy8Sec!$B32)</f>
        <v>2.2518211363891101E-2</v>
      </c>
      <c r="O53" s="48">
        <f>(Residential8EndUse!O17*Energy8Sec!$B16-Residential8EndUse!O32*Energy8Sec!$B32)/(Energy8Sec!$B16-Energy8Sec!$B32)</f>
        <v>1</v>
      </c>
      <c r="R53" s="23">
        <v>2015</v>
      </c>
      <c r="S53" s="54">
        <v>0</v>
      </c>
      <c r="T53" s="54">
        <v>0.41740894318054467</v>
      </c>
      <c r="U53" s="54">
        <v>0</v>
      </c>
      <c r="V53" s="54">
        <v>0</v>
      </c>
      <c r="W53" s="54">
        <v>0</v>
      </c>
      <c r="X53" s="54">
        <f>1-S53-T53-U53-V53-Y53-W53</f>
        <v>0.56007284545556424</v>
      </c>
      <c r="Y53" s="54">
        <v>2.2518211363891101E-2</v>
      </c>
      <c r="Z53" s="27">
        <v>1</v>
      </c>
    </row>
    <row r="54" spans="7:26">
      <c r="G54" s="51">
        <v>2016</v>
      </c>
      <c r="H54" s="52">
        <f>(Residential8EndUse!H18*Energy8Sec!$B17-Residential8EndUse!H33*Energy8Sec!$B33)/(Energy8Sec!$B17-Energy8Sec!$B33)</f>
        <v>1.46159724875813E-2</v>
      </c>
      <c r="I54" s="52">
        <f>(Residential8EndUse!I18*Energy8Sec!$B17-Residential8EndUse!I33*Energy8Sec!$B33)/(Energy8Sec!$B17-Energy8Sec!$B33)</f>
        <v>0.41538402751241882</v>
      </c>
      <c r="J54" s="52">
        <f>(Residential8EndUse!J18*Energy8Sec!$B17-Residential8EndUse!J33*Energy8Sec!$B33)/(Energy8Sec!$B17-Energy8Sec!$B33)</f>
        <v>-1.0615208253725642E-2</v>
      </c>
      <c r="K54" s="52">
        <f>(Residential8EndUse!K18*Energy8Sec!$B17-Residential8EndUse!K33*Energy8Sec!$B33)/(Energy8Sec!$B17-Energy8Sec!$B33)</f>
        <v>-2.7692013756209399E-2</v>
      </c>
      <c r="L54" s="52">
        <f>(Residential8EndUse!L18*Energy8Sec!$B17-Residential8EndUse!L33*Energy8Sec!$B33)/(Energy8Sec!$B17-Energy8Sec!$B33)</f>
        <v>1.5846388995032479E-2</v>
      </c>
      <c r="M54" s="52">
        <f>(Residential8EndUse!M18*Energy8Sec!$B17-Residential8EndUse!M33*Energy8Sec!$B33)/(Energy8Sec!$B17-Energy8Sec!$B33)</f>
        <v>0.59307604126862812</v>
      </c>
      <c r="N54" s="52">
        <f>(Residential8EndUse!N18*Energy8Sec!$B17-Residential8EndUse!N33*Energy8Sec!$B33)/(Energy8Sec!$B17-Energy8Sec!$B33)</f>
        <v>-6.152082537256142E-4</v>
      </c>
      <c r="O54" s="53">
        <f>(Residential8EndUse!O18*Energy8Sec!$B17-Residential8EndUse!O33*Energy8Sec!$B33)/(Energy8Sec!$B17-Energy8Sec!$B33)</f>
        <v>1</v>
      </c>
      <c r="R54" s="28">
        <v>2016</v>
      </c>
      <c r="S54" s="55">
        <v>0</v>
      </c>
      <c r="T54" s="55">
        <v>0.41538402751241882</v>
      </c>
      <c r="U54" s="55">
        <v>0</v>
      </c>
      <c r="V54" s="55">
        <v>0</v>
      </c>
      <c r="W54" s="55">
        <v>1.5846388995032479E-2</v>
      </c>
      <c r="X54" s="55">
        <f>1-S54-T54-U54-V54-Y54-W54</f>
        <v>0.5687695834925488</v>
      </c>
      <c r="Y54" s="55">
        <v>0</v>
      </c>
      <c r="Z54" s="31">
        <v>1</v>
      </c>
    </row>
    <row r="56" spans="7:26" s="64" customFormat="1"/>
  </sheetData>
  <phoneticPr fontId="3" type="noConversion"/>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sheetPr>
  <dimension ref="A1:AM120"/>
  <sheetViews>
    <sheetView zoomScale="85" zoomScaleNormal="100" workbookViewId="0">
      <selection activeCell="L71" sqref="L71"/>
    </sheetView>
  </sheetViews>
  <sheetFormatPr defaultRowHeight="15"/>
  <cols>
    <col min="1" max="1" width="13.42578125" customWidth="1"/>
    <col min="13" max="13" width="9.7109375" customWidth="1"/>
  </cols>
  <sheetData>
    <row r="1" spans="1:39" s="103" customFormat="1" ht="18.75">
      <c r="A1" s="120" t="s">
        <v>806</v>
      </c>
    </row>
    <row r="2" spans="1:39" s="103" customFormat="1">
      <c r="A2" s="103" t="s">
        <v>571</v>
      </c>
      <c r="B2" s="103" t="s">
        <v>573</v>
      </c>
      <c r="D2" s="103" t="s">
        <v>55</v>
      </c>
    </row>
    <row r="3" spans="1:39" s="112" customFormat="1">
      <c r="A3" s="215" t="s">
        <v>34</v>
      </c>
    </row>
    <row r="4" spans="1:39" s="103" customFormat="1">
      <c r="A4" s="60" t="s">
        <v>808</v>
      </c>
      <c r="B4" s="24"/>
      <c r="C4" s="24"/>
      <c r="D4" s="24"/>
      <c r="E4" s="24"/>
      <c r="F4" s="24"/>
      <c r="G4" s="24"/>
      <c r="H4" s="24"/>
      <c r="I4" s="25"/>
      <c r="K4" s="60" t="s">
        <v>803</v>
      </c>
      <c r="U4" s="60" t="s">
        <v>805</v>
      </c>
      <c r="AE4" s="60" t="s">
        <v>804</v>
      </c>
    </row>
    <row r="5" spans="1:39" s="103" customFormat="1" ht="20.100000000000001" customHeight="1">
      <c r="A5" s="103" t="s">
        <v>811</v>
      </c>
      <c r="I5" s="103" t="s">
        <v>809</v>
      </c>
      <c r="K5" s="2" t="s">
        <v>13</v>
      </c>
      <c r="L5" s="190" t="s">
        <v>792</v>
      </c>
      <c r="M5" s="191" t="s">
        <v>793</v>
      </c>
      <c r="N5" s="192" t="s">
        <v>794</v>
      </c>
      <c r="O5" s="193" t="s">
        <v>795</v>
      </c>
      <c r="P5" s="194" t="s">
        <v>796</v>
      </c>
      <c r="Q5" s="195" t="s">
        <v>797</v>
      </c>
      <c r="R5" s="196" t="s">
        <v>798</v>
      </c>
      <c r="S5" s="197" t="s">
        <v>17</v>
      </c>
      <c r="U5" s="2" t="s">
        <v>13</v>
      </c>
      <c r="V5" s="190" t="s">
        <v>792</v>
      </c>
      <c r="W5" s="191" t="s">
        <v>793</v>
      </c>
      <c r="X5" s="192" t="s">
        <v>794</v>
      </c>
      <c r="Y5" s="193" t="s">
        <v>795</v>
      </c>
      <c r="Z5" s="194" t="s">
        <v>796</v>
      </c>
      <c r="AA5" s="195" t="s">
        <v>797</v>
      </c>
      <c r="AB5" s="196" t="s">
        <v>798</v>
      </c>
      <c r="AC5" s="197" t="s">
        <v>17</v>
      </c>
      <c r="AE5" s="2" t="s">
        <v>13</v>
      </c>
      <c r="AF5" s="190" t="s">
        <v>792</v>
      </c>
      <c r="AG5" s="191" t="s">
        <v>793</v>
      </c>
      <c r="AH5" s="192" t="s">
        <v>794</v>
      </c>
      <c r="AI5" s="193" t="s">
        <v>795</v>
      </c>
      <c r="AJ5" s="194" t="s">
        <v>796</v>
      </c>
      <c r="AK5" s="195" t="s">
        <v>797</v>
      </c>
      <c r="AL5" s="196" t="s">
        <v>798</v>
      </c>
      <c r="AM5" s="197" t="s">
        <v>17</v>
      </c>
    </row>
    <row r="6" spans="1:39" s="103" customFormat="1">
      <c r="I6" s="103">
        <v>53982</v>
      </c>
      <c r="K6" s="12">
        <v>2006</v>
      </c>
      <c r="L6" s="198">
        <v>6828</v>
      </c>
      <c r="M6" s="199">
        <v>6122</v>
      </c>
      <c r="N6" s="200">
        <v>5074</v>
      </c>
      <c r="O6" s="214">
        <v>2148</v>
      </c>
      <c r="P6" s="202">
        <v>2830</v>
      </c>
      <c r="Q6" s="203">
        <v>2311</v>
      </c>
      <c r="R6" s="204">
        <v>898</v>
      </c>
      <c r="S6" s="205">
        <v>26211</v>
      </c>
      <c r="U6" s="12">
        <v>2006</v>
      </c>
      <c r="V6" s="198">
        <f t="shared" ref="V6:V16" si="0">B95+L95</f>
        <v>6900</v>
      </c>
      <c r="W6" s="199">
        <f t="shared" ref="W6:W16" si="1">C95+M95</f>
        <v>5006</v>
      </c>
      <c r="X6" s="200">
        <f t="shared" ref="X6:X16" si="2">D95+N95</f>
        <v>5485</v>
      </c>
      <c r="Y6" s="214">
        <f t="shared" ref="Y6:Y16" si="3">E95+O95</f>
        <v>1760</v>
      </c>
      <c r="Z6" s="202">
        <f t="shared" ref="Z6:Z16" si="4">F95+P95</f>
        <v>2656</v>
      </c>
      <c r="AA6" s="203">
        <f t="shared" ref="AA6:AA16" si="5">G95+Q95</f>
        <v>2211</v>
      </c>
      <c r="AB6" s="204">
        <f t="shared" ref="AB6:AB16" si="6">H95+R95</f>
        <v>948</v>
      </c>
      <c r="AC6" s="205">
        <f t="shared" ref="AC6:AC16" si="7">I95+S95</f>
        <v>24967</v>
      </c>
      <c r="AE6" s="12">
        <v>2006</v>
      </c>
      <c r="AF6" s="198">
        <f t="shared" ref="AF6:AF16" si="8">L6+V6</f>
        <v>13728</v>
      </c>
      <c r="AG6" s="199">
        <f t="shared" ref="AG6:AG16" si="9">M6+W6</f>
        <v>11128</v>
      </c>
      <c r="AH6" s="200">
        <f t="shared" ref="AH6:AH16" si="10">N6+X6</f>
        <v>10559</v>
      </c>
      <c r="AI6" s="214">
        <f t="shared" ref="AI6:AI16" si="11">O6+Y6</f>
        <v>3908</v>
      </c>
      <c r="AJ6" s="202">
        <f t="shared" ref="AJ6:AM16" si="12">P6+Z6</f>
        <v>5486</v>
      </c>
      <c r="AK6" s="203">
        <f t="shared" si="12"/>
        <v>4522</v>
      </c>
      <c r="AL6" s="204">
        <f t="shared" si="12"/>
        <v>1846</v>
      </c>
      <c r="AM6" s="205">
        <f t="shared" si="12"/>
        <v>51178</v>
      </c>
    </row>
    <row r="7" spans="1:39" s="103" customFormat="1">
      <c r="I7" s="103">
        <v>54717</v>
      </c>
      <c r="K7" s="12">
        <v>2007</v>
      </c>
      <c r="L7" s="198">
        <v>6974</v>
      </c>
      <c r="M7" s="199">
        <v>6176</v>
      </c>
      <c r="N7" s="200">
        <v>5104</v>
      </c>
      <c r="O7" s="214">
        <v>2100</v>
      </c>
      <c r="P7" s="202">
        <v>2962</v>
      </c>
      <c r="Q7" s="203">
        <v>2469</v>
      </c>
      <c r="R7" s="204">
        <v>948</v>
      </c>
      <c r="S7" s="205">
        <v>26733</v>
      </c>
      <c r="U7" s="12">
        <v>2007</v>
      </c>
      <c r="V7" s="198">
        <f t="shared" si="0"/>
        <v>7023</v>
      </c>
      <c r="W7" s="199">
        <f t="shared" si="1"/>
        <v>4963</v>
      </c>
      <c r="X7" s="200">
        <f t="shared" si="2"/>
        <v>5436</v>
      </c>
      <c r="Y7" s="214">
        <f t="shared" si="3"/>
        <v>1709</v>
      </c>
      <c r="Z7" s="202">
        <f t="shared" si="4"/>
        <v>2741</v>
      </c>
      <c r="AA7" s="203">
        <f t="shared" si="5"/>
        <v>2323</v>
      </c>
      <c r="AB7" s="204">
        <f t="shared" si="6"/>
        <v>990</v>
      </c>
      <c r="AC7" s="205">
        <f t="shared" si="7"/>
        <v>25185</v>
      </c>
      <c r="AE7" s="12">
        <v>2007</v>
      </c>
      <c r="AF7" s="198">
        <f t="shared" si="8"/>
        <v>13997</v>
      </c>
      <c r="AG7" s="199">
        <f t="shared" si="9"/>
        <v>11139</v>
      </c>
      <c r="AH7" s="200">
        <f t="shared" si="10"/>
        <v>10540</v>
      </c>
      <c r="AI7" s="214">
        <f t="shared" si="11"/>
        <v>3809</v>
      </c>
      <c r="AJ7" s="202">
        <f t="shared" si="12"/>
        <v>5703</v>
      </c>
      <c r="AK7" s="203">
        <f t="shared" si="12"/>
        <v>4792</v>
      </c>
      <c r="AL7" s="204">
        <f t="shared" si="12"/>
        <v>1938</v>
      </c>
      <c r="AM7" s="205">
        <f t="shared" si="12"/>
        <v>51918</v>
      </c>
    </row>
    <row r="8" spans="1:39" s="103" customFormat="1">
      <c r="I8" s="103">
        <v>55849</v>
      </c>
      <c r="K8" s="12">
        <v>2008</v>
      </c>
      <c r="L8" s="198">
        <v>7334</v>
      </c>
      <c r="M8" s="199">
        <v>6240</v>
      </c>
      <c r="N8" s="200">
        <v>5323</v>
      </c>
      <c r="O8" s="214">
        <v>2055</v>
      </c>
      <c r="P8" s="202">
        <v>3101</v>
      </c>
      <c r="Q8" s="203">
        <v>2646</v>
      </c>
      <c r="R8" s="207">
        <v>1002</v>
      </c>
      <c r="S8" s="205">
        <v>27701</v>
      </c>
      <c r="U8" s="12">
        <v>2008</v>
      </c>
      <c r="V8" s="198">
        <f t="shared" si="0"/>
        <v>7334</v>
      </c>
      <c r="W8" s="199">
        <f t="shared" si="1"/>
        <v>4836</v>
      </c>
      <c r="X8" s="200">
        <f t="shared" si="2"/>
        <v>5559</v>
      </c>
      <c r="Y8" s="214">
        <f t="shared" si="3"/>
        <v>1625</v>
      </c>
      <c r="Z8" s="202">
        <f t="shared" si="4"/>
        <v>2765</v>
      </c>
      <c r="AA8" s="203">
        <f t="shared" si="5"/>
        <v>2398</v>
      </c>
      <c r="AB8" s="204">
        <f t="shared" si="6"/>
        <v>1017</v>
      </c>
      <c r="AC8" s="205">
        <f t="shared" si="7"/>
        <v>25533</v>
      </c>
      <c r="AE8" s="12">
        <v>2008</v>
      </c>
      <c r="AF8" s="198">
        <f t="shared" si="8"/>
        <v>14668</v>
      </c>
      <c r="AG8" s="199">
        <f t="shared" si="9"/>
        <v>11076</v>
      </c>
      <c r="AH8" s="200">
        <f t="shared" si="10"/>
        <v>10882</v>
      </c>
      <c r="AI8" s="214">
        <f t="shared" si="11"/>
        <v>3680</v>
      </c>
      <c r="AJ8" s="202">
        <f t="shared" si="12"/>
        <v>5866</v>
      </c>
      <c r="AK8" s="203">
        <f t="shared" si="12"/>
        <v>5044</v>
      </c>
      <c r="AL8" s="204">
        <f t="shared" si="12"/>
        <v>2019</v>
      </c>
      <c r="AM8" s="205">
        <f t="shared" si="12"/>
        <v>53234</v>
      </c>
    </row>
    <row r="9" spans="1:39" s="103" customFormat="1">
      <c r="I9" s="103">
        <v>57731</v>
      </c>
      <c r="K9" s="12">
        <v>2009</v>
      </c>
      <c r="L9" s="198">
        <v>7232</v>
      </c>
      <c r="M9" s="199">
        <v>6740</v>
      </c>
      <c r="N9" s="200">
        <v>5344</v>
      </c>
      <c r="O9" s="214">
        <v>2167</v>
      </c>
      <c r="P9" s="202">
        <v>3134</v>
      </c>
      <c r="Q9" s="203">
        <v>2764</v>
      </c>
      <c r="R9" s="207">
        <v>1164</v>
      </c>
      <c r="S9" s="205">
        <v>28544</v>
      </c>
      <c r="U9" s="12">
        <v>2009</v>
      </c>
      <c r="V9" s="198">
        <f t="shared" si="0"/>
        <v>7307</v>
      </c>
      <c r="W9" s="199">
        <f t="shared" si="1"/>
        <v>5103</v>
      </c>
      <c r="X9" s="200">
        <f t="shared" si="2"/>
        <v>5543</v>
      </c>
      <c r="Y9" s="214">
        <f t="shared" si="3"/>
        <v>1639</v>
      </c>
      <c r="Z9" s="202">
        <f t="shared" si="4"/>
        <v>2818</v>
      </c>
      <c r="AA9" s="203">
        <f t="shared" si="5"/>
        <v>2519</v>
      </c>
      <c r="AB9" s="204">
        <f t="shared" si="6"/>
        <v>1139</v>
      </c>
      <c r="AC9" s="205">
        <f t="shared" si="7"/>
        <v>26068</v>
      </c>
      <c r="AE9" s="12">
        <v>2009</v>
      </c>
      <c r="AF9" s="198">
        <f t="shared" si="8"/>
        <v>14539</v>
      </c>
      <c r="AG9" s="199">
        <f t="shared" si="9"/>
        <v>11843</v>
      </c>
      <c r="AH9" s="200">
        <f t="shared" si="10"/>
        <v>10887</v>
      </c>
      <c r="AI9" s="214">
        <f t="shared" si="11"/>
        <v>3806</v>
      </c>
      <c r="AJ9" s="202">
        <f t="shared" si="12"/>
        <v>5952</v>
      </c>
      <c r="AK9" s="203">
        <f t="shared" si="12"/>
        <v>5283</v>
      </c>
      <c r="AL9" s="204">
        <f t="shared" si="12"/>
        <v>2303</v>
      </c>
      <c r="AM9" s="205">
        <f t="shared" si="12"/>
        <v>54612</v>
      </c>
    </row>
    <row r="10" spans="1:39" s="103" customFormat="1">
      <c r="I10" s="103">
        <v>58396</v>
      </c>
      <c r="K10" s="12">
        <v>2010</v>
      </c>
      <c r="L10" s="198">
        <v>7172</v>
      </c>
      <c r="M10" s="199">
        <v>6949</v>
      </c>
      <c r="N10" s="200">
        <v>5279</v>
      </c>
      <c r="O10" s="214">
        <v>2178</v>
      </c>
      <c r="P10" s="202">
        <v>3003</v>
      </c>
      <c r="Q10" s="203">
        <v>2815</v>
      </c>
      <c r="R10" s="207">
        <v>1333</v>
      </c>
      <c r="S10" s="205">
        <v>28730</v>
      </c>
      <c r="U10" s="12">
        <v>2010</v>
      </c>
      <c r="V10" s="198">
        <f t="shared" si="0"/>
        <v>7346</v>
      </c>
      <c r="W10" s="199">
        <f t="shared" si="1"/>
        <v>5155</v>
      </c>
      <c r="X10" s="200">
        <f t="shared" si="2"/>
        <v>5552</v>
      </c>
      <c r="Y10" s="214">
        <f t="shared" si="3"/>
        <v>1592</v>
      </c>
      <c r="Z10" s="202">
        <f t="shared" si="4"/>
        <v>2744</v>
      </c>
      <c r="AA10" s="203">
        <f t="shared" si="5"/>
        <v>2587</v>
      </c>
      <c r="AB10" s="204">
        <f t="shared" si="6"/>
        <v>1261</v>
      </c>
      <c r="AC10" s="205">
        <f t="shared" si="7"/>
        <v>26236</v>
      </c>
      <c r="AE10" s="12">
        <v>2010</v>
      </c>
      <c r="AF10" s="198">
        <f t="shared" si="8"/>
        <v>14518</v>
      </c>
      <c r="AG10" s="199">
        <f t="shared" si="9"/>
        <v>12104</v>
      </c>
      <c r="AH10" s="200">
        <f t="shared" si="10"/>
        <v>10831</v>
      </c>
      <c r="AI10" s="214">
        <f t="shared" si="11"/>
        <v>3770</v>
      </c>
      <c r="AJ10" s="202">
        <f t="shared" si="12"/>
        <v>5747</v>
      </c>
      <c r="AK10" s="203">
        <f t="shared" si="12"/>
        <v>5402</v>
      </c>
      <c r="AL10" s="204">
        <f t="shared" si="12"/>
        <v>2594</v>
      </c>
      <c r="AM10" s="205">
        <f t="shared" si="12"/>
        <v>54966</v>
      </c>
    </row>
    <row r="11" spans="1:39" s="103" customFormat="1">
      <c r="I11" s="103">
        <v>58826</v>
      </c>
      <c r="K11" s="12">
        <v>2011</v>
      </c>
      <c r="L11" s="198">
        <v>7014</v>
      </c>
      <c r="M11" s="199">
        <v>7201</v>
      </c>
      <c r="N11" s="200">
        <v>5256</v>
      </c>
      <c r="O11" s="214">
        <v>2204</v>
      </c>
      <c r="P11" s="202">
        <v>2891</v>
      </c>
      <c r="Q11" s="203">
        <v>2945</v>
      </c>
      <c r="R11" s="207">
        <v>1606</v>
      </c>
      <c r="S11" s="205">
        <v>29117</v>
      </c>
      <c r="U11" s="12">
        <v>2011</v>
      </c>
      <c r="V11" s="198">
        <f t="shared" si="0"/>
        <v>7250</v>
      </c>
      <c r="W11" s="199">
        <f t="shared" si="1"/>
        <v>5094</v>
      </c>
      <c r="X11" s="200">
        <f t="shared" si="2"/>
        <v>5513</v>
      </c>
      <c r="Y11" s="214">
        <f t="shared" si="3"/>
        <v>1527</v>
      </c>
      <c r="Z11" s="202">
        <f t="shared" si="4"/>
        <v>2620</v>
      </c>
      <c r="AA11" s="203">
        <f t="shared" si="5"/>
        <v>2667</v>
      </c>
      <c r="AB11" s="204">
        <f t="shared" si="6"/>
        <v>1408</v>
      </c>
      <c r="AC11" s="205">
        <f t="shared" si="7"/>
        <v>26080</v>
      </c>
      <c r="AE11" s="12">
        <v>2011</v>
      </c>
      <c r="AF11" s="198">
        <f t="shared" si="8"/>
        <v>14264</v>
      </c>
      <c r="AG11" s="199">
        <f t="shared" si="9"/>
        <v>12295</v>
      </c>
      <c r="AH11" s="200">
        <f t="shared" si="10"/>
        <v>10769</v>
      </c>
      <c r="AI11" s="214">
        <f t="shared" si="11"/>
        <v>3731</v>
      </c>
      <c r="AJ11" s="202">
        <f t="shared" si="12"/>
        <v>5511</v>
      </c>
      <c r="AK11" s="203">
        <f t="shared" si="12"/>
        <v>5612</v>
      </c>
      <c r="AL11" s="204">
        <f t="shared" si="12"/>
        <v>3014</v>
      </c>
      <c r="AM11" s="205">
        <f t="shared" si="12"/>
        <v>55197</v>
      </c>
    </row>
    <row r="12" spans="1:39" s="103" customFormat="1">
      <c r="I12" s="103">
        <v>59932</v>
      </c>
      <c r="K12" s="12">
        <v>2012</v>
      </c>
      <c r="L12" s="198">
        <v>6744</v>
      </c>
      <c r="M12" s="199">
        <v>7364</v>
      </c>
      <c r="N12" s="200">
        <v>5101</v>
      </c>
      <c r="O12" s="214">
        <v>2208</v>
      </c>
      <c r="P12" s="202">
        <v>2743</v>
      </c>
      <c r="Q12" s="203">
        <v>3099</v>
      </c>
      <c r="R12" s="207">
        <v>2008</v>
      </c>
      <c r="S12" s="205">
        <v>29268</v>
      </c>
      <c r="U12" s="12">
        <v>2012</v>
      </c>
      <c r="V12" s="198">
        <f t="shared" si="0"/>
        <v>7246</v>
      </c>
      <c r="W12" s="199">
        <f t="shared" si="1"/>
        <v>5191</v>
      </c>
      <c r="X12" s="200">
        <f t="shared" si="2"/>
        <v>5522</v>
      </c>
      <c r="Y12" s="214">
        <f t="shared" si="3"/>
        <v>1531</v>
      </c>
      <c r="Z12" s="202">
        <f t="shared" si="4"/>
        <v>2563</v>
      </c>
      <c r="AA12" s="203">
        <f t="shared" si="5"/>
        <v>2921</v>
      </c>
      <c r="AB12" s="204">
        <f t="shared" si="6"/>
        <v>1673</v>
      </c>
      <c r="AC12" s="205">
        <f t="shared" si="7"/>
        <v>26648</v>
      </c>
      <c r="AE12" s="12">
        <v>2012</v>
      </c>
      <c r="AF12" s="198">
        <f t="shared" si="8"/>
        <v>13990</v>
      </c>
      <c r="AG12" s="199">
        <f t="shared" si="9"/>
        <v>12555</v>
      </c>
      <c r="AH12" s="200">
        <f t="shared" si="10"/>
        <v>10623</v>
      </c>
      <c r="AI12" s="214">
        <f t="shared" si="11"/>
        <v>3739</v>
      </c>
      <c r="AJ12" s="202">
        <f t="shared" si="12"/>
        <v>5306</v>
      </c>
      <c r="AK12" s="203">
        <f t="shared" si="12"/>
        <v>6020</v>
      </c>
      <c r="AL12" s="204">
        <f t="shared" si="12"/>
        <v>3681</v>
      </c>
      <c r="AM12" s="205">
        <f t="shared" si="12"/>
        <v>55916</v>
      </c>
    </row>
    <row r="13" spans="1:39" s="103" customFormat="1">
      <c r="I13" s="103">
        <v>58394</v>
      </c>
      <c r="K13" s="12">
        <v>2013</v>
      </c>
      <c r="L13" s="198">
        <v>6676</v>
      </c>
      <c r="M13" s="199">
        <v>6507</v>
      </c>
      <c r="N13" s="200">
        <v>5094</v>
      </c>
      <c r="O13" s="214">
        <v>2097</v>
      </c>
      <c r="P13" s="202">
        <v>2665</v>
      </c>
      <c r="Q13" s="203">
        <v>3212</v>
      </c>
      <c r="R13" s="207">
        <v>2155</v>
      </c>
      <c r="S13" s="205">
        <v>28407</v>
      </c>
      <c r="U13" s="12">
        <v>2013</v>
      </c>
      <c r="V13" s="198">
        <f t="shared" si="0"/>
        <v>7202</v>
      </c>
      <c r="W13" s="199">
        <f t="shared" si="1"/>
        <v>4587</v>
      </c>
      <c r="X13" s="200">
        <f t="shared" si="2"/>
        <v>5506</v>
      </c>
      <c r="Y13" s="214">
        <f t="shared" si="3"/>
        <v>1471</v>
      </c>
      <c r="Z13" s="202">
        <f t="shared" si="4"/>
        <v>2495</v>
      </c>
      <c r="AA13" s="203">
        <f t="shared" si="5"/>
        <v>3048</v>
      </c>
      <c r="AB13" s="204">
        <f t="shared" si="6"/>
        <v>1775</v>
      </c>
      <c r="AC13" s="205">
        <f t="shared" si="7"/>
        <v>26084</v>
      </c>
      <c r="AE13" s="12">
        <v>2013</v>
      </c>
      <c r="AF13" s="198">
        <f t="shared" si="8"/>
        <v>13878</v>
      </c>
      <c r="AG13" s="199">
        <f t="shared" si="9"/>
        <v>11094</v>
      </c>
      <c r="AH13" s="200">
        <f t="shared" si="10"/>
        <v>10600</v>
      </c>
      <c r="AI13" s="214">
        <f t="shared" si="11"/>
        <v>3568</v>
      </c>
      <c r="AJ13" s="202">
        <f t="shared" si="12"/>
        <v>5160</v>
      </c>
      <c r="AK13" s="203">
        <f t="shared" si="12"/>
        <v>6260</v>
      </c>
      <c r="AL13" s="204">
        <f t="shared" si="12"/>
        <v>3930</v>
      </c>
      <c r="AM13" s="205">
        <f t="shared" si="12"/>
        <v>54491</v>
      </c>
    </row>
    <row r="14" spans="1:39" s="103" customFormat="1">
      <c r="I14" s="103">
        <v>61910</v>
      </c>
      <c r="K14" s="12">
        <v>2014</v>
      </c>
      <c r="L14" s="198">
        <v>6686</v>
      </c>
      <c r="M14" s="199">
        <v>8425</v>
      </c>
      <c r="N14" s="200">
        <v>5108</v>
      </c>
      <c r="O14" s="214">
        <v>2084</v>
      </c>
      <c r="P14" s="202">
        <v>2841</v>
      </c>
      <c r="Q14" s="203">
        <v>3193</v>
      </c>
      <c r="R14" s="207">
        <v>2143</v>
      </c>
      <c r="S14" s="205">
        <v>30480</v>
      </c>
      <c r="U14" s="12">
        <v>2014</v>
      </c>
      <c r="V14" s="198">
        <f t="shared" si="0"/>
        <v>7192</v>
      </c>
      <c r="W14" s="199">
        <f t="shared" si="1"/>
        <v>5843</v>
      </c>
      <c r="X14" s="200">
        <f t="shared" si="2"/>
        <v>5505</v>
      </c>
      <c r="Y14" s="214">
        <f t="shared" si="3"/>
        <v>1451</v>
      </c>
      <c r="Z14" s="202">
        <f t="shared" si="4"/>
        <v>2641</v>
      </c>
      <c r="AA14" s="203">
        <f t="shared" si="5"/>
        <v>3009</v>
      </c>
      <c r="AB14" s="204">
        <f t="shared" si="6"/>
        <v>1752</v>
      </c>
      <c r="AC14" s="205">
        <f t="shared" si="7"/>
        <v>27392</v>
      </c>
      <c r="AE14" s="12">
        <v>2014</v>
      </c>
      <c r="AF14" s="198">
        <f t="shared" si="8"/>
        <v>13878</v>
      </c>
      <c r="AG14" s="199">
        <f t="shared" si="9"/>
        <v>14268</v>
      </c>
      <c r="AH14" s="200">
        <f t="shared" si="10"/>
        <v>10613</v>
      </c>
      <c r="AI14" s="214">
        <f t="shared" si="11"/>
        <v>3535</v>
      </c>
      <c r="AJ14" s="202">
        <f t="shared" si="12"/>
        <v>5482</v>
      </c>
      <c r="AK14" s="203">
        <f t="shared" si="12"/>
        <v>6202</v>
      </c>
      <c r="AL14" s="204">
        <f t="shared" si="12"/>
        <v>3895</v>
      </c>
      <c r="AM14" s="205">
        <f t="shared" si="12"/>
        <v>57872</v>
      </c>
    </row>
    <row r="15" spans="1:39" s="103" customFormat="1">
      <c r="I15" s="103">
        <v>60214</v>
      </c>
      <c r="K15" s="12">
        <v>2015</v>
      </c>
      <c r="L15" s="198">
        <v>6341</v>
      </c>
      <c r="M15" s="199">
        <v>8076</v>
      </c>
      <c r="N15" s="200">
        <v>4782</v>
      </c>
      <c r="O15" s="214">
        <v>1990</v>
      </c>
      <c r="P15" s="202">
        <v>2842</v>
      </c>
      <c r="Q15" s="203">
        <v>3048</v>
      </c>
      <c r="R15" s="207">
        <v>2046</v>
      </c>
      <c r="S15" s="205">
        <v>29125</v>
      </c>
      <c r="U15" s="12">
        <v>2015</v>
      </c>
      <c r="V15" s="198">
        <f t="shared" si="0"/>
        <v>6991</v>
      </c>
      <c r="W15" s="199">
        <f t="shared" si="1"/>
        <v>5728</v>
      </c>
      <c r="X15" s="200">
        <f t="shared" si="2"/>
        <v>5307</v>
      </c>
      <c r="Y15" s="214">
        <f t="shared" si="3"/>
        <v>1413</v>
      </c>
      <c r="Z15" s="202">
        <f t="shared" si="4"/>
        <v>2695</v>
      </c>
      <c r="AA15" s="203">
        <f t="shared" si="5"/>
        <v>2926</v>
      </c>
      <c r="AB15" s="204">
        <f t="shared" si="6"/>
        <v>1704</v>
      </c>
      <c r="AC15" s="205">
        <f t="shared" si="7"/>
        <v>26763</v>
      </c>
      <c r="AE15" s="12">
        <v>2015</v>
      </c>
      <c r="AF15" s="198">
        <f t="shared" si="8"/>
        <v>13332</v>
      </c>
      <c r="AG15" s="199">
        <f t="shared" si="9"/>
        <v>13804</v>
      </c>
      <c r="AH15" s="200">
        <f t="shared" si="10"/>
        <v>10089</v>
      </c>
      <c r="AI15" s="214">
        <f t="shared" si="11"/>
        <v>3403</v>
      </c>
      <c r="AJ15" s="202">
        <f t="shared" si="12"/>
        <v>5537</v>
      </c>
      <c r="AK15" s="203">
        <f t="shared" si="12"/>
        <v>5974</v>
      </c>
      <c r="AL15" s="204">
        <f t="shared" si="12"/>
        <v>3750</v>
      </c>
      <c r="AM15" s="205">
        <f t="shared" si="12"/>
        <v>55888</v>
      </c>
    </row>
    <row r="16" spans="1:39" s="103" customFormat="1">
      <c r="I16" s="103">
        <v>61439</v>
      </c>
      <c r="K16" s="12">
        <v>2016</v>
      </c>
      <c r="L16" s="198">
        <v>6642</v>
      </c>
      <c r="M16" s="199">
        <v>8197</v>
      </c>
      <c r="N16" s="200">
        <v>5094</v>
      </c>
      <c r="O16" s="214">
        <v>2107</v>
      </c>
      <c r="P16" s="202">
        <v>2848</v>
      </c>
      <c r="Q16" s="203">
        <v>3229</v>
      </c>
      <c r="R16" s="207">
        <v>2167</v>
      </c>
      <c r="S16" s="205">
        <v>30284</v>
      </c>
      <c r="U16" s="12">
        <v>2016</v>
      </c>
      <c r="V16" s="198">
        <f t="shared" si="0"/>
        <v>7142</v>
      </c>
      <c r="W16" s="199">
        <f t="shared" si="1"/>
        <v>5632</v>
      </c>
      <c r="X16" s="200">
        <f t="shared" si="2"/>
        <v>5460</v>
      </c>
      <c r="Y16" s="214">
        <f t="shared" si="3"/>
        <v>1454</v>
      </c>
      <c r="Z16" s="202">
        <f t="shared" si="4"/>
        <v>2626</v>
      </c>
      <c r="AA16" s="203">
        <f t="shared" si="5"/>
        <v>3011</v>
      </c>
      <c r="AB16" s="204">
        <f t="shared" si="6"/>
        <v>1752</v>
      </c>
      <c r="AC16" s="205">
        <f t="shared" si="7"/>
        <v>27077</v>
      </c>
      <c r="AE16" s="12">
        <v>2016</v>
      </c>
      <c r="AF16" s="198">
        <f t="shared" si="8"/>
        <v>13784</v>
      </c>
      <c r="AG16" s="199">
        <f t="shared" si="9"/>
        <v>13829</v>
      </c>
      <c r="AH16" s="200">
        <f t="shared" si="10"/>
        <v>10554</v>
      </c>
      <c r="AI16" s="214">
        <f t="shared" si="11"/>
        <v>3561</v>
      </c>
      <c r="AJ16" s="202">
        <f t="shared" si="12"/>
        <v>5474</v>
      </c>
      <c r="AK16" s="203">
        <f t="shared" si="12"/>
        <v>6240</v>
      </c>
      <c r="AL16" s="204">
        <f t="shared" si="12"/>
        <v>3919</v>
      </c>
      <c r="AM16" s="205">
        <f t="shared" si="12"/>
        <v>57361</v>
      </c>
    </row>
    <row r="18" spans="1:39" s="103" customFormat="1">
      <c r="A18" s="216" t="s">
        <v>812</v>
      </c>
      <c r="B18" s="26"/>
      <c r="C18" s="26"/>
      <c r="D18" s="26"/>
      <c r="E18" s="26"/>
      <c r="F18" s="26"/>
      <c r="G18" s="26"/>
      <c r="H18" s="26"/>
      <c r="I18" s="26"/>
    </row>
    <row r="19" spans="1:39" s="103" customFormat="1">
      <c r="A19" s="23" t="s">
        <v>807</v>
      </c>
      <c r="B19" s="24" t="s">
        <v>21</v>
      </c>
      <c r="C19" s="24" t="s">
        <v>27</v>
      </c>
      <c r="D19" s="24" t="s">
        <v>28</v>
      </c>
      <c r="E19" s="24" t="s">
        <v>29</v>
      </c>
      <c r="F19" s="24" t="s">
        <v>30</v>
      </c>
      <c r="G19" s="24" t="s">
        <v>31</v>
      </c>
      <c r="H19" s="24" t="s">
        <v>33</v>
      </c>
      <c r="I19" s="25" t="s">
        <v>36</v>
      </c>
      <c r="K19" s="60" t="s">
        <v>803</v>
      </c>
      <c r="U19" s="60" t="s">
        <v>805</v>
      </c>
      <c r="AE19" s="60" t="s">
        <v>804</v>
      </c>
    </row>
    <row r="20" spans="1:39" s="103" customFormat="1" ht="27">
      <c r="A20" s="23">
        <v>2005</v>
      </c>
      <c r="B20" s="26">
        <v>0.23</v>
      </c>
      <c r="C20" s="26">
        <v>0.21</v>
      </c>
      <c r="D20" s="26">
        <v>0.08</v>
      </c>
      <c r="E20" s="26">
        <v>0.11</v>
      </c>
      <c r="F20" s="26">
        <v>0.08</v>
      </c>
      <c r="G20" s="26">
        <v>0.26</v>
      </c>
      <c r="H20" s="26">
        <v>0.03</v>
      </c>
      <c r="I20" s="27">
        <f>SUM(B20:H20)</f>
        <v>1</v>
      </c>
      <c r="K20" s="2" t="s">
        <v>13</v>
      </c>
      <c r="L20" s="190" t="s">
        <v>792</v>
      </c>
      <c r="M20" s="191" t="s">
        <v>793</v>
      </c>
      <c r="N20" s="192" t="s">
        <v>794</v>
      </c>
      <c r="O20" s="193" t="s">
        <v>795</v>
      </c>
      <c r="P20" s="194" t="s">
        <v>796</v>
      </c>
      <c r="Q20" s="195" t="s">
        <v>797</v>
      </c>
      <c r="R20" s="196" t="s">
        <v>798</v>
      </c>
      <c r="S20" s="197" t="s">
        <v>17</v>
      </c>
      <c r="U20" s="2" t="s">
        <v>13</v>
      </c>
      <c r="V20" s="190" t="s">
        <v>792</v>
      </c>
      <c r="W20" s="191" t="s">
        <v>793</v>
      </c>
      <c r="X20" s="192" t="s">
        <v>794</v>
      </c>
      <c r="Y20" s="193" t="s">
        <v>795</v>
      </c>
      <c r="Z20" s="194" t="s">
        <v>796</v>
      </c>
      <c r="AA20" s="195" t="s">
        <v>797</v>
      </c>
      <c r="AB20" s="196" t="s">
        <v>798</v>
      </c>
      <c r="AC20" s="197" t="s">
        <v>17</v>
      </c>
      <c r="AE20" s="2" t="s">
        <v>13</v>
      </c>
      <c r="AF20" s="190" t="s">
        <v>792</v>
      </c>
      <c r="AG20" s="191" t="s">
        <v>793</v>
      </c>
      <c r="AH20" s="192" t="s">
        <v>794</v>
      </c>
      <c r="AI20" s="193" t="s">
        <v>795</v>
      </c>
      <c r="AJ20" s="194" t="s">
        <v>796</v>
      </c>
      <c r="AK20" s="195" t="s">
        <v>797</v>
      </c>
      <c r="AL20" s="196" t="s">
        <v>798</v>
      </c>
      <c r="AM20" s="197" t="s">
        <v>17</v>
      </c>
    </row>
    <row r="21" spans="1:39" s="103" customFormat="1">
      <c r="A21" s="23">
        <v>2006</v>
      </c>
      <c r="B21" s="26">
        <v>0.22</v>
      </c>
      <c r="C21" s="26">
        <v>0.2</v>
      </c>
      <c r="D21" s="26">
        <v>0.08</v>
      </c>
      <c r="E21" s="26">
        <v>0.11</v>
      </c>
      <c r="F21" s="26">
        <v>0.09</v>
      </c>
      <c r="G21" s="26">
        <v>0.26</v>
      </c>
      <c r="H21" s="26">
        <v>0.04</v>
      </c>
      <c r="I21" s="27">
        <f>SUM(B21:H21)</f>
        <v>1</v>
      </c>
      <c r="K21" s="12">
        <v>2006</v>
      </c>
      <c r="L21" s="217">
        <f>L6/$S6</f>
        <v>0.26050131624127276</v>
      </c>
      <c r="M21" s="218">
        <f t="shared" ref="M21:S21" si="13">M6/$S6</f>
        <v>0.23356606005112357</v>
      </c>
      <c r="N21" s="219">
        <f t="shared" si="13"/>
        <v>0.19358284689634123</v>
      </c>
      <c r="O21" s="220">
        <f t="shared" si="13"/>
        <v>8.1950326198924117E-2</v>
      </c>
      <c r="P21" s="221">
        <f t="shared" si="13"/>
        <v>0.10796993628629202</v>
      </c>
      <c r="Q21" s="222">
        <f t="shared" si="13"/>
        <v>8.8169089313646948E-2</v>
      </c>
      <c r="R21" s="223">
        <f t="shared" si="13"/>
        <v>3.4260425012399377E-2</v>
      </c>
      <c r="S21" s="224">
        <f t="shared" si="13"/>
        <v>1</v>
      </c>
      <c r="U21" s="12">
        <v>2006</v>
      </c>
      <c r="V21" s="217">
        <f>V6/$AC6</f>
        <v>0.27636480153803022</v>
      </c>
      <c r="W21" s="218">
        <f t="shared" ref="W21:AC21" si="14">W6/$AC6</f>
        <v>0.20050466615933032</v>
      </c>
      <c r="X21" s="219">
        <f t="shared" si="14"/>
        <v>0.21968999078783996</v>
      </c>
      <c r="Y21" s="220">
        <f t="shared" si="14"/>
        <v>7.0493050827091758E-2</v>
      </c>
      <c r="Z21" s="221">
        <f t="shared" si="14"/>
        <v>0.10638042215724756</v>
      </c>
      <c r="AA21" s="222">
        <f t="shared" si="14"/>
        <v>8.8556895101534028E-2</v>
      </c>
      <c r="AB21" s="223">
        <f t="shared" si="14"/>
        <v>3.7970120559138065E-2</v>
      </c>
      <c r="AC21" s="224">
        <f t="shared" si="14"/>
        <v>1</v>
      </c>
      <c r="AE21" s="12">
        <v>2006</v>
      </c>
      <c r="AF21" s="217">
        <f>(L21*$S6+V21*$AC6)/$I6</f>
        <v>0.25430699121929534</v>
      </c>
      <c r="AG21" s="218">
        <f t="shared" ref="AG21:AM21" si="15">(M21*$S6+W21*$AC6)/$I6</f>
        <v>0.20614278833685304</v>
      </c>
      <c r="AH21" s="219">
        <f t="shared" si="15"/>
        <v>0.19560223778296471</v>
      </c>
      <c r="AI21" s="220">
        <f t="shared" si="15"/>
        <v>7.2394501870994041E-2</v>
      </c>
      <c r="AJ21" s="221">
        <f t="shared" si="15"/>
        <v>0.10162646808195325</v>
      </c>
      <c r="AK21" s="222">
        <f t="shared" si="15"/>
        <v>8.3768663628616943E-2</v>
      </c>
      <c r="AL21" s="223">
        <f t="shared" si="15"/>
        <v>3.4196584046534036E-2</v>
      </c>
      <c r="AM21" s="224">
        <f t="shared" si="15"/>
        <v>0.94805675966062763</v>
      </c>
    </row>
    <row r="22" spans="1:39" s="103" customFormat="1">
      <c r="A22" s="23">
        <v>2007</v>
      </c>
      <c r="B22" s="39" t="s">
        <v>56</v>
      </c>
      <c r="C22" s="32"/>
      <c r="D22" s="32"/>
      <c r="E22" s="32"/>
      <c r="F22" s="32"/>
      <c r="G22" s="32"/>
      <c r="H22" s="32"/>
      <c r="I22" s="34"/>
      <c r="K22" s="12">
        <v>2007</v>
      </c>
      <c r="L22" s="217">
        <f t="shared" ref="L22:S22" si="16">L7/$S7</f>
        <v>0.26087607077394981</v>
      </c>
      <c r="M22" s="218">
        <f t="shared" si="16"/>
        <v>0.23102532450529309</v>
      </c>
      <c r="N22" s="219">
        <f t="shared" si="16"/>
        <v>0.19092507387872668</v>
      </c>
      <c r="O22" s="220">
        <f t="shared" si="16"/>
        <v>7.8554595443833461E-2</v>
      </c>
      <c r="P22" s="221">
        <f t="shared" si="16"/>
        <v>0.11079938652601654</v>
      </c>
      <c r="Q22" s="222">
        <f t="shared" si="16"/>
        <v>9.2357760071821338E-2</v>
      </c>
      <c r="R22" s="223">
        <f t="shared" si="16"/>
        <v>3.5461788800359106E-2</v>
      </c>
      <c r="S22" s="224">
        <f t="shared" si="16"/>
        <v>1</v>
      </c>
      <c r="U22" s="12">
        <v>2007</v>
      </c>
      <c r="V22" s="217">
        <f t="shared" ref="V22:AC22" si="17">V7/$AC7</f>
        <v>0.27885646217986898</v>
      </c>
      <c r="W22" s="218">
        <f t="shared" si="17"/>
        <v>0.19706174310105221</v>
      </c>
      <c r="X22" s="219">
        <f t="shared" si="17"/>
        <v>0.21584276354973198</v>
      </c>
      <c r="Y22" s="220">
        <f t="shared" si="17"/>
        <v>6.7857851895969823E-2</v>
      </c>
      <c r="Z22" s="221">
        <f t="shared" si="17"/>
        <v>0.10883462378399841</v>
      </c>
      <c r="AA22" s="222">
        <f t="shared" si="17"/>
        <v>9.223744292237443E-2</v>
      </c>
      <c r="AB22" s="223">
        <f t="shared" si="17"/>
        <v>3.9309112567004166E-2</v>
      </c>
      <c r="AC22" s="224">
        <f t="shared" si="17"/>
        <v>1</v>
      </c>
      <c r="AE22" s="12">
        <v>2007</v>
      </c>
      <c r="AF22" s="217">
        <f t="shared" ref="AF22:AF31" si="18">(L22*$S7+V22*$AC7)/$I7</f>
        <v>0.25580715316994718</v>
      </c>
      <c r="AG22" s="218">
        <f t="shared" ref="AG22:AG31" si="19">(M22*$S7+W22*$AC7)/$I7</f>
        <v>0.2035747573880147</v>
      </c>
      <c r="AH22" s="219">
        <f t="shared" ref="AH22:AH31" si="20">(N22*$S7+X22*$AC7)/$I7</f>
        <v>0.19262751978361387</v>
      </c>
      <c r="AI22" s="220">
        <f t="shared" ref="AI22:AI31" si="21">(O22*$S7+Y22*$AC7)/$I7</f>
        <v>6.9612734616298411E-2</v>
      </c>
      <c r="AJ22" s="221">
        <f t="shared" ref="AJ22:AJ31" si="22">(P22*$S7+Z22*$AC7)/$I7</f>
        <v>0.10422720543889467</v>
      </c>
      <c r="AK22" s="222">
        <f t="shared" ref="AK22:AK31" si="23">(Q22*$S7+AA22*$AC7)/$I7</f>
        <v>8.7577900835206612E-2</v>
      </c>
      <c r="AL22" s="223">
        <f t="shared" ref="AL22:AL31" si="24">(R22*$S7+AB22*$AC7)/$I7</f>
        <v>3.5418608476341908E-2</v>
      </c>
      <c r="AM22" s="224">
        <f t="shared" ref="AM22:AM31" si="25">(S22*$S7+AC22*$AC7)/$I7</f>
        <v>0.94884587970831735</v>
      </c>
    </row>
    <row r="23" spans="1:39" s="103" customFormat="1">
      <c r="A23" s="23">
        <v>2008</v>
      </c>
      <c r="B23" s="32" t="s">
        <v>57</v>
      </c>
      <c r="C23" s="32"/>
      <c r="D23" s="32"/>
      <c r="E23" s="32"/>
      <c r="F23" s="32"/>
      <c r="G23" s="32"/>
      <c r="H23" s="32"/>
      <c r="I23" s="34"/>
      <c r="K23" s="12">
        <v>2008</v>
      </c>
      <c r="L23" s="217">
        <f t="shared" ref="L23:S23" si="26">L8/$S8</f>
        <v>0.26475578498971158</v>
      </c>
      <c r="M23" s="218">
        <f t="shared" si="26"/>
        <v>0.22526262589798202</v>
      </c>
      <c r="N23" s="219">
        <f t="shared" si="26"/>
        <v>0.19215912782932024</v>
      </c>
      <c r="O23" s="220">
        <f t="shared" si="26"/>
        <v>7.4185047471210422E-2</v>
      </c>
      <c r="P23" s="221">
        <f t="shared" si="26"/>
        <v>0.11194541713295549</v>
      </c>
      <c r="Q23" s="222">
        <f t="shared" si="26"/>
        <v>9.5520017327894294E-2</v>
      </c>
      <c r="R23" s="223">
        <f t="shared" si="26"/>
        <v>3.6171979350925962E-2</v>
      </c>
      <c r="S23" s="224">
        <f t="shared" si="26"/>
        <v>1</v>
      </c>
      <c r="U23" s="12">
        <v>2008</v>
      </c>
      <c r="V23" s="217">
        <f t="shared" ref="V23:AC23" si="27">V8/$AC8</f>
        <v>0.28723612579798691</v>
      </c>
      <c r="W23" s="218">
        <f t="shared" si="27"/>
        <v>0.18940195041710728</v>
      </c>
      <c r="X23" s="219">
        <f t="shared" si="27"/>
        <v>0.21771824697450359</v>
      </c>
      <c r="Y23" s="220">
        <f t="shared" si="27"/>
        <v>6.364312850037207E-2</v>
      </c>
      <c r="Z23" s="221">
        <f t="shared" si="27"/>
        <v>0.1082912309560177</v>
      </c>
      <c r="AA23" s="222">
        <f t="shared" si="27"/>
        <v>9.3917675165472128E-2</v>
      </c>
      <c r="AB23" s="223">
        <f t="shared" si="27"/>
        <v>3.9830807190694394E-2</v>
      </c>
      <c r="AC23" s="224">
        <f t="shared" si="27"/>
        <v>1</v>
      </c>
      <c r="AE23" s="12">
        <v>2008</v>
      </c>
      <c r="AF23" s="217">
        <f t="shared" si="18"/>
        <v>0.26263675267238445</v>
      </c>
      <c r="AG23" s="218">
        <f t="shared" si="19"/>
        <v>0.19832047127074792</v>
      </c>
      <c r="AH23" s="219">
        <f t="shared" si="20"/>
        <v>0.19484681910150584</v>
      </c>
      <c r="AI23" s="220">
        <f t="shared" si="21"/>
        <v>6.5891958674282436E-2</v>
      </c>
      <c r="AJ23" s="221">
        <f t="shared" si="22"/>
        <v>0.10503321456069044</v>
      </c>
      <c r="AK23" s="222">
        <f t="shared" si="23"/>
        <v>9.0314956400293647E-2</v>
      </c>
      <c r="AL23" s="223">
        <f t="shared" si="24"/>
        <v>3.615105015309137E-2</v>
      </c>
      <c r="AM23" s="224">
        <f t="shared" si="25"/>
        <v>0.95317731740944334</v>
      </c>
    </row>
    <row r="24" spans="1:39" s="103" customFormat="1">
      <c r="A24" s="23">
        <v>2009</v>
      </c>
      <c r="B24" s="33"/>
      <c r="C24" s="33"/>
      <c r="D24" s="33"/>
      <c r="E24" s="33"/>
      <c r="F24" s="33"/>
      <c r="G24" s="33"/>
      <c r="H24" s="33"/>
      <c r="I24" s="34"/>
      <c r="K24" s="12">
        <v>2009</v>
      </c>
      <c r="L24" s="217">
        <f t="shared" ref="L24:S24" si="28">L9/$S9</f>
        <v>0.25336322869955158</v>
      </c>
      <c r="M24" s="218">
        <f t="shared" si="28"/>
        <v>0.23612668161434977</v>
      </c>
      <c r="N24" s="219">
        <f t="shared" si="28"/>
        <v>0.18721973094170405</v>
      </c>
      <c r="O24" s="220">
        <f t="shared" si="28"/>
        <v>7.5917881165919285E-2</v>
      </c>
      <c r="P24" s="221">
        <f t="shared" si="28"/>
        <v>0.10979540358744394</v>
      </c>
      <c r="Q24" s="222">
        <f t="shared" si="28"/>
        <v>9.68329596412556E-2</v>
      </c>
      <c r="R24" s="223">
        <f t="shared" si="28"/>
        <v>4.077914798206278E-2</v>
      </c>
      <c r="S24" s="224">
        <f t="shared" si="28"/>
        <v>1</v>
      </c>
      <c r="U24" s="12">
        <v>2009</v>
      </c>
      <c r="V24" s="217">
        <f t="shared" ref="V24:AC24" si="29">V9/$AC9</f>
        <v>0.28030535522479666</v>
      </c>
      <c r="W24" s="218">
        <f t="shared" si="29"/>
        <v>0.19575725026852847</v>
      </c>
      <c r="X24" s="219">
        <f t="shared" si="29"/>
        <v>0.21263618229246586</v>
      </c>
      <c r="Y24" s="220">
        <f t="shared" si="29"/>
        <v>6.287402178916679E-2</v>
      </c>
      <c r="Z24" s="221">
        <f t="shared" si="29"/>
        <v>0.10810188737148994</v>
      </c>
      <c r="AA24" s="222">
        <f t="shared" si="29"/>
        <v>9.663188583704159E-2</v>
      </c>
      <c r="AB24" s="223">
        <f t="shared" si="29"/>
        <v>4.3693417216510662E-2</v>
      </c>
      <c r="AC24" s="224">
        <f t="shared" si="29"/>
        <v>1</v>
      </c>
      <c r="AE24" s="12">
        <v>2009</v>
      </c>
      <c r="AF24" s="217">
        <f t="shared" si="18"/>
        <v>0.25184043235003722</v>
      </c>
      <c r="AG24" s="218">
        <f t="shared" si="19"/>
        <v>0.20514108537873932</v>
      </c>
      <c r="AH24" s="219">
        <f t="shared" si="20"/>
        <v>0.18858152465746306</v>
      </c>
      <c r="AI24" s="220">
        <f t="shared" si="21"/>
        <v>6.5926451992863455E-2</v>
      </c>
      <c r="AJ24" s="221">
        <f t="shared" si="22"/>
        <v>0.10309885503455682</v>
      </c>
      <c r="AK24" s="222">
        <f t="shared" si="23"/>
        <v>9.1510626872910575E-2</v>
      </c>
      <c r="AL24" s="223">
        <f t="shared" si="24"/>
        <v>3.9891912490689581E-2</v>
      </c>
      <c r="AM24" s="224">
        <f t="shared" si="25"/>
        <v>0.94597356706102442</v>
      </c>
    </row>
    <row r="25" spans="1:39" s="103" customFormat="1">
      <c r="A25" s="23">
        <v>2010</v>
      </c>
      <c r="B25" s="32"/>
      <c r="C25" s="32"/>
      <c r="D25" s="32"/>
      <c r="E25" s="32"/>
      <c r="F25" s="32"/>
      <c r="G25" s="32"/>
      <c r="H25" s="32"/>
      <c r="I25" s="34"/>
      <c r="K25" s="12">
        <v>2010</v>
      </c>
      <c r="L25" s="217">
        <f t="shared" ref="L25:S25" si="30">L10/$S10</f>
        <v>0.24963452836756003</v>
      </c>
      <c r="M25" s="218">
        <f t="shared" si="30"/>
        <v>0.24187260703097807</v>
      </c>
      <c r="N25" s="219">
        <f t="shared" si="30"/>
        <v>0.18374521406195615</v>
      </c>
      <c r="O25" s="220">
        <f t="shared" si="30"/>
        <v>7.5809258614688485E-2</v>
      </c>
      <c r="P25" s="221">
        <f t="shared" si="30"/>
        <v>0.10452488687782806</v>
      </c>
      <c r="Q25" s="222">
        <f t="shared" si="30"/>
        <v>9.7981204316045942E-2</v>
      </c>
      <c r="R25" s="223">
        <f t="shared" si="30"/>
        <v>4.6397493908806126E-2</v>
      </c>
      <c r="S25" s="224">
        <f t="shared" si="30"/>
        <v>1</v>
      </c>
      <c r="U25" s="12">
        <v>2010</v>
      </c>
      <c r="V25" s="217">
        <f t="shared" ref="V25:AC25" si="31">V10/$AC10</f>
        <v>0.27999695075468822</v>
      </c>
      <c r="W25" s="218">
        <f t="shared" si="31"/>
        <v>0.19648574477816741</v>
      </c>
      <c r="X25" s="219">
        <f t="shared" si="31"/>
        <v>0.21161762463790212</v>
      </c>
      <c r="Y25" s="220">
        <f t="shared" si="31"/>
        <v>6.0679981704528131E-2</v>
      </c>
      <c r="Z25" s="221">
        <f t="shared" si="31"/>
        <v>0.10458911419423693</v>
      </c>
      <c r="AA25" s="222">
        <f t="shared" si="31"/>
        <v>9.8604970269858205E-2</v>
      </c>
      <c r="AB25" s="223">
        <f t="shared" si="31"/>
        <v>4.8063729227016315E-2</v>
      </c>
      <c r="AC25" s="224">
        <f t="shared" si="31"/>
        <v>1</v>
      </c>
      <c r="AE25" s="12">
        <v>2010</v>
      </c>
      <c r="AF25" s="217">
        <f t="shared" si="18"/>
        <v>0.24861291869306118</v>
      </c>
      <c r="AG25" s="218">
        <f t="shared" si="19"/>
        <v>0.20727447085416809</v>
      </c>
      <c r="AH25" s="219">
        <f t="shared" si="20"/>
        <v>0.1854750325364751</v>
      </c>
      <c r="AI25" s="220">
        <f t="shared" si="21"/>
        <v>6.4559216384683885E-2</v>
      </c>
      <c r="AJ25" s="221">
        <f t="shared" si="22"/>
        <v>9.8414274950339067E-2</v>
      </c>
      <c r="AK25" s="222">
        <f t="shared" si="23"/>
        <v>9.2506336050414417E-2</v>
      </c>
      <c r="AL25" s="223">
        <f t="shared" si="24"/>
        <v>4.4420850743201588E-2</v>
      </c>
      <c r="AM25" s="224">
        <f t="shared" si="25"/>
        <v>0.94126310021234327</v>
      </c>
    </row>
    <row r="26" spans="1:39" s="103" customFormat="1">
      <c r="A26" s="23">
        <v>2011</v>
      </c>
      <c r="B26" s="26">
        <v>0.23</v>
      </c>
      <c r="C26" s="26">
        <v>0.19</v>
      </c>
      <c r="D26" s="26">
        <v>7.0000000000000007E-2</v>
      </c>
      <c r="E26" s="26">
        <v>0.1</v>
      </c>
      <c r="F26" s="26">
        <v>0.1</v>
      </c>
      <c r="G26" s="26">
        <v>0.25</v>
      </c>
      <c r="H26" s="26">
        <v>0.06</v>
      </c>
      <c r="I26" s="27">
        <f t="shared" ref="I26:I31" si="32">SUM(B26:H26)</f>
        <v>1</v>
      </c>
      <c r="K26" s="12">
        <v>2011</v>
      </c>
      <c r="L26" s="217">
        <f t="shared" ref="L26:S26" si="33">L11/$S11</f>
        <v>0.24089020160043961</v>
      </c>
      <c r="M26" s="218">
        <f t="shared" si="33"/>
        <v>0.24731256654188274</v>
      </c>
      <c r="N26" s="219">
        <f t="shared" si="33"/>
        <v>0.1805131023113645</v>
      </c>
      <c r="O26" s="220">
        <f t="shared" si="33"/>
        <v>7.5694611395404746E-2</v>
      </c>
      <c r="P26" s="221">
        <f t="shared" si="33"/>
        <v>9.9289075110760031E-2</v>
      </c>
      <c r="Q26" s="222">
        <f t="shared" si="33"/>
        <v>0.10114366177834255</v>
      </c>
      <c r="R26" s="223">
        <f t="shared" si="33"/>
        <v>5.5156781261805815E-2</v>
      </c>
      <c r="S26" s="224">
        <f t="shared" si="33"/>
        <v>1</v>
      </c>
      <c r="U26" s="12">
        <v>2011</v>
      </c>
      <c r="V26" s="217">
        <f t="shared" ref="V26:AC26" si="34">V11/$AC11</f>
        <v>0.27799079754601225</v>
      </c>
      <c r="W26" s="218">
        <f t="shared" si="34"/>
        <v>0.19532208588957056</v>
      </c>
      <c r="X26" s="219">
        <f t="shared" si="34"/>
        <v>0.21138803680981594</v>
      </c>
      <c r="Y26" s="220">
        <f t="shared" si="34"/>
        <v>5.8550613496932517E-2</v>
      </c>
      <c r="Z26" s="221">
        <f t="shared" si="34"/>
        <v>0.10046012269938651</v>
      </c>
      <c r="AA26" s="222">
        <f t="shared" si="34"/>
        <v>0.10226226993865031</v>
      </c>
      <c r="AB26" s="223">
        <f t="shared" si="34"/>
        <v>5.3987730061349694E-2</v>
      </c>
      <c r="AC26" s="224">
        <f t="shared" si="34"/>
        <v>1</v>
      </c>
      <c r="AE26" s="12">
        <v>2011</v>
      </c>
      <c r="AF26" s="217">
        <f t="shared" si="18"/>
        <v>0.24247781593173087</v>
      </c>
      <c r="AG26" s="218">
        <f t="shared" si="19"/>
        <v>0.20900622173868696</v>
      </c>
      <c r="AH26" s="219">
        <f t="shared" si="20"/>
        <v>0.18306531125692721</v>
      </c>
      <c r="AI26" s="220">
        <f t="shared" si="21"/>
        <v>6.3424336177880528E-2</v>
      </c>
      <c r="AJ26" s="221">
        <f t="shared" si="22"/>
        <v>9.3683065311256933E-2</v>
      </c>
      <c r="AK26" s="222">
        <f t="shared" si="23"/>
        <v>9.5399993200285582E-2</v>
      </c>
      <c r="AL26" s="223">
        <f t="shared" si="24"/>
        <v>5.1235848094380039E-2</v>
      </c>
      <c r="AM26" s="224">
        <f t="shared" si="25"/>
        <v>0.93830959099717814</v>
      </c>
    </row>
    <row r="27" spans="1:39" s="103" customFormat="1">
      <c r="A27" s="23">
        <v>2012</v>
      </c>
      <c r="B27" s="26">
        <v>0.23</v>
      </c>
      <c r="C27" s="26">
        <v>0.19</v>
      </c>
      <c r="D27" s="26">
        <v>7.0000000000000007E-2</v>
      </c>
      <c r="E27" s="26">
        <v>0.09</v>
      </c>
      <c r="F27" s="26">
        <v>0.1</v>
      </c>
      <c r="G27" s="26">
        <v>0.26</v>
      </c>
      <c r="H27" s="26">
        <v>0.06</v>
      </c>
      <c r="I27" s="27">
        <f t="shared" si="32"/>
        <v>1</v>
      </c>
      <c r="K27" s="12">
        <v>2012</v>
      </c>
      <c r="L27" s="217">
        <f t="shared" ref="L27:S27" si="35">L12/$S12</f>
        <v>0.23042230422304222</v>
      </c>
      <c r="M27" s="218">
        <f t="shared" si="35"/>
        <v>0.25160584939182723</v>
      </c>
      <c r="N27" s="219">
        <f t="shared" si="35"/>
        <v>0.17428590952576192</v>
      </c>
      <c r="O27" s="220">
        <f t="shared" si="35"/>
        <v>7.5440754407544081E-2</v>
      </c>
      <c r="P27" s="221">
        <f t="shared" si="35"/>
        <v>9.3720103867705337E-2</v>
      </c>
      <c r="Q27" s="222">
        <f t="shared" si="35"/>
        <v>0.10588355883558835</v>
      </c>
      <c r="R27" s="223">
        <f t="shared" si="35"/>
        <v>6.8607352740194069E-2</v>
      </c>
      <c r="S27" s="224">
        <f t="shared" si="35"/>
        <v>1</v>
      </c>
      <c r="U27" s="12">
        <v>2012</v>
      </c>
      <c r="V27" s="217">
        <f t="shared" ref="V27:AC27" si="36">V12/$AC12</f>
        <v>0.27191534073851698</v>
      </c>
      <c r="W27" s="218">
        <f t="shared" si="36"/>
        <v>0.19479885920144102</v>
      </c>
      <c r="X27" s="219">
        <f t="shared" si="36"/>
        <v>0.20722005403782648</v>
      </c>
      <c r="Y27" s="220">
        <f t="shared" si="36"/>
        <v>5.7452716901831284E-2</v>
      </c>
      <c r="Z27" s="221">
        <f t="shared" si="36"/>
        <v>9.6179825878114675E-2</v>
      </c>
      <c r="AA27" s="222">
        <f t="shared" si="36"/>
        <v>0.10961422996097268</v>
      </c>
      <c r="AB27" s="223">
        <f t="shared" si="36"/>
        <v>6.2781447012909039E-2</v>
      </c>
      <c r="AC27" s="224">
        <f t="shared" si="36"/>
        <v>1</v>
      </c>
      <c r="AE27" s="12">
        <v>2012</v>
      </c>
      <c r="AF27" s="217">
        <f t="shared" si="18"/>
        <v>0.23343122205165856</v>
      </c>
      <c r="AG27" s="218">
        <f t="shared" si="19"/>
        <v>0.20948741907495161</v>
      </c>
      <c r="AH27" s="219">
        <f t="shared" si="20"/>
        <v>0.17725088433558031</v>
      </c>
      <c r="AI27" s="220">
        <f t="shared" si="21"/>
        <v>6.2387372355336049E-2</v>
      </c>
      <c r="AJ27" s="221">
        <f t="shared" si="22"/>
        <v>8.8533671494360269E-2</v>
      </c>
      <c r="AK27" s="222">
        <f t="shared" si="23"/>
        <v>0.10044717346325836</v>
      </c>
      <c r="AL27" s="223">
        <f t="shared" si="24"/>
        <v>6.1419608890075417E-2</v>
      </c>
      <c r="AM27" s="224">
        <f t="shared" si="25"/>
        <v>0.93299072281919504</v>
      </c>
    </row>
    <row r="28" spans="1:39" s="103" customFormat="1">
      <c r="A28" s="23">
        <v>2013</v>
      </c>
      <c r="B28" s="26">
        <v>0.21</v>
      </c>
      <c r="C28" s="26">
        <v>0.19</v>
      </c>
      <c r="D28" s="26">
        <v>7.0000000000000007E-2</v>
      </c>
      <c r="E28" s="26">
        <v>0.09</v>
      </c>
      <c r="F28" s="26">
        <v>0.11</v>
      </c>
      <c r="G28" s="26">
        <v>0.26</v>
      </c>
      <c r="H28" s="26">
        <v>7.0000000000000007E-2</v>
      </c>
      <c r="I28" s="27">
        <f t="shared" si="32"/>
        <v>1</v>
      </c>
      <c r="K28" s="12">
        <v>2013</v>
      </c>
      <c r="L28" s="217">
        <f t="shared" ref="L28:S28" si="37">L13/$S13</f>
        <v>0.2350124969197733</v>
      </c>
      <c r="M28" s="218">
        <f t="shared" si="37"/>
        <v>0.22906325905586652</v>
      </c>
      <c r="N28" s="219">
        <f t="shared" si="37"/>
        <v>0.1793219980990601</v>
      </c>
      <c r="O28" s="220">
        <f t="shared" si="37"/>
        <v>7.3819833139719085E-2</v>
      </c>
      <c r="P28" s="221">
        <f t="shared" si="37"/>
        <v>9.3814904776991587E-2</v>
      </c>
      <c r="Q28" s="222">
        <f t="shared" si="37"/>
        <v>0.11307072200513958</v>
      </c>
      <c r="R28" s="223">
        <f t="shared" si="37"/>
        <v>7.5861583412539166E-2</v>
      </c>
      <c r="S28" s="224">
        <f t="shared" si="37"/>
        <v>1</v>
      </c>
      <c r="U28" s="12">
        <v>2013</v>
      </c>
      <c r="V28" s="217">
        <f t="shared" ref="V28:AC28" si="38">V13/$AC13</f>
        <v>0.2761079589020089</v>
      </c>
      <c r="W28" s="218">
        <f t="shared" si="38"/>
        <v>0.17585493022542556</v>
      </c>
      <c r="X28" s="219">
        <f t="shared" si="38"/>
        <v>0.21108725655574298</v>
      </c>
      <c r="Y28" s="220">
        <f t="shared" si="38"/>
        <v>5.6394724735470018E-2</v>
      </c>
      <c r="Z28" s="221">
        <f t="shared" si="38"/>
        <v>9.5652507284158875E-2</v>
      </c>
      <c r="AA28" s="222">
        <f t="shared" si="38"/>
        <v>0.11685324336758166</v>
      </c>
      <c r="AB28" s="223">
        <f t="shared" si="38"/>
        <v>6.804937892961202E-2</v>
      </c>
      <c r="AC28" s="224">
        <f t="shared" si="38"/>
        <v>1</v>
      </c>
      <c r="AE28" s="12">
        <v>2013</v>
      </c>
      <c r="AF28" s="217">
        <f t="shared" si="18"/>
        <v>0.23766140356885981</v>
      </c>
      <c r="AG28" s="218">
        <f t="shared" si="19"/>
        <v>0.18998527245949925</v>
      </c>
      <c r="AH28" s="219">
        <f t="shared" si="20"/>
        <v>0.18152549919512279</v>
      </c>
      <c r="AI28" s="220">
        <f t="shared" si="21"/>
        <v>6.1102168030962085E-2</v>
      </c>
      <c r="AJ28" s="221">
        <f t="shared" si="22"/>
        <v>8.8365243004418267E-2</v>
      </c>
      <c r="AK28" s="222">
        <f t="shared" si="23"/>
        <v>0.10720279480768573</v>
      </c>
      <c r="AL28" s="223">
        <f t="shared" si="24"/>
        <v>6.7301435078946467E-2</v>
      </c>
      <c r="AM28" s="224">
        <f t="shared" si="25"/>
        <v>0.9331609411925883</v>
      </c>
    </row>
    <row r="29" spans="1:39" s="103" customFormat="1">
      <c r="A29" s="23">
        <v>2014</v>
      </c>
      <c r="B29" s="26">
        <v>0.25</v>
      </c>
      <c r="C29" s="26">
        <v>0.18</v>
      </c>
      <c r="D29" s="26">
        <v>0.06</v>
      </c>
      <c r="E29" s="26">
        <v>0.09</v>
      </c>
      <c r="F29" s="26">
        <v>0.1</v>
      </c>
      <c r="G29" s="26">
        <v>0.25</v>
      </c>
      <c r="H29" s="26">
        <v>7.0000000000000007E-2</v>
      </c>
      <c r="I29" s="27">
        <f t="shared" si="32"/>
        <v>1</v>
      </c>
      <c r="K29" s="12">
        <v>2014</v>
      </c>
      <c r="L29" s="217">
        <f t="shared" ref="L29:S29" si="39">L14/$S14</f>
        <v>0.21935695538057742</v>
      </c>
      <c r="M29" s="218">
        <f t="shared" si="39"/>
        <v>0.27641076115485563</v>
      </c>
      <c r="N29" s="219">
        <f t="shared" si="39"/>
        <v>0.16758530183727033</v>
      </c>
      <c r="O29" s="220">
        <f t="shared" si="39"/>
        <v>6.8372703412073493E-2</v>
      </c>
      <c r="P29" s="221">
        <f t="shared" si="39"/>
        <v>9.3208661417322841E-2</v>
      </c>
      <c r="Q29" s="222">
        <f t="shared" si="39"/>
        <v>0.10475721784776904</v>
      </c>
      <c r="R29" s="223">
        <f t="shared" si="39"/>
        <v>7.0308398950131232E-2</v>
      </c>
      <c r="S29" s="224">
        <f t="shared" si="39"/>
        <v>1</v>
      </c>
      <c r="U29" s="12">
        <v>2014</v>
      </c>
      <c r="V29" s="217">
        <f t="shared" ref="V29:AC29" si="40">V14/$AC14</f>
        <v>0.26255841121495327</v>
      </c>
      <c r="W29" s="218">
        <f t="shared" si="40"/>
        <v>0.21331045560747663</v>
      </c>
      <c r="X29" s="219">
        <f t="shared" si="40"/>
        <v>0.20097108644859812</v>
      </c>
      <c r="Y29" s="220">
        <f t="shared" si="40"/>
        <v>5.2971670560747662E-2</v>
      </c>
      <c r="Z29" s="221">
        <f t="shared" si="40"/>
        <v>9.6415011682242993E-2</v>
      </c>
      <c r="AA29" s="222">
        <f t="shared" si="40"/>
        <v>0.10984959112149532</v>
      </c>
      <c r="AB29" s="223">
        <f t="shared" si="40"/>
        <v>6.3960280373831779E-2</v>
      </c>
      <c r="AC29" s="224">
        <f t="shared" si="40"/>
        <v>1</v>
      </c>
      <c r="AE29" s="12">
        <v>2014</v>
      </c>
      <c r="AF29" s="217">
        <f t="shared" si="18"/>
        <v>0.22416410919076077</v>
      </c>
      <c r="AG29" s="218">
        <f t="shared" si="19"/>
        <v>0.23046357615894039</v>
      </c>
      <c r="AH29" s="219">
        <f t="shared" si="20"/>
        <v>0.1714262639315135</v>
      </c>
      <c r="AI29" s="220">
        <f t="shared" si="21"/>
        <v>5.7099014698756258E-2</v>
      </c>
      <c r="AJ29" s="221">
        <f t="shared" si="22"/>
        <v>8.854789210143757E-2</v>
      </c>
      <c r="AK29" s="222">
        <f t="shared" si="23"/>
        <v>0.10017767727346148</v>
      </c>
      <c r="AL29" s="223">
        <f t="shared" si="24"/>
        <v>6.2913907284768214E-2</v>
      </c>
      <c r="AM29" s="224">
        <f t="shared" si="25"/>
        <v>0.93477628816023262</v>
      </c>
    </row>
    <row r="30" spans="1:39" s="103" customFormat="1">
      <c r="A30" s="23">
        <v>2015</v>
      </c>
      <c r="B30" s="26">
        <v>0.25</v>
      </c>
      <c r="C30" s="26">
        <v>0.18</v>
      </c>
      <c r="D30" s="26">
        <v>0.06</v>
      </c>
      <c r="E30" s="26">
        <v>0.1</v>
      </c>
      <c r="F30" s="26">
        <v>0.1</v>
      </c>
      <c r="G30" s="26">
        <v>0.24</v>
      </c>
      <c r="H30" s="26">
        <v>7.0000000000000007E-2</v>
      </c>
      <c r="I30" s="27">
        <f t="shared" si="32"/>
        <v>1</v>
      </c>
      <c r="K30" s="12">
        <v>2015</v>
      </c>
      <c r="L30" s="217">
        <f t="shared" ref="L30:S30" si="41">L15/$S15</f>
        <v>0.2177167381974249</v>
      </c>
      <c r="M30" s="218">
        <f t="shared" si="41"/>
        <v>0.27728755364806867</v>
      </c>
      <c r="N30" s="219">
        <f t="shared" si="41"/>
        <v>0.16418884120171673</v>
      </c>
      <c r="O30" s="220">
        <f t="shared" si="41"/>
        <v>6.8326180257510735E-2</v>
      </c>
      <c r="P30" s="221">
        <f t="shared" si="41"/>
        <v>9.7579399141630899E-2</v>
      </c>
      <c r="Q30" s="222">
        <f t="shared" si="41"/>
        <v>0.10465236051502146</v>
      </c>
      <c r="R30" s="223">
        <f t="shared" si="41"/>
        <v>7.0248927038626605E-2</v>
      </c>
      <c r="S30" s="224">
        <f t="shared" si="41"/>
        <v>1</v>
      </c>
      <c r="U30" s="12">
        <v>2015</v>
      </c>
      <c r="V30" s="217">
        <f t="shared" ref="V30:AC30" si="42">V15/$AC15</f>
        <v>0.26121884691551767</v>
      </c>
      <c r="W30" s="218">
        <f t="shared" si="42"/>
        <v>0.21402682808354817</v>
      </c>
      <c r="X30" s="219">
        <f t="shared" si="42"/>
        <v>0.19829615513955834</v>
      </c>
      <c r="Y30" s="220">
        <f t="shared" si="42"/>
        <v>5.2796771662369686E-2</v>
      </c>
      <c r="Z30" s="221">
        <f t="shared" si="42"/>
        <v>0.10069872585285655</v>
      </c>
      <c r="AA30" s="222">
        <f t="shared" si="42"/>
        <v>0.10933004521167283</v>
      </c>
      <c r="AB30" s="223">
        <f t="shared" si="42"/>
        <v>6.3669992153346039E-2</v>
      </c>
      <c r="AC30" s="224">
        <f t="shared" si="42"/>
        <v>1</v>
      </c>
      <c r="AE30" s="12">
        <v>2015</v>
      </c>
      <c r="AF30" s="217">
        <f t="shared" si="18"/>
        <v>0.22141030325173547</v>
      </c>
      <c r="AG30" s="218">
        <f t="shared" si="19"/>
        <v>0.22924901185770752</v>
      </c>
      <c r="AH30" s="219">
        <f t="shared" si="20"/>
        <v>0.16755239645265221</v>
      </c>
      <c r="AI30" s="220">
        <f t="shared" si="21"/>
        <v>5.6515096157039889E-2</v>
      </c>
      <c r="AJ30" s="221">
        <f t="shared" si="22"/>
        <v>9.1955359218786323E-2</v>
      </c>
      <c r="AK30" s="222">
        <f t="shared" si="23"/>
        <v>9.9212807652705348E-2</v>
      </c>
      <c r="AL30" s="223">
        <f t="shared" si="24"/>
        <v>6.2277875577108316E-2</v>
      </c>
      <c r="AM30" s="224">
        <f t="shared" si="25"/>
        <v>0.92815624273424779</v>
      </c>
    </row>
    <row r="31" spans="1:39" s="103" customFormat="1">
      <c r="A31" s="23">
        <v>2016</v>
      </c>
      <c r="B31" s="26">
        <v>0.25</v>
      </c>
      <c r="C31" s="26">
        <v>0.18</v>
      </c>
      <c r="D31" s="26">
        <v>0.06</v>
      </c>
      <c r="E31" s="26">
        <v>0.09</v>
      </c>
      <c r="F31" s="26">
        <v>0.11</v>
      </c>
      <c r="G31" s="26">
        <v>0.24</v>
      </c>
      <c r="H31" s="26">
        <v>7.0000000000000007E-2</v>
      </c>
      <c r="I31" s="27">
        <f t="shared" si="32"/>
        <v>1</v>
      </c>
      <c r="K31" s="12">
        <v>2016</v>
      </c>
      <c r="L31" s="217">
        <f t="shared" ref="L31:S31" si="43">L16/$S16</f>
        <v>0.21932373530577204</v>
      </c>
      <c r="M31" s="218">
        <f t="shared" si="43"/>
        <v>0.2706709813763043</v>
      </c>
      <c r="N31" s="219">
        <f t="shared" si="43"/>
        <v>0.16820763439439967</v>
      </c>
      <c r="O31" s="220">
        <f t="shared" si="43"/>
        <v>6.9574692907145685E-2</v>
      </c>
      <c r="P31" s="221">
        <f t="shared" si="43"/>
        <v>9.4043059041077792E-2</v>
      </c>
      <c r="Q31" s="222">
        <f t="shared" si="43"/>
        <v>0.10662395984678379</v>
      </c>
      <c r="R31" s="223">
        <f t="shared" si="43"/>
        <v>7.1555937128516711E-2</v>
      </c>
      <c r="S31" s="224">
        <f t="shared" si="43"/>
        <v>1</v>
      </c>
      <c r="U31" s="12">
        <v>2016</v>
      </c>
      <c r="V31" s="217">
        <f t="shared" ref="V31:AC31" si="44">V16/$AC16</f>
        <v>0.26376629611847696</v>
      </c>
      <c r="W31" s="218">
        <f t="shared" si="44"/>
        <v>0.20799940909258779</v>
      </c>
      <c r="X31" s="219">
        <f t="shared" si="44"/>
        <v>0.20164715441149314</v>
      </c>
      <c r="Y31" s="220">
        <f t="shared" si="44"/>
        <v>5.3698711083207153E-2</v>
      </c>
      <c r="Z31" s="221">
        <f t="shared" si="44"/>
        <v>9.6982679026480043E-2</v>
      </c>
      <c r="AA31" s="222">
        <f t="shared" si="44"/>
        <v>0.11120138863241866</v>
      </c>
      <c r="AB31" s="223">
        <f t="shared" si="44"/>
        <v>6.4704361635336258E-2</v>
      </c>
      <c r="AC31" s="224">
        <f t="shared" si="44"/>
        <v>1</v>
      </c>
      <c r="AE31" s="12">
        <v>2016</v>
      </c>
      <c r="AF31" s="217">
        <f t="shared" si="18"/>
        <v>0.2243526099057602</v>
      </c>
      <c r="AG31" s="218">
        <f t="shared" si="19"/>
        <v>0.22508504370188318</v>
      </c>
      <c r="AH31" s="219">
        <f t="shared" si="20"/>
        <v>0.17178013965071046</v>
      </c>
      <c r="AI31" s="220">
        <f t="shared" si="21"/>
        <v>5.7959927733198781E-2</v>
      </c>
      <c r="AJ31" s="221">
        <f t="shared" si="22"/>
        <v>8.9096502221715848E-2</v>
      </c>
      <c r="AK31" s="222">
        <f t="shared" si="23"/>
        <v>0.10156415306238709</v>
      </c>
      <c r="AL31" s="223">
        <f t="shared" si="24"/>
        <v>6.3786845489021637E-2</v>
      </c>
      <c r="AM31" s="224">
        <f t="shared" si="25"/>
        <v>0.9336252217646771</v>
      </c>
    </row>
    <row r="32" spans="1:39" s="103" customFormat="1"/>
    <row r="33" spans="1:39" s="112" customFormat="1">
      <c r="A33" s="215" t="s">
        <v>35</v>
      </c>
    </row>
    <row r="34" spans="1:39" s="103" customFormat="1">
      <c r="A34" s="60" t="s">
        <v>808</v>
      </c>
      <c r="B34" s="24"/>
      <c r="C34" s="24"/>
      <c r="D34" s="24"/>
      <c r="E34" s="24"/>
      <c r="F34" s="24"/>
      <c r="G34" s="24"/>
      <c r="H34" s="24"/>
      <c r="I34" s="25"/>
      <c r="K34" s="60" t="s">
        <v>803</v>
      </c>
      <c r="U34" s="60" t="s">
        <v>805</v>
      </c>
      <c r="AE34" s="60" t="s">
        <v>804</v>
      </c>
    </row>
    <row r="35" spans="1:39" s="103" customFormat="1" ht="20.100000000000001" customHeight="1">
      <c r="A35" s="103" t="s">
        <v>811</v>
      </c>
      <c r="I35" s="103" t="s">
        <v>809</v>
      </c>
      <c r="K35" s="2" t="s">
        <v>13</v>
      </c>
      <c r="L35" s="190" t="s">
        <v>792</v>
      </c>
      <c r="M35" s="191" t="s">
        <v>793</v>
      </c>
      <c r="N35" s="192" t="s">
        <v>794</v>
      </c>
      <c r="O35" s="193" t="s">
        <v>795</v>
      </c>
      <c r="P35" s="194" t="s">
        <v>796</v>
      </c>
      <c r="Q35" s="195" t="s">
        <v>797</v>
      </c>
      <c r="R35" s="196" t="s">
        <v>798</v>
      </c>
      <c r="S35" s="197" t="s">
        <v>17</v>
      </c>
      <c r="U35" s="2" t="s">
        <v>13</v>
      </c>
      <c r="V35" s="190" t="s">
        <v>792</v>
      </c>
      <c r="W35" s="191" t="s">
        <v>793</v>
      </c>
      <c r="X35" s="192" t="s">
        <v>794</v>
      </c>
      <c r="Y35" s="193" t="s">
        <v>795</v>
      </c>
      <c r="Z35" s="194" t="s">
        <v>796</v>
      </c>
      <c r="AA35" s="195" t="s">
        <v>797</v>
      </c>
      <c r="AB35" s="196" t="s">
        <v>798</v>
      </c>
      <c r="AC35" s="197" t="s">
        <v>17</v>
      </c>
      <c r="AE35" s="2" t="s">
        <v>13</v>
      </c>
      <c r="AF35" s="190" t="s">
        <v>792</v>
      </c>
      <c r="AG35" s="191" t="s">
        <v>793</v>
      </c>
      <c r="AH35" s="192" t="s">
        <v>794</v>
      </c>
      <c r="AI35" s="193" t="s">
        <v>795</v>
      </c>
      <c r="AJ35" s="194" t="s">
        <v>796</v>
      </c>
      <c r="AK35" s="195" t="s">
        <v>797</v>
      </c>
      <c r="AL35" s="196" t="s">
        <v>798</v>
      </c>
      <c r="AM35" s="197" t="s">
        <v>17</v>
      </c>
    </row>
    <row r="36" spans="1:39" s="103" customFormat="1">
      <c r="I36" s="103">
        <v>35428</v>
      </c>
      <c r="K36" s="12">
        <v>2006</v>
      </c>
      <c r="L36" s="198">
        <v>1592</v>
      </c>
      <c r="M36" s="199">
        <v>6122</v>
      </c>
      <c r="N36" s="200">
        <v>2123</v>
      </c>
      <c r="O36" s="214">
        <v>2148</v>
      </c>
      <c r="P36" s="202">
        <v>2830</v>
      </c>
      <c r="Q36" s="203">
        <v>2311</v>
      </c>
      <c r="R36" s="204">
        <v>890</v>
      </c>
      <c r="S36" s="205">
        <v>18016</v>
      </c>
      <c r="U36" s="12">
        <v>2006</v>
      </c>
      <c r="V36" s="198">
        <f>B110+L110</f>
        <v>1400</v>
      </c>
      <c r="W36" s="199">
        <f t="shared" ref="W36:AC36" si="45">C110+M110</f>
        <v>5006</v>
      </c>
      <c r="X36" s="200">
        <f t="shared" si="45"/>
        <v>1241</v>
      </c>
      <c r="Y36" s="214">
        <f t="shared" si="45"/>
        <v>1760</v>
      </c>
      <c r="Z36" s="202">
        <f t="shared" si="45"/>
        <v>2656</v>
      </c>
      <c r="AA36" s="203">
        <f t="shared" si="45"/>
        <v>2211</v>
      </c>
      <c r="AB36" s="204">
        <f t="shared" si="45"/>
        <v>903</v>
      </c>
      <c r="AC36" s="205">
        <f t="shared" si="45"/>
        <v>15175</v>
      </c>
      <c r="AE36" s="12">
        <v>2006</v>
      </c>
      <c r="AF36" s="198">
        <f t="shared" ref="AF36:AF46" si="46">L36+V36</f>
        <v>2992</v>
      </c>
      <c r="AG36" s="199">
        <f t="shared" ref="AG36:AG46" si="47">M36+W36</f>
        <v>11128</v>
      </c>
      <c r="AH36" s="200">
        <f t="shared" ref="AH36:AH46" si="48">N36+X36</f>
        <v>3364</v>
      </c>
      <c r="AI36" s="214">
        <f t="shared" ref="AI36:AI46" si="49">O36+Y36</f>
        <v>3908</v>
      </c>
      <c r="AJ36" s="202">
        <f t="shared" ref="AJ36:AJ46" si="50">P36+Z36</f>
        <v>5486</v>
      </c>
      <c r="AK36" s="203">
        <f t="shared" ref="AK36:AK46" si="51">Q36+AA36</f>
        <v>4522</v>
      </c>
      <c r="AL36" s="204">
        <f t="shared" ref="AL36:AL46" si="52">R36+AB36</f>
        <v>1793</v>
      </c>
      <c r="AM36" s="205">
        <f t="shared" ref="AM36:AM46" si="53">S36+AC36</f>
        <v>33191</v>
      </c>
    </row>
    <row r="37" spans="1:39" s="103" customFormat="1">
      <c r="I37" s="103">
        <v>36422</v>
      </c>
      <c r="K37" s="12">
        <v>2007</v>
      </c>
      <c r="L37" s="198">
        <v>1698</v>
      </c>
      <c r="M37" s="199">
        <v>6176</v>
      </c>
      <c r="N37" s="200">
        <v>2271</v>
      </c>
      <c r="O37" s="214">
        <v>2100</v>
      </c>
      <c r="P37" s="202">
        <v>2962</v>
      </c>
      <c r="Q37" s="203">
        <v>2469</v>
      </c>
      <c r="R37" s="204">
        <v>939</v>
      </c>
      <c r="S37" s="205">
        <v>18615</v>
      </c>
      <c r="U37" s="12">
        <v>2007</v>
      </c>
      <c r="V37" s="198">
        <f t="shared" ref="V37:V46" si="54">B111+L111</f>
        <v>1509</v>
      </c>
      <c r="W37" s="199">
        <f t="shared" ref="W37:W46" si="55">C111+M111</f>
        <v>4963</v>
      </c>
      <c r="X37" s="200">
        <f t="shared" ref="X37:X46" si="56">D111+N111</f>
        <v>1399</v>
      </c>
      <c r="Y37" s="214">
        <f t="shared" ref="Y37:Y46" si="57">E111+O111</f>
        <v>1709</v>
      </c>
      <c r="Z37" s="202">
        <f t="shared" ref="Z37:Z46" si="58">F111+P111</f>
        <v>2741</v>
      </c>
      <c r="AA37" s="203">
        <f t="shared" ref="AA37:AA46" si="59">G111+Q111</f>
        <v>2323</v>
      </c>
      <c r="AB37" s="204">
        <f t="shared" ref="AB37:AB46" si="60">H111+R111</f>
        <v>943</v>
      </c>
      <c r="AC37" s="205">
        <f t="shared" ref="AC37:AC46" si="61">I111+S111</f>
        <v>15587</v>
      </c>
      <c r="AE37" s="12">
        <v>2007</v>
      </c>
      <c r="AF37" s="198">
        <f t="shared" si="46"/>
        <v>3207</v>
      </c>
      <c r="AG37" s="199">
        <f t="shared" si="47"/>
        <v>11139</v>
      </c>
      <c r="AH37" s="200">
        <f t="shared" si="48"/>
        <v>3670</v>
      </c>
      <c r="AI37" s="214">
        <f t="shared" si="49"/>
        <v>3809</v>
      </c>
      <c r="AJ37" s="202">
        <f t="shared" si="50"/>
        <v>5703</v>
      </c>
      <c r="AK37" s="203">
        <f t="shared" si="51"/>
        <v>4792</v>
      </c>
      <c r="AL37" s="204">
        <f t="shared" si="52"/>
        <v>1882</v>
      </c>
      <c r="AM37" s="205">
        <f t="shared" si="53"/>
        <v>34202</v>
      </c>
    </row>
    <row r="38" spans="1:39" s="103" customFormat="1">
      <c r="I38" s="103">
        <v>37100</v>
      </c>
      <c r="K38" s="12">
        <v>2008</v>
      </c>
      <c r="L38" s="198">
        <v>1812</v>
      </c>
      <c r="M38" s="199">
        <v>6240</v>
      </c>
      <c r="N38" s="200">
        <v>2431</v>
      </c>
      <c r="O38" s="214">
        <v>2055</v>
      </c>
      <c r="P38" s="202">
        <v>3101</v>
      </c>
      <c r="Q38" s="203">
        <v>2646</v>
      </c>
      <c r="R38" s="204">
        <v>992</v>
      </c>
      <c r="S38" s="205">
        <v>19277</v>
      </c>
      <c r="U38" s="12">
        <v>2008</v>
      </c>
      <c r="V38" s="198">
        <f t="shared" si="54"/>
        <v>1606</v>
      </c>
      <c r="W38" s="199">
        <f t="shared" si="55"/>
        <v>4836</v>
      </c>
      <c r="X38" s="200">
        <f t="shared" si="56"/>
        <v>1541</v>
      </c>
      <c r="Y38" s="214">
        <f t="shared" si="57"/>
        <v>1625</v>
      </c>
      <c r="Z38" s="202">
        <f t="shared" si="58"/>
        <v>2765</v>
      </c>
      <c r="AA38" s="203">
        <f t="shared" si="59"/>
        <v>2398</v>
      </c>
      <c r="AB38" s="204">
        <f t="shared" si="60"/>
        <v>965</v>
      </c>
      <c r="AC38" s="205">
        <f t="shared" si="61"/>
        <v>15736</v>
      </c>
      <c r="AE38" s="12">
        <v>2008</v>
      </c>
      <c r="AF38" s="198">
        <f t="shared" si="46"/>
        <v>3418</v>
      </c>
      <c r="AG38" s="199">
        <f t="shared" si="47"/>
        <v>11076</v>
      </c>
      <c r="AH38" s="200">
        <f t="shared" si="48"/>
        <v>3972</v>
      </c>
      <c r="AI38" s="214">
        <f t="shared" si="49"/>
        <v>3680</v>
      </c>
      <c r="AJ38" s="202">
        <f t="shared" si="50"/>
        <v>5866</v>
      </c>
      <c r="AK38" s="203">
        <f t="shared" si="51"/>
        <v>5044</v>
      </c>
      <c r="AL38" s="204">
        <f t="shared" si="52"/>
        <v>1957</v>
      </c>
      <c r="AM38" s="205">
        <f t="shared" si="53"/>
        <v>35013</v>
      </c>
    </row>
    <row r="39" spans="1:39" s="103" customFormat="1">
      <c r="I39" s="103">
        <v>38972</v>
      </c>
      <c r="K39" s="12">
        <v>2009</v>
      </c>
      <c r="L39" s="198">
        <v>1807</v>
      </c>
      <c r="M39" s="199">
        <v>6740</v>
      </c>
      <c r="N39" s="200">
        <v>2389</v>
      </c>
      <c r="O39" s="214">
        <v>2167</v>
      </c>
      <c r="P39" s="202">
        <v>3134</v>
      </c>
      <c r="Q39" s="203">
        <v>2764</v>
      </c>
      <c r="R39" s="207">
        <v>1158</v>
      </c>
      <c r="S39" s="205">
        <v>20160</v>
      </c>
      <c r="U39" s="12">
        <v>2009</v>
      </c>
      <c r="V39" s="198">
        <f t="shared" si="54"/>
        <v>1660</v>
      </c>
      <c r="W39" s="199">
        <f t="shared" si="55"/>
        <v>5103</v>
      </c>
      <c r="X39" s="200">
        <f t="shared" si="56"/>
        <v>1479</v>
      </c>
      <c r="Y39" s="214">
        <f t="shared" si="57"/>
        <v>1639</v>
      </c>
      <c r="Z39" s="202">
        <f t="shared" si="58"/>
        <v>2818</v>
      </c>
      <c r="AA39" s="203">
        <f t="shared" si="59"/>
        <v>2519</v>
      </c>
      <c r="AB39" s="204">
        <f t="shared" si="60"/>
        <v>1094</v>
      </c>
      <c r="AC39" s="205">
        <f t="shared" si="61"/>
        <v>16312</v>
      </c>
      <c r="AE39" s="12">
        <v>2009</v>
      </c>
      <c r="AF39" s="198">
        <f t="shared" si="46"/>
        <v>3467</v>
      </c>
      <c r="AG39" s="199">
        <f t="shared" si="47"/>
        <v>11843</v>
      </c>
      <c r="AH39" s="200">
        <f t="shared" si="48"/>
        <v>3868</v>
      </c>
      <c r="AI39" s="214">
        <f t="shared" si="49"/>
        <v>3806</v>
      </c>
      <c r="AJ39" s="202">
        <f t="shared" si="50"/>
        <v>5952</v>
      </c>
      <c r="AK39" s="203">
        <f t="shared" si="51"/>
        <v>5283</v>
      </c>
      <c r="AL39" s="204">
        <f t="shared" si="52"/>
        <v>2252</v>
      </c>
      <c r="AM39" s="205">
        <f t="shared" si="53"/>
        <v>36472</v>
      </c>
    </row>
    <row r="40" spans="1:39" s="103" customFormat="1">
      <c r="I40" s="103">
        <v>39344</v>
      </c>
      <c r="K40" s="12">
        <v>2010</v>
      </c>
      <c r="L40" s="198">
        <v>1779</v>
      </c>
      <c r="M40" s="199">
        <v>6949</v>
      </c>
      <c r="N40" s="200">
        <v>2228</v>
      </c>
      <c r="O40" s="214">
        <v>2178</v>
      </c>
      <c r="P40" s="202">
        <v>3003</v>
      </c>
      <c r="Q40" s="203">
        <v>2815</v>
      </c>
      <c r="R40" s="207">
        <v>1330</v>
      </c>
      <c r="S40" s="205">
        <v>20282</v>
      </c>
      <c r="U40" s="12">
        <v>2010</v>
      </c>
      <c r="V40" s="198">
        <f t="shared" si="54"/>
        <v>1671</v>
      </c>
      <c r="W40" s="199">
        <f t="shared" si="55"/>
        <v>5155</v>
      </c>
      <c r="X40" s="200">
        <f t="shared" si="56"/>
        <v>1365</v>
      </c>
      <c r="Y40" s="214">
        <f t="shared" si="57"/>
        <v>1592</v>
      </c>
      <c r="Z40" s="202">
        <f t="shared" si="58"/>
        <v>2744</v>
      </c>
      <c r="AA40" s="203">
        <f t="shared" si="59"/>
        <v>2587</v>
      </c>
      <c r="AB40" s="204">
        <f t="shared" si="60"/>
        <v>1221</v>
      </c>
      <c r="AC40" s="205">
        <f t="shared" si="61"/>
        <v>16334</v>
      </c>
      <c r="AE40" s="12">
        <v>2010</v>
      </c>
      <c r="AF40" s="198">
        <f t="shared" si="46"/>
        <v>3450</v>
      </c>
      <c r="AG40" s="199">
        <f t="shared" si="47"/>
        <v>12104</v>
      </c>
      <c r="AH40" s="200">
        <f t="shared" si="48"/>
        <v>3593</v>
      </c>
      <c r="AI40" s="214">
        <f t="shared" si="49"/>
        <v>3770</v>
      </c>
      <c r="AJ40" s="202">
        <f t="shared" si="50"/>
        <v>5747</v>
      </c>
      <c r="AK40" s="203">
        <f t="shared" si="51"/>
        <v>5402</v>
      </c>
      <c r="AL40" s="204">
        <f t="shared" si="52"/>
        <v>2551</v>
      </c>
      <c r="AM40" s="205">
        <f t="shared" si="53"/>
        <v>36616</v>
      </c>
    </row>
    <row r="41" spans="1:39" s="103" customFormat="1">
      <c r="I41" s="103">
        <v>39872</v>
      </c>
      <c r="K41" s="12">
        <v>2011</v>
      </c>
      <c r="L41" s="198">
        <v>1808</v>
      </c>
      <c r="M41" s="199">
        <v>7201</v>
      </c>
      <c r="N41" s="200">
        <v>2086</v>
      </c>
      <c r="O41" s="214">
        <v>2204</v>
      </c>
      <c r="P41" s="202">
        <v>2891</v>
      </c>
      <c r="Q41" s="203">
        <v>2945</v>
      </c>
      <c r="R41" s="207">
        <v>1604</v>
      </c>
      <c r="S41" s="205">
        <v>20739</v>
      </c>
      <c r="U41" s="12">
        <v>2011</v>
      </c>
      <c r="V41" s="198">
        <f t="shared" si="54"/>
        <v>1668</v>
      </c>
      <c r="W41" s="199">
        <f t="shared" si="55"/>
        <v>5094</v>
      </c>
      <c r="X41" s="200">
        <f t="shared" si="56"/>
        <v>1251</v>
      </c>
      <c r="Y41" s="214">
        <f t="shared" si="57"/>
        <v>1527</v>
      </c>
      <c r="Z41" s="202">
        <f t="shared" si="58"/>
        <v>2620</v>
      </c>
      <c r="AA41" s="203">
        <f t="shared" si="59"/>
        <v>2667</v>
      </c>
      <c r="AB41" s="204">
        <f t="shared" si="60"/>
        <v>1373</v>
      </c>
      <c r="AC41" s="205">
        <f t="shared" si="61"/>
        <v>16201</v>
      </c>
      <c r="AE41" s="12">
        <v>2011</v>
      </c>
      <c r="AF41" s="198">
        <f t="shared" si="46"/>
        <v>3476</v>
      </c>
      <c r="AG41" s="199">
        <f t="shared" si="47"/>
        <v>12295</v>
      </c>
      <c r="AH41" s="200">
        <f t="shared" si="48"/>
        <v>3337</v>
      </c>
      <c r="AI41" s="214">
        <f t="shared" si="49"/>
        <v>3731</v>
      </c>
      <c r="AJ41" s="202">
        <f t="shared" si="50"/>
        <v>5511</v>
      </c>
      <c r="AK41" s="203">
        <f t="shared" si="51"/>
        <v>5612</v>
      </c>
      <c r="AL41" s="204">
        <f t="shared" si="52"/>
        <v>2977</v>
      </c>
      <c r="AM41" s="205">
        <f t="shared" si="53"/>
        <v>36940</v>
      </c>
    </row>
    <row r="42" spans="1:39" s="103" customFormat="1">
      <c r="I42" s="103">
        <v>41189</v>
      </c>
      <c r="K42" s="12">
        <v>2012</v>
      </c>
      <c r="L42" s="198">
        <v>1847</v>
      </c>
      <c r="M42" s="199">
        <v>7364</v>
      </c>
      <c r="N42" s="200">
        <v>1925</v>
      </c>
      <c r="O42" s="214">
        <v>2208</v>
      </c>
      <c r="P42" s="202">
        <v>2743</v>
      </c>
      <c r="Q42" s="203">
        <v>3099</v>
      </c>
      <c r="R42" s="207">
        <v>2007</v>
      </c>
      <c r="S42" s="205">
        <v>21195</v>
      </c>
      <c r="U42" s="12">
        <v>2012</v>
      </c>
      <c r="V42" s="198">
        <f t="shared" si="54"/>
        <v>1725</v>
      </c>
      <c r="W42" s="199">
        <f t="shared" si="55"/>
        <v>5191</v>
      </c>
      <c r="X42" s="200">
        <f t="shared" si="56"/>
        <v>1167</v>
      </c>
      <c r="Y42" s="214">
        <f t="shared" si="57"/>
        <v>1531</v>
      </c>
      <c r="Z42" s="202">
        <f t="shared" si="58"/>
        <v>2563</v>
      </c>
      <c r="AA42" s="203">
        <f t="shared" si="59"/>
        <v>2921</v>
      </c>
      <c r="AB42" s="204">
        <f t="shared" si="60"/>
        <v>1643</v>
      </c>
      <c r="AC42" s="205">
        <f t="shared" si="61"/>
        <v>16742</v>
      </c>
      <c r="AE42" s="12">
        <v>2012</v>
      </c>
      <c r="AF42" s="198">
        <f t="shared" si="46"/>
        <v>3572</v>
      </c>
      <c r="AG42" s="199">
        <f t="shared" si="47"/>
        <v>12555</v>
      </c>
      <c r="AH42" s="200">
        <f t="shared" si="48"/>
        <v>3092</v>
      </c>
      <c r="AI42" s="214">
        <f t="shared" si="49"/>
        <v>3739</v>
      </c>
      <c r="AJ42" s="202">
        <f t="shared" si="50"/>
        <v>5306</v>
      </c>
      <c r="AK42" s="203">
        <f t="shared" si="51"/>
        <v>6020</v>
      </c>
      <c r="AL42" s="204">
        <f t="shared" si="52"/>
        <v>3650</v>
      </c>
      <c r="AM42" s="205">
        <f t="shared" si="53"/>
        <v>37937</v>
      </c>
    </row>
    <row r="43" spans="1:39" s="103" customFormat="1">
      <c r="I43" s="103">
        <v>39941</v>
      </c>
      <c r="K43" s="12">
        <v>2013</v>
      </c>
      <c r="L43" s="198">
        <v>1872</v>
      </c>
      <c r="M43" s="199">
        <v>6507</v>
      </c>
      <c r="N43" s="200">
        <v>1993</v>
      </c>
      <c r="O43" s="214">
        <v>2097</v>
      </c>
      <c r="P43" s="202">
        <v>2665</v>
      </c>
      <c r="Q43" s="203">
        <v>3212</v>
      </c>
      <c r="R43" s="207">
        <v>2155</v>
      </c>
      <c r="S43" s="205">
        <v>20500</v>
      </c>
      <c r="U43" s="12">
        <v>2013</v>
      </c>
      <c r="V43" s="198">
        <f t="shared" si="54"/>
        <v>1752</v>
      </c>
      <c r="W43" s="199">
        <f t="shared" si="55"/>
        <v>4587</v>
      </c>
      <c r="X43" s="200">
        <f t="shared" si="56"/>
        <v>1184</v>
      </c>
      <c r="Y43" s="214">
        <f t="shared" si="57"/>
        <v>1471</v>
      </c>
      <c r="Z43" s="202">
        <f t="shared" si="58"/>
        <v>2495</v>
      </c>
      <c r="AA43" s="203">
        <f t="shared" si="59"/>
        <v>3048</v>
      </c>
      <c r="AB43" s="204">
        <f t="shared" si="60"/>
        <v>1745</v>
      </c>
      <c r="AC43" s="205">
        <f t="shared" si="61"/>
        <v>16283</v>
      </c>
      <c r="AE43" s="12">
        <v>2013</v>
      </c>
      <c r="AF43" s="198">
        <f t="shared" si="46"/>
        <v>3624</v>
      </c>
      <c r="AG43" s="199">
        <f t="shared" si="47"/>
        <v>11094</v>
      </c>
      <c r="AH43" s="200">
        <f t="shared" si="48"/>
        <v>3177</v>
      </c>
      <c r="AI43" s="214">
        <f t="shared" si="49"/>
        <v>3568</v>
      </c>
      <c r="AJ43" s="202">
        <f t="shared" si="50"/>
        <v>5160</v>
      </c>
      <c r="AK43" s="203">
        <f t="shared" si="51"/>
        <v>6260</v>
      </c>
      <c r="AL43" s="204">
        <f t="shared" si="52"/>
        <v>3900</v>
      </c>
      <c r="AM43" s="205">
        <f t="shared" si="53"/>
        <v>36783</v>
      </c>
    </row>
    <row r="44" spans="1:39" s="103" customFormat="1">
      <c r="I44" s="103">
        <v>43415</v>
      </c>
      <c r="K44" s="12">
        <v>2014</v>
      </c>
      <c r="L44" s="198">
        <v>1861</v>
      </c>
      <c r="M44" s="199">
        <v>8425</v>
      </c>
      <c r="N44" s="200">
        <v>1976</v>
      </c>
      <c r="O44" s="214">
        <v>2084</v>
      </c>
      <c r="P44" s="202">
        <v>2841</v>
      </c>
      <c r="Q44" s="203">
        <v>3193</v>
      </c>
      <c r="R44" s="207">
        <v>2142</v>
      </c>
      <c r="S44" s="205">
        <v>22522</v>
      </c>
      <c r="U44" s="12">
        <v>2014</v>
      </c>
      <c r="V44" s="198">
        <f t="shared" si="54"/>
        <v>1729</v>
      </c>
      <c r="W44" s="199">
        <f t="shared" si="55"/>
        <v>5843</v>
      </c>
      <c r="X44" s="200">
        <f t="shared" si="56"/>
        <v>1165</v>
      </c>
      <c r="Y44" s="214">
        <f t="shared" si="57"/>
        <v>1451</v>
      </c>
      <c r="Z44" s="202">
        <f t="shared" si="58"/>
        <v>2641</v>
      </c>
      <c r="AA44" s="203">
        <f t="shared" si="59"/>
        <v>3009</v>
      </c>
      <c r="AB44" s="204">
        <f t="shared" si="60"/>
        <v>1722</v>
      </c>
      <c r="AC44" s="205">
        <f t="shared" si="61"/>
        <v>17560</v>
      </c>
      <c r="AE44" s="12">
        <v>2014</v>
      </c>
      <c r="AF44" s="198">
        <f t="shared" si="46"/>
        <v>3590</v>
      </c>
      <c r="AG44" s="199">
        <f t="shared" si="47"/>
        <v>14268</v>
      </c>
      <c r="AH44" s="200">
        <f t="shared" si="48"/>
        <v>3141</v>
      </c>
      <c r="AI44" s="214">
        <f t="shared" si="49"/>
        <v>3535</v>
      </c>
      <c r="AJ44" s="202">
        <f t="shared" si="50"/>
        <v>5482</v>
      </c>
      <c r="AK44" s="203">
        <f t="shared" si="51"/>
        <v>6202</v>
      </c>
      <c r="AL44" s="204">
        <f t="shared" si="52"/>
        <v>3864</v>
      </c>
      <c r="AM44" s="205">
        <f t="shared" si="53"/>
        <v>40082</v>
      </c>
    </row>
    <row r="45" spans="1:39" s="103" customFormat="1">
      <c r="I45" s="103">
        <v>42368</v>
      </c>
      <c r="K45" s="12">
        <v>2015</v>
      </c>
      <c r="L45" s="198">
        <v>1777</v>
      </c>
      <c r="M45" s="199">
        <v>8076</v>
      </c>
      <c r="N45" s="200">
        <v>1797</v>
      </c>
      <c r="O45" s="214">
        <v>1990</v>
      </c>
      <c r="P45" s="202">
        <v>2842</v>
      </c>
      <c r="Q45" s="203">
        <v>3048</v>
      </c>
      <c r="R45" s="207">
        <v>2045</v>
      </c>
      <c r="S45" s="205">
        <v>21575</v>
      </c>
      <c r="U45" s="12">
        <v>2015</v>
      </c>
      <c r="V45" s="198">
        <f t="shared" si="54"/>
        <v>1683</v>
      </c>
      <c r="W45" s="199">
        <f t="shared" si="55"/>
        <v>5728</v>
      </c>
      <c r="X45" s="200">
        <f t="shared" si="56"/>
        <v>1084</v>
      </c>
      <c r="Y45" s="214">
        <f t="shared" si="57"/>
        <v>1413</v>
      </c>
      <c r="Z45" s="202">
        <f t="shared" si="58"/>
        <v>2695</v>
      </c>
      <c r="AA45" s="203">
        <f t="shared" si="59"/>
        <v>2926</v>
      </c>
      <c r="AB45" s="204">
        <f t="shared" si="60"/>
        <v>1676</v>
      </c>
      <c r="AC45" s="205">
        <f t="shared" si="61"/>
        <v>17204</v>
      </c>
      <c r="AE45" s="12">
        <v>2015</v>
      </c>
      <c r="AF45" s="198">
        <f t="shared" si="46"/>
        <v>3460</v>
      </c>
      <c r="AG45" s="199">
        <f t="shared" si="47"/>
        <v>13804</v>
      </c>
      <c r="AH45" s="200">
        <f t="shared" si="48"/>
        <v>2881</v>
      </c>
      <c r="AI45" s="214">
        <f t="shared" si="49"/>
        <v>3403</v>
      </c>
      <c r="AJ45" s="202">
        <f t="shared" si="50"/>
        <v>5537</v>
      </c>
      <c r="AK45" s="203">
        <f t="shared" si="51"/>
        <v>5974</v>
      </c>
      <c r="AL45" s="204">
        <f t="shared" si="52"/>
        <v>3721</v>
      </c>
      <c r="AM45" s="205">
        <f t="shared" si="53"/>
        <v>38779</v>
      </c>
    </row>
    <row r="46" spans="1:39" s="103" customFormat="1">
      <c r="I46" s="103">
        <v>43120</v>
      </c>
      <c r="K46" s="12">
        <v>2016</v>
      </c>
      <c r="L46" s="198">
        <v>1882</v>
      </c>
      <c r="M46" s="199">
        <v>8197</v>
      </c>
      <c r="N46" s="200">
        <v>1965</v>
      </c>
      <c r="O46" s="214">
        <v>2107</v>
      </c>
      <c r="P46" s="202">
        <v>2848</v>
      </c>
      <c r="Q46" s="203">
        <v>3229</v>
      </c>
      <c r="R46" s="207">
        <v>2166</v>
      </c>
      <c r="S46" s="205">
        <v>22393</v>
      </c>
      <c r="U46" s="12">
        <v>2016</v>
      </c>
      <c r="V46" s="198">
        <f t="shared" si="54"/>
        <v>1733</v>
      </c>
      <c r="W46" s="199">
        <f t="shared" si="55"/>
        <v>5632</v>
      </c>
      <c r="X46" s="200">
        <f t="shared" si="56"/>
        <v>1158</v>
      </c>
      <c r="Y46" s="214">
        <f t="shared" si="57"/>
        <v>1454</v>
      </c>
      <c r="Z46" s="202">
        <f t="shared" si="58"/>
        <v>2626</v>
      </c>
      <c r="AA46" s="203">
        <f t="shared" si="59"/>
        <v>3011</v>
      </c>
      <c r="AB46" s="204">
        <f t="shared" si="60"/>
        <v>1722</v>
      </c>
      <c r="AC46" s="205">
        <f t="shared" si="61"/>
        <v>17337</v>
      </c>
      <c r="AE46" s="12">
        <v>2016</v>
      </c>
      <c r="AF46" s="198">
        <f t="shared" si="46"/>
        <v>3615</v>
      </c>
      <c r="AG46" s="199">
        <f t="shared" si="47"/>
        <v>13829</v>
      </c>
      <c r="AH46" s="200">
        <f t="shared" si="48"/>
        <v>3123</v>
      </c>
      <c r="AI46" s="214">
        <f t="shared" si="49"/>
        <v>3561</v>
      </c>
      <c r="AJ46" s="202">
        <f t="shared" si="50"/>
        <v>5474</v>
      </c>
      <c r="AK46" s="203">
        <f t="shared" si="51"/>
        <v>6240</v>
      </c>
      <c r="AL46" s="204">
        <f t="shared" si="52"/>
        <v>3888</v>
      </c>
      <c r="AM46" s="205">
        <f t="shared" si="53"/>
        <v>39730</v>
      </c>
    </row>
    <row r="47" spans="1:39" s="103" customFormat="1"/>
    <row r="48" spans="1:39" s="103" customFormat="1">
      <c r="A48" s="216" t="s">
        <v>812</v>
      </c>
      <c r="B48" s="26"/>
      <c r="C48" s="26"/>
      <c r="D48" s="26"/>
      <c r="E48" s="26"/>
      <c r="F48" s="26"/>
      <c r="G48" s="26"/>
      <c r="H48" s="26"/>
      <c r="I48" s="26"/>
    </row>
    <row r="49" spans="1:39" s="103" customFormat="1">
      <c r="A49" s="23"/>
      <c r="B49" s="24" t="s">
        <v>21</v>
      </c>
      <c r="C49" s="24" t="s">
        <v>27</v>
      </c>
      <c r="D49" s="24" t="s">
        <v>28</v>
      </c>
      <c r="E49" s="24" t="s">
        <v>29</v>
      </c>
      <c r="F49" s="24" t="s">
        <v>30</v>
      </c>
      <c r="G49" s="24" t="s">
        <v>31</v>
      </c>
      <c r="H49" s="24" t="s">
        <v>33</v>
      </c>
      <c r="I49" s="25" t="s">
        <v>36</v>
      </c>
      <c r="K49" s="60" t="s">
        <v>803</v>
      </c>
      <c r="U49" s="60" t="s">
        <v>805</v>
      </c>
      <c r="AE49" s="60" t="s">
        <v>804</v>
      </c>
    </row>
    <row r="50" spans="1:39" s="103" customFormat="1" ht="27">
      <c r="A50" s="23">
        <v>2005</v>
      </c>
      <c r="B50" s="26">
        <v>0.35</v>
      </c>
      <c r="C50" s="26">
        <v>0.1</v>
      </c>
      <c r="D50" s="26">
        <v>0.12</v>
      </c>
      <c r="E50" s="26">
        <v>0.16</v>
      </c>
      <c r="F50" s="26">
        <v>0.13</v>
      </c>
      <c r="G50" s="26">
        <v>0.09</v>
      </c>
      <c r="H50" s="26">
        <v>0.05</v>
      </c>
      <c r="I50" s="27">
        <f>SUM(B50:H50)</f>
        <v>1</v>
      </c>
      <c r="K50" s="2" t="s">
        <v>13</v>
      </c>
      <c r="L50" s="190" t="s">
        <v>792</v>
      </c>
      <c r="M50" s="191" t="s">
        <v>793</v>
      </c>
      <c r="N50" s="192" t="s">
        <v>794</v>
      </c>
      <c r="O50" s="193" t="s">
        <v>795</v>
      </c>
      <c r="P50" s="194" t="s">
        <v>796</v>
      </c>
      <c r="Q50" s="195" t="s">
        <v>797</v>
      </c>
      <c r="R50" s="196" t="s">
        <v>798</v>
      </c>
      <c r="S50" s="197" t="s">
        <v>17</v>
      </c>
      <c r="U50" s="2" t="s">
        <v>13</v>
      </c>
      <c r="V50" s="190" t="s">
        <v>792</v>
      </c>
      <c r="W50" s="191" t="s">
        <v>793</v>
      </c>
      <c r="X50" s="192" t="s">
        <v>794</v>
      </c>
      <c r="Y50" s="193" t="s">
        <v>795</v>
      </c>
      <c r="Z50" s="194" t="s">
        <v>796</v>
      </c>
      <c r="AA50" s="195" t="s">
        <v>797</v>
      </c>
      <c r="AB50" s="196" t="s">
        <v>798</v>
      </c>
      <c r="AC50" s="197" t="s">
        <v>17</v>
      </c>
      <c r="AE50" s="2" t="s">
        <v>13</v>
      </c>
      <c r="AF50" s="190" t="s">
        <v>792</v>
      </c>
      <c r="AG50" s="191" t="s">
        <v>793</v>
      </c>
      <c r="AH50" s="192" t="s">
        <v>794</v>
      </c>
      <c r="AI50" s="193" t="s">
        <v>795</v>
      </c>
      <c r="AJ50" s="194" t="s">
        <v>796</v>
      </c>
      <c r="AK50" s="195" t="s">
        <v>797</v>
      </c>
      <c r="AL50" s="196" t="s">
        <v>798</v>
      </c>
      <c r="AM50" s="197" t="s">
        <v>17</v>
      </c>
    </row>
    <row r="51" spans="1:39" s="103" customFormat="1">
      <c r="A51" s="23">
        <v>2006</v>
      </c>
      <c r="B51" s="26">
        <v>0.34</v>
      </c>
      <c r="C51" s="26">
        <v>0.11</v>
      </c>
      <c r="D51" s="26">
        <v>0.12</v>
      </c>
      <c r="E51" s="26">
        <v>0.16</v>
      </c>
      <c r="F51" s="26">
        <v>0.13</v>
      </c>
      <c r="G51" s="26">
        <v>0.09</v>
      </c>
      <c r="H51" s="26">
        <v>0.05</v>
      </c>
      <c r="I51" s="27">
        <f>SUM(B51:H51)</f>
        <v>1</v>
      </c>
      <c r="K51" s="12">
        <v>2006</v>
      </c>
      <c r="L51" s="217">
        <f>L36/$S36</f>
        <v>8.8365896980461808E-2</v>
      </c>
      <c r="M51" s="218">
        <f t="shared" ref="M51:S51" si="62">M36/$S36</f>
        <v>0.33980905861456484</v>
      </c>
      <c r="N51" s="219">
        <f t="shared" si="62"/>
        <v>0.11783969804618118</v>
      </c>
      <c r="O51" s="220">
        <f t="shared" si="62"/>
        <v>0.11922735346358793</v>
      </c>
      <c r="P51" s="221">
        <f t="shared" si="62"/>
        <v>0.15708259325044405</v>
      </c>
      <c r="Q51" s="222">
        <f t="shared" si="62"/>
        <v>0.12827486678507993</v>
      </c>
      <c r="R51" s="223">
        <f t="shared" si="62"/>
        <v>4.9400532859680282E-2</v>
      </c>
      <c r="S51" s="224">
        <f t="shared" si="62"/>
        <v>1</v>
      </c>
      <c r="U51" s="12">
        <v>2006</v>
      </c>
      <c r="V51" s="217">
        <f>V36/$AC36</f>
        <v>9.2257001647446463E-2</v>
      </c>
      <c r="W51" s="218">
        <f t="shared" ref="W51:AC51" si="63">W36/$AC36</f>
        <v>0.3298846787479407</v>
      </c>
      <c r="X51" s="219">
        <f t="shared" si="63"/>
        <v>8.1779242174629327E-2</v>
      </c>
      <c r="Y51" s="220">
        <f t="shared" si="63"/>
        <v>0.11598023064250412</v>
      </c>
      <c r="Z51" s="221">
        <f t="shared" si="63"/>
        <v>0.17502471169686984</v>
      </c>
      <c r="AA51" s="222">
        <f t="shared" si="63"/>
        <v>0.14570016474464581</v>
      </c>
      <c r="AB51" s="223">
        <f t="shared" si="63"/>
        <v>5.9505766062602966E-2</v>
      </c>
      <c r="AC51" s="224">
        <f t="shared" si="63"/>
        <v>1</v>
      </c>
      <c r="AE51" s="12">
        <v>2006</v>
      </c>
      <c r="AF51" s="217">
        <f>(L51*$S36+V51*$AC36)/$I36</f>
        <v>8.4452975047984644E-2</v>
      </c>
      <c r="AG51" s="218">
        <f t="shared" ref="AG51:AM51" si="64">(M51*$S36+W51*$AC36)/$I36</f>
        <v>0.31410184035226374</v>
      </c>
      <c r="AH51" s="219">
        <f t="shared" si="64"/>
        <v>9.4953144405554926E-2</v>
      </c>
      <c r="AI51" s="220">
        <f t="shared" si="64"/>
        <v>0.11030823077791577</v>
      </c>
      <c r="AJ51" s="221">
        <f t="shared" si="64"/>
        <v>0.15484927176244778</v>
      </c>
      <c r="AK51" s="222">
        <f t="shared" si="64"/>
        <v>0.12763915547024951</v>
      </c>
      <c r="AL51" s="223">
        <f t="shared" si="64"/>
        <v>5.0609687253020209E-2</v>
      </c>
      <c r="AM51" s="224">
        <f t="shared" si="64"/>
        <v>0.93685785254600884</v>
      </c>
    </row>
    <row r="52" spans="1:39" s="103" customFormat="1">
      <c r="A52" s="23">
        <v>2007</v>
      </c>
      <c r="B52" s="32" t="s">
        <v>58</v>
      </c>
      <c r="C52" s="32"/>
      <c r="D52" s="32"/>
      <c r="E52" s="32"/>
      <c r="F52" s="32"/>
      <c r="G52" s="32"/>
      <c r="H52" s="32"/>
      <c r="I52" s="34"/>
      <c r="K52" s="12">
        <v>2007</v>
      </c>
      <c r="L52" s="217">
        <f t="shared" ref="L52:S52" si="65">L37/$S37</f>
        <v>9.1216760676873496E-2</v>
      </c>
      <c r="M52" s="218">
        <f t="shared" si="65"/>
        <v>0.33177544990598978</v>
      </c>
      <c r="N52" s="219">
        <f t="shared" si="65"/>
        <v>0.12199838839645447</v>
      </c>
      <c r="O52" s="220">
        <f t="shared" si="65"/>
        <v>0.11281224818694602</v>
      </c>
      <c r="P52" s="221">
        <f t="shared" si="65"/>
        <v>0.15911899006177813</v>
      </c>
      <c r="Q52" s="222">
        <f t="shared" si="65"/>
        <v>0.13263497179693795</v>
      </c>
      <c r="R52" s="223">
        <f t="shared" si="65"/>
        <v>5.0443190975020147E-2</v>
      </c>
      <c r="S52" s="224">
        <f t="shared" si="65"/>
        <v>1</v>
      </c>
      <c r="U52" s="12">
        <v>2007</v>
      </c>
      <c r="V52" s="217">
        <f t="shared" ref="V52:AC52" si="66">V37/$AC37</f>
        <v>9.681144543529864E-2</v>
      </c>
      <c r="W52" s="218">
        <f t="shared" si="66"/>
        <v>0.3184063642779239</v>
      </c>
      <c r="X52" s="219">
        <f t="shared" si="66"/>
        <v>8.9754282414832867E-2</v>
      </c>
      <c r="Y52" s="220">
        <f t="shared" si="66"/>
        <v>0.10964265092705459</v>
      </c>
      <c r="Z52" s="221">
        <f t="shared" si="66"/>
        <v>0.17585167126451531</v>
      </c>
      <c r="AA52" s="222">
        <f t="shared" si="66"/>
        <v>0.14903445178674538</v>
      </c>
      <c r="AB52" s="223">
        <f t="shared" si="66"/>
        <v>6.0499133893629306E-2</v>
      </c>
      <c r="AC52" s="224">
        <f t="shared" si="66"/>
        <v>1</v>
      </c>
      <c r="AE52" s="12">
        <v>2007</v>
      </c>
      <c r="AF52" s="217">
        <f t="shared" ref="AF52:AF61" si="67">(L52*$S37+V52*$AC37)/$I37</f>
        <v>8.8051177859535451E-2</v>
      </c>
      <c r="AG52" s="218">
        <f t="shared" ref="AG52:AG61" si="68">(M52*$S37+W52*$AC37)/$I37</f>
        <v>0.30583164021745102</v>
      </c>
      <c r="AH52" s="219">
        <f t="shared" ref="AH52:AH61" si="69">(N52*$S37+X52*$AC37)/$I37</f>
        <v>0.10076327494371534</v>
      </c>
      <c r="AI52" s="220">
        <f t="shared" ref="AI52:AI61" si="70">(O52*$S37+Y52*$AC37)/$I37</f>
        <v>0.10457964966229202</v>
      </c>
      <c r="AJ52" s="221">
        <f t="shared" ref="AJ52:AJ61" si="71">(P52*$S37+Z52*$AC37)/$I37</f>
        <v>0.15658118719455275</v>
      </c>
      <c r="AK52" s="222">
        <f t="shared" ref="AK52:AK61" si="72">(Q52*$S37+AA52*$AC37)/$I37</f>
        <v>0.13156883202460051</v>
      </c>
      <c r="AL52" s="223">
        <f t="shared" ref="AL52:AL61" si="73">(R52*$S37+AB52*$AC37)/$I37</f>
        <v>5.1672066333534675E-2</v>
      </c>
      <c r="AM52" s="224">
        <f t="shared" ref="AM52:AM61" si="74">(S52*$S37+AC52*$AC37)/$I37</f>
        <v>0.93904782823568178</v>
      </c>
    </row>
    <row r="53" spans="1:39" s="103" customFormat="1">
      <c r="A53" s="23">
        <v>2008</v>
      </c>
      <c r="B53" s="32"/>
      <c r="C53" s="32"/>
      <c r="D53" s="32"/>
      <c r="E53" s="32"/>
      <c r="F53" s="32"/>
      <c r="G53" s="32"/>
      <c r="H53" s="32"/>
      <c r="I53" s="34"/>
      <c r="K53" s="12">
        <v>2008</v>
      </c>
      <c r="L53" s="217">
        <f t="shared" ref="L53:S53" si="75">L38/$S38</f>
        <v>9.3998028738911651E-2</v>
      </c>
      <c r="M53" s="218">
        <f t="shared" si="75"/>
        <v>0.32370182082274213</v>
      </c>
      <c r="N53" s="219">
        <f t="shared" si="75"/>
        <v>0.12610883436219328</v>
      </c>
      <c r="O53" s="220">
        <f t="shared" si="75"/>
        <v>0.10660372464595114</v>
      </c>
      <c r="P53" s="221">
        <f t="shared" si="75"/>
        <v>0.16086527986719926</v>
      </c>
      <c r="Q53" s="222">
        <f t="shared" si="75"/>
        <v>0.13726202209887431</v>
      </c>
      <c r="R53" s="223">
        <f t="shared" si="75"/>
        <v>5.1460289464128235E-2</v>
      </c>
      <c r="S53" s="224">
        <f t="shared" si="75"/>
        <v>1</v>
      </c>
      <c r="U53" s="12">
        <v>2008</v>
      </c>
      <c r="V53" s="217">
        <f t="shared" ref="V53:AC53" si="76">V38/$AC38</f>
        <v>0.10205897305541434</v>
      </c>
      <c r="W53" s="218">
        <f t="shared" si="76"/>
        <v>0.30732079308591764</v>
      </c>
      <c r="X53" s="219">
        <f t="shared" si="76"/>
        <v>9.7928317234367054E-2</v>
      </c>
      <c r="Y53" s="220">
        <f t="shared" si="76"/>
        <v>0.103266395526182</v>
      </c>
      <c r="Z53" s="221">
        <f t="shared" si="76"/>
        <v>0.175711743772242</v>
      </c>
      <c r="AA53" s="222">
        <f t="shared" si="76"/>
        <v>0.15238942552109813</v>
      </c>
      <c r="AB53" s="223">
        <f t="shared" si="76"/>
        <v>6.1324351804778854E-2</v>
      </c>
      <c r="AC53" s="224">
        <f t="shared" si="76"/>
        <v>1</v>
      </c>
      <c r="AE53" s="12">
        <v>2008</v>
      </c>
      <c r="AF53" s="217">
        <f t="shared" si="67"/>
        <v>9.2129380053908361E-2</v>
      </c>
      <c r="AG53" s="218">
        <f t="shared" si="68"/>
        <v>0.29854447439353099</v>
      </c>
      <c r="AH53" s="219">
        <f t="shared" si="69"/>
        <v>0.10706199460916442</v>
      </c>
      <c r="AI53" s="220">
        <f t="shared" si="70"/>
        <v>9.9191374663072776E-2</v>
      </c>
      <c r="AJ53" s="221">
        <f t="shared" si="71"/>
        <v>0.15811320754716982</v>
      </c>
      <c r="AK53" s="222">
        <f t="shared" si="72"/>
        <v>0.13595687331536388</v>
      </c>
      <c r="AL53" s="223">
        <f t="shared" si="73"/>
        <v>5.2749326145552562E-2</v>
      </c>
      <c r="AM53" s="224">
        <f t="shared" si="74"/>
        <v>0.94374663072776277</v>
      </c>
    </row>
    <row r="54" spans="1:39" s="103" customFormat="1">
      <c r="A54" s="23">
        <v>2009</v>
      </c>
      <c r="B54" s="32"/>
      <c r="C54" s="32"/>
      <c r="D54" s="32"/>
      <c r="E54" s="32"/>
      <c r="F54" s="32"/>
      <c r="G54" s="32"/>
      <c r="H54" s="32"/>
      <c r="I54" s="34"/>
      <c r="K54" s="12">
        <v>2009</v>
      </c>
      <c r="L54" s="217">
        <f t="shared" ref="L54:S54" si="77">L39/$S39</f>
        <v>8.9632936507936509E-2</v>
      </c>
      <c r="M54" s="218">
        <f t="shared" si="77"/>
        <v>0.3343253968253968</v>
      </c>
      <c r="N54" s="219">
        <f t="shared" si="77"/>
        <v>0.11850198412698412</v>
      </c>
      <c r="O54" s="220">
        <f t="shared" si="77"/>
        <v>0.10749007936507937</v>
      </c>
      <c r="P54" s="221">
        <f t="shared" si="77"/>
        <v>0.15545634920634921</v>
      </c>
      <c r="Q54" s="222">
        <f t="shared" si="77"/>
        <v>0.13710317460317462</v>
      </c>
      <c r="R54" s="223">
        <f t="shared" si="77"/>
        <v>5.7440476190476188E-2</v>
      </c>
      <c r="S54" s="224">
        <f t="shared" si="77"/>
        <v>1</v>
      </c>
      <c r="U54" s="12">
        <v>2009</v>
      </c>
      <c r="V54" s="217">
        <f t="shared" ref="V54:AC54" si="78">V39/$AC39</f>
        <v>0.10176557135850907</v>
      </c>
      <c r="W54" s="218">
        <f t="shared" si="78"/>
        <v>0.31283717508582637</v>
      </c>
      <c r="X54" s="219">
        <f t="shared" si="78"/>
        <v>9.0669445806768029E-2</v>
      </c>
      <c r="Y54" s="220">
        <f t="shared" si="78"/>
        <v>0.10047817557626287</v>
      </c>
      <c r="Z54" s="221">
        <f t="shared" si="78"/>
        <v>0.17275625306522804</v>
      </c>
      <c r="AA54" s="222">
        <f t="shared" si="78"/>
        <v>0.15442618930848456</v>
      </c>
      <c r="AB54" s="223">
        <f t="shared" si="78"/>
        <v>6.706718979892104E-2</v>
      </c>
      <c r="AC54" s="224">
        <f t="shared" si="78"/>
        <v>1</v>
      </c>
      <c r="AE54" s="12">
        <v>2009</v>
      </c>
      <c r="AF54" s="217">
        <f t="shared" si="67"/>
        <v>8.8961305552704512E-2</v>
      </c>
      <c r="AG54" s="218">
        <f t="shared" si="68"/>
        <v>0.30388484039823466</v>
      </c>
      <c r="AH54" s="219">
        <f t="shared" si="69"/>
        <v>9.9250744123986448E-2</v>
      </c>
      <c r="AI54" s="220">
        <f t="shared" si="70"/>
        <v>9.7659858359848098E-2</v>
      </c>
      <c r="AJ54" s="221">
        <f t="shared" si="71"/>
        <v>0.15272503335728216</v>
      </c>
      <c r="AK54" s="222">
        <f t="shared" si="72"/>
        <v>0.13555886277327311</v>
      </c>
      <c r="AL54" s="223">
        <f t="shared" si="73"/>
        <v>5.7785076465154468E-2</v>
      </c>
      <c r="AM54" s="224">
        <f t="shared" si="74"/>
        <v>0.93585138047829208</v>
      </c>
    </row>
    <row r="55" spans="1:39" s="103" customFormat="1">
      <c r="A55" s="23">
        <v>2010</v>
      </c>
      <c r="B55" s="32"/>
      <c r="C55" s="32"/>
      <c r="D55" s="32"/>
      <c r="E55" s="32"/>
      <c r="F55" s="32"/>
      <c r="G55" s="32"/>
      <c r="H55" s="32"/>
      <c r="I55" s="34"/>
      <c r="K55" s="12">
        <v>2010</v>
      </c>
      <c r="L55" s="217">
        <f t="shared" ref="L55:S55" si="79">L40/$S40</f>
        <v>8.7713243269894492E-2</v>
      </c>
      <c r="M55" s="218">
        <f t="shared" si="79"/>
        <v>0.34261907109752487</v>
      </c>
      <c r="N55" s="219">
        <f t="shared" si="79"/>
        <v>0.10985109949709101</v>
      </c>
      <c r="O55" s="220">
        <f t="shared" si="79"/>
        <v>0.10738585938270387</v>
      </c>
      <c r="P55" s="221">
        <f t="shared" si="79"/>
        <v>0.1480623212700917</v>
      </c>
      <c r="Q55" s="222">
        <f t="shared" si="79"/>
        <v>0.13879301843999606</v>
      </c>
      <c r="R55" s="223">
        <f t="shared" si="79"/>
        <v>6.5575387042697955E-2</v>
      </c>
      <c r="S55" s="224">
        <f t="shared" si="79"/>
        <v>1</v>
      </c>
      <c r="U55" s="12">
        <v>2010</v>
      </c>
      <c r="V55" s="217">
        <f t="shared" ref="V55:AC55" si="80">V40/$AC40</f>
        <v>0.10230194685931186</v>
      </c>
      <c r="W55" s="218">
        <f t="shared" si="80"/>
        <v>0.31559936329129423</v>
      </c>
      <c r="X55" s="219">
        <f t="shared" si="80"/>
        <v>8.3568017631933389E-2</v>
      </c>
      <c r="Y55" s="220">
        <f t="shared" si="80"/>
        <v>9.7465409575119386E-2</v>
      </c>
      <c r="Z55" s="221">
        <f t="shared" si="80"/>
        <v>0.16799314313701483</v>
      </c>
      <c r="AA55" s="222">
        <f t="shared" si="80"/>
        <v>0.15838129055956901</v>
      </c>
      <c r="AB55" s="223">
        <f t="shared" si="80"/>
        <v>7.4752050936696457E-2</v>
      </c>
      <c r="AC55" s="224">
        <f t="shared" si="80"/>
        <v>1</v>
      </c>
      <c r="AE55" s="12">
        <v>2010</v>
      </c>
      <c r="AF55" s="217">
        <f t="shared" si="67"/>
        <v>8.7688084587230583E-2</v>
      </c>
      <c r="AG55" s="218">
        <f t="shared" si="68"/>
        <v>0.307645384302562</v>
      </c>
      <c r="AH55" s="219">
        <f t="shared" si="69"/>
        <v>9.1322692151281012E-2</v>
      </c>
      <c r="AI55" s="220">
        <f t="shared" si="70"/>
        <v>9.5821472143147624E-2</v>
      </c>
      <c r="AJ55" s="221">
        <f t="shared" si="71"/>
        <v>0.14607055713704759</v>
      </c>
      <c r="AK55" s="222">
        <f t="shared" si="72"/>
        <v>0.13730174867832451</v>
      </c>
      <c r="AL55" s="223">
        <f t="shared" si="73"/>
        <v>6.483834892232615E-2</v>
      </c>
      <c r="AM55" s="224">
        <f t="shared" si="74"/>
        <v>0.93066287108580725</v>
      </c>
    </row>
    <row r="56" spans="1:39" s="103" customFormat="1">
      <c r="A56" s="23">
        <v>2011</v>
      </c>
      <c r="B56" s="32"/>
      <c r="C56" s="32"/>
      <c r="D56" s="32"/>
      <c r="E56" s="32"/>
      <c r="F56" s="32"/>
      <c r="G56" s="32"/>
      <c r="H56" s="32"/>
      <c r="I56" s="34"/>
      <c r="K56" s="12">
        <v>2011</v>
      </c>
      <c r="L56" s="217">
        <f t="shared" ref="L56:S56" si="81">L41/$S41</f>
        <v>8.7178745358985482E-2</v>
      </c>
      <c r="M56" s="218">
        <f t="shared" si="81"/>
        <v>0.34722021312503015</v>
      </c>
      <c r="N56" s="219">
        <f t="shared" si="81"/>
        <v>0.1005834418245817</v>
      </c>
      <c r="O56" s="220">
        <f t="shared" si="81"/>
        <v>0.10627320507256859</v>
      </c>
      <c r="P56" s="221">
        <f t="shared" si="81"/>
        <v>0.13939919957567867</v>
      </c>
      <c r="Q56" s="222">
        <f t="shared" si="81"/>
        <v>0.14200298953662183</v>
      </c>
      <c r="R56" s="223">
        <f t="shared" si="81"/>
        <v>7.734220550653359E-2</v>
      </c>
      <c r="S56" s="224">
        <f t="shared" si="81"/>
        <v>1</v>
      </c>
      <c r="U56" s="12">
        <v>2011</v>
      </c>
      <c r="V56" s="217">
        <f t="shared" ref="V56:AC56" si="82">V41/$AC41</f>
        <v>0.10295660761681377</v>
      </c>
      <c r="W56" s="218">
        <f t="shared" si="82"/>
        <v>0.31442503549163631</v>
      </c>
      <c r="X56" s="219">
        <f t="shared" si="82"/>
        <v>7.7217455712610336E-2</v>
      </c>
      <c r="Y56" s="220">
        <f t="shared" si="82"/>
        <v>9.4253441145608297E-2</v>
      </c>
      <c r="Z56" s="221">
        <f t="shared" si="82"/>
        <v>0.16171841244367632</v>
      </c>
      <c r="AA56" s="222">
        <f t="shared" si="82"/>
        <v>0.16461946793407814</v>
      </c>
      <c r="AB56" s="223">
        <f t="shared" si="82"/>
        <v>8.4747855070674644E-2</v>
      </c>
      <c r="AC56" s="224">
        <f t="shared" si="82"/>
        <v>1</v>
      </c>
      <c r="AE56" s="12">
        <v>2011</v>
      </c>
      <c r="AF56" s="217">
        <f t="shared" si="67"/>
        <v>8.7178972712680575E-2</v>
      </c>
      <c r="AG56" s="218">
        <f t="shared" si="68"/>
        <v>0.30836175762439805</v>
      </c>
      <c r="AH56" s="219">
        <f t="shared" si="69"/>
        <v>8.3692817014446225E-2</v>
      </c>
      <c r="AI56" s="220">
        <f t="shared" si="70"/>
        <v>9.3574438202247187E-2</v>
      </c>
      <c r="AJ56" s="221">
        <f t="shared" si="71"/>
        <v>0.13821729534510432</v>
      </c>
      <c r="AK56" s="222">
        <f t="shared" si="72"/>
        <v>0.14075040128410915</v>
      </c>
      <c r="AL56" s="223">
        <f t="shared" si="73"/>
        <v>7.4663924558587474E-2</v>
      </c>
      <c r="AM56" s="224">
        <f t="shared" si="74"/>
        <v>0.9264646869983949</v>
      </c>
    </row>
    <row r="57" spans="1:39" s="103" customFormat="1">
      <c r="A57" s="23">
        <v>2012</v>
      </c>
      <c r="B57" s="26">
        <v>0.34</v>
      </c>
      <c r="C57" s="26">
        <v>0.08</v>
      </c>
      <c r="D57" s="26">
        <v>0.1</v>
      </c>
      <c r="E57" s="26">
        <v>0.14000000000000001</v>
      </c>
      <c r="F57" s="26">
        <v>0.15</v>
      </c>
      <c r="G57" s="26">
        <v>0.09</v>
      </c>
      <c r="H57" s="26">
        <v>0.1</v>
      </c>
      <c r="I57" s="27">
        <f>SUM(B57:H57)</f>
        <v>1</v>
      </c>
      <c r="K57" s="12">
        <v>2012</v>
      </c>
      <c r="L57" s="217">
        <f t="shared" ref="L57:S57" si="83">L42/$S42</f>
        <v>8.7143194149563577E-2</v>
      </c>
      <c r="M57" s="218">
        <f t="shared" si="83"/>
        <v>0.34744043406463787</v>
      </c>
      <c r="N57" s="219">
        <f t="shared" si="83"/>
        <v>9.0823307383816942E-2</v>
      </c>
      <c r="O57" s="220">
        <f t="shared" si="83"/>
        <v>0.10417551309271054</v>
      </c>
      <c r="P57" s="221">
        <f t="shared" si="83"/>
        <v>0.12941731540457654</v>
      </c>
      <c r="Q57" s="222">
        <f t="shared" si="83"/>
        <v>0.1462137296532201</v>
      </c>
      <c r="R57" s="223">
        <f t="shared" si="83"/>
        <v>9.4692144373673043E-2</v>
      </c>
      <c r="S57" s="224">
        <f t="shared" si="83"/>
        <v>1</v>
      </c>
      <c r="U57" s="12">
        <v>2012</v>
      </c>
      <c r="V57" s="217">
        <f t="shared" ref="V57:AC57" si="84">V42/$AC42</f>
        <v>0.10303428503165692</v>
      </c>
      <c r="W57" s="218">
        <f t="shared" si="84"/>
        <v>0.31005853541990203</v>
      </c>
      <c r="X57" s="219">
        <f t="shared" si="84"/>
        <v>6.9704933699677452E-2</v>
      </c>
      <c r="Y57" s="220">
        <f t="shared" si="84"/>
        <v>9.1446661091864764E-2</v>
      </c>
      <c r="Z57" s="221">
        <f t="shared" si="84"/>
        <v>0.15308804204993429</v>
      </c>
      <c r="AA57" s="222">
        <f t="shared" si="84"/>
        <v>0.17447138932027237</v>
      </c>
      <c r="AB57" s="223">
        <f t="shared" si="84"/>
        <v>9.8136423366383951E-2</v>
      </c>
      <c r="AC57" s="224">
        <f t="shared" si="84"/>
        <v>1</v>
      </c>
      <c r="AE57" s="12">
        <v>2012</v>
      </c>
      <c r="AF57" s="217">
        <f t="shared" si="67"/>
        <v>8.6722183107140249E-2</v>
      </c>
      <c r="AG57" s="218">
        <f t="shared" si="68"/>
        <v>0.30481439219209011</v>
      </c>
      <c r="AH57" s="219">
        <f t="shared" si="69"/>
        <v>7.506858627303406E-2</v>
      </c>
      <c r="AI57" s="220">
        <f t="shared" si="70"/>
        <v>9.0776663672339705E-2</v>
      </c>
      <c r="AJ57" s="221">
        <f t="shared" si="71"/>
        <v>0.12882080167034887</v>
      </c>
      <c r="AK57" s="222">
        <f t="shared" si="72"/>
        <v>0.14615552696108183</v>
      </c>
      <c r="AL57" s="223">
        <f t="shared" si="73"/>
        <v>8.8615892592682516E-2</v>
      </c>
      <c r="AM57" s="224">
        <f t="shared" si="74"/>
        <v>0.92104688144893054</v>
      </c>
    </row>
    <row r="58" spans="1:39" s="103" customFormat="1">
      <c r="A58" s="23">
        <v>2013</v>
      </c>
      <c r="B58" s="26">
        <v>0.31</v>
      </c>
      <c r="C58" s="26">
        <v>0.09</v>
      </c>
      <c r="D58" s="26">
        <v>0.1</v>
      </c>
      <c r="E58" s="26">
        <v>0.14000000000000001</v>
      </c>
      <c r="F58" s="26">
        <v>0.16</v>
      </c>
      <c r="G58" s="26">
        <v>0.1</v>
      </c>
      <c r="H58" s="26">
        <v>0.1</v>
      </c>
      <c r="I58" s="27">
        <f>SUM(B58:H58)</f>
        <v>1</v>
      </c>
      <c r="K58" s="12">
        <v>2013</v>
      </c>
      <c r="L58" s="217">
        <f t="shared" ref="L58:S58" si="85">L43/$S43</f>
        <v>9.1317073170731705E-2</v>
      </c>
      <c r="M58" s="218">
        <f t="shared" si="85"/>
        <v>0.31741463414634147</v>
      </c>
      <c r="N58" s="219">
        <f t="shared" si="85"/>
        <v>9.7219512195121954E-2</v>
      </c>
      <c r="O58" s="220">
        <f t="shared" si="85"/>
        <v>0.10229268292682926</v>
      </c>
      <c r="P58" s="221">
        <f t="shared" si="85"/>
        <v>0.13</v>
      </c>
      <c r="Q58" s="222">
        <f t="shared" si="85"/>
        <v>0.15668292682926829</v>
      </c>
      <c r="R58" s="223">
        <f t="shared" si="85"/>
        <v>0.10512195121951219</v>
      </c>
      <c r="S58" s="224">
        <f t="shared" si="85"/>
        <v>1</v>
      </c>
      <c r="U58" s="12">
        <v>2013</v>
      </c>
      <c r="V58" s="217">
        <f t="shared" ref="V58:AC58" si="86">V43/$AC43</f>
        <v>0.10759688018178468</v>
      </c>
      <c r="W58" s="218">
        <f t="shared" si="86"/>
        <v>0.28170484554443287</v>
      </c>
      <c r="X58" s="219">
        <f t="shared" si="86"/>
        <v>7.2713873364859058E-2</v>
      </c>
      <c r="Y58" s="220">
        <f t="shared" si="86"/>
        <v>9.0339618006509859E-2</v>
      </c>
      <c r="Z58" s="221">
        <f t="shared" si="86"/>
        <v>0.15322729226800957</v>
      </c>
      <c r="AA58" s="222">
        <f t="shared" si="86"/>
        <v>0.18718909291899527</v>
      </c>
      <c r="AB58" s="223">
        <f t="shared" si="86"/>
        <v>0.10716698397101271</v>
      </c>
      <c r="AC58" s="224">
        <f t="shared" si="86"/>
        <v>1</v>
      </c>
      <c r="AE58" s="12">
        <v>2013</v>
      </c>
      <c r="AF58" s="217">
        <f t="shared" si="67"/>
        <v>9.0733832402794118E-2</v>
      </c>
      <c r="AG58" s="218">
        <f t="shared" si="68"/>
        <v>0.27775969555093766</v>
      </c>
      <c r="AH58" s="219">
        <f t="shared" si="69"/>
        <v>7.9542324929270672E-2</v>
      </c>
      <c r="AI58" s="220">
        <f t="shared" si="70"/>
        <v>8.9331764352419823E-2</v>
      </c>
      <c r="AJ58" s="221">
        <f t="shared" si="71"/>
        <v>0.12919055607020355</v>
      </c>
      <c r="AK58" s="222">
        <f t="shared" si="72"/>
        <v>0.1567311784882702</v>
      </c>
      <c r="AL58" s="223">
        <f t="shared" si="73"/>
        <v>9.7644024936781759E-2</v>
      </c>
      <c r="AM58" s="224">
        <f t="shared" si="74"/>
        <v>0.92093337673067777</v>
      </c>
    </row>
    <row r="59" spans="1:39" s="103" customFormat="1">
      <c r="A59" s="23">
        <v>2014</v>
      </c>
      <c r="B59" s="26">
        <v>0.36</v>
      </c>
      <c r="C59" s="26">
        <v>0.08</v>
      </c>
      <c r="D59" s="26">
        <v>0.09</v>
      </c>
      <c r="E59" s="26">
        <v>0.13</v>
      </c>
      <c r="F59" s="26">
        <v>0.15</v>
      </c>
      <c r="G59" s="26">
        <v>0.09</v>
      </c>
      <c r="H59" s="26">
        <v>0.1</v>
      </c>
      <c r="I59" s="27">
        <f>SUM(B59:H59)</f>
        <v>1</v>
      </c>
      <c r="K59" s="12">
        <v>2014</v>
      </c>
      <c r="L59" s="217">
        <f t="shared" ref="L59:S59" si="87">L44/$S44</f>
        <v>8.2630317023354938E-2</v>
      </c>
      <c r="M59" s="218">
        <f t="shared" si="87"/>
        <v>0.37407867862534411</v>
      </c>
      <c r="N59" s="219">
        <f t="shared" si="87"/>
        <v>8.7736435485303257E-2</v>
      </c>
      <c r="O59" s="220">
        <f t="shared" si="87"/>
        <v>9.2531746736524284E-2</v>
      </c>
      <c r="P59" s="221">
        <f t="shared" si="87"/>
        <v>0.12614332652517538</v>
      </c>
      <c r="Q59" s="222">
        <f t="shared" si="87"/>
        <v>0.14177248912174761</v>
      </c>
      <c r="R59" s="223">
        <f t="shared" si="87"/>
        <v>9.5107006482550396E-2</v>
      </c>
      <c r="S59" s="224">
        <f t="shared" si="87"/>
        <v>1</v>
      </c>
      <c r="U59" s="12">
        <v>2014</v>
      </c>
      <c r="V59" s="217">
        <f t="shared" ref="V59:AC59" si="88">V44/$AC44</f>
        <v>9.8462414578587704E-2</v>
      </c>
      <c r="W59" s="218">
        <f t="shared" si="88"/>
        <v>0.33274487471526198</v>
      </c>
      <c r="X59" s="219">
        <f t="shared" si="88"/>
        <v>6.6343963553530755E-2</v>
      </c>
      <c r="Y59" s="220">
        <f t="shared" si="88"/>
        <v>8.2630979498861043E-2</v>
      </c>
      <c r="Z59" s="221">
        <f t="shared" si="88"/>
        <v>0.15039863325740319</v>
      </c>
      <c r="AA59" s="222">
        <f t="shared" si="88"/>
        <v>0.17135535307517083</v>
      </c>
      <c r="AB59" s="223">
        <f t="shared" si="88"/>
        <v>9.8063781321184512E-2</v>
      </c>
      <c r="AC59" s="224">
        <f t="shared" si="88"/>
        <v>1</v>
      </c>
      <c r="AE59" s="12">
        <v>2014</v>
      </c>
      <c r="AF59" s="217">
        <f t="shared" si="67"/>
        <v>8.2690314407462856E-2</v>
      </c>
      <c r="AG59" s="218">
        <f t="shared" si="68"/>
        <v>0.32864217436369919</v>
      </c>
      <c r="AH59" s="219">
        <f t="shared" si="69"/>
        <v>7.2348266728089375E-2</v>
      </c>
      <c r="AI59" s="220">
        <f t="shared" si="70"/>
        <v>8.1423471150524007E-2</v>
      </c>
      <c r="AJ59" s="221">
        <f t="shared" si="71"/>
        <v>0.12626972244615917</v>
      </c>
      <c r="AK59" s="222">
        <f t="shared" si="72"/>
        <v>0.14285385235517675</v>
      </c>
      <c r="AL59" s="223">
        <f t="shared" si="73"/>
        <v>8.9001497178394562E-2</v>
      </c>
      <c r="AM59" s="224">
        <f t="shared" si="74"/>
        <v>0.92322929862950598</v>
      </c>
    </row>
    <row r="60" spans="1:39" s="103" customFormat="1">
      <c r="A60" s="23">
        <v>2015</v>
      </c>
      <c r="B60" s="26">
        <v>0.36</v>
      </c>
      <c r="C60" s="26">
        <v>0.08</v>
      </c>
      <c r="D60" s="26">
        <v>0.09</v>
      </c>
      <c r="E60" s="26">
        <v>0.14000000000000001</v>
      </c>
      <c r="F60" s="26">
        <v>0.15</v>
      </c>
      <c r="G60" s="26">
        <v>0.09</v>
      </c>
      <c r="H60" s="26">
        <v>0.09</v>
      </c>
      <c r="I60" s="27">
        <f>SUM(B60:H60)</f>
        <v>1</v>
      </c>
      <c r="K60" s="12">
        <v>2015</v>
      </c>
      <c r="L60" s="217">
        <f t="shared" ref="L60:S60" si="89">L45/$S45</f>
        <v>8.2363847045191188E-2</v>
      </c>
      <c r="M60" s="218">
        <f t="shared" si="89"/>
        <v>0.37432213209733489</v>
      </c>
      <c r="N60" s="219">
        <f t="shared" si="89"/>
        <v>8.3290845886442644E-2</v>
      </c>
      <c r="O60" s="220">
        <f t="shared" si="89"/>
        <v>9.2236384704519114E-2</v>
      </c>
      <c r="P60" s="221">
        <f t="shared" si="89"/>
        <v>0.13172653534183082</v>
      </c>
      <c r="Q60" s="222">
        <f t="shared" si="89"/>
        <v>0.14127462340672073</v>
      </c>
      <c r="R60" s="223">
        <f t="shared" si="89"/>
        <v>9.47856315179606E-2</v>
      </c>
      <c r="S60" s="224">
        <f t="shared" si="89"/>
        <v>1</v>
      </c>
      <c r="U60" s="12">
        <v>2015</v>
      </c>
      <c r="V60" s="217">
        <f t="shared" ref="V60:AC60" si="90">V45/$AC45</f>
        <v>9.7826086956521743E-2</v>
      </c>
      <c r="W60" s="218">
        <f t="shared" si="90"/>
        <v>0.33294582655196464</v>
      </c>
      <c r="X60" s="219">
        <f t="shared" si="90"/>
        <v>6.3008602650546391E-2</v>
      </c>
      <c r="Y60" s="220">
        <f t="shared" si="90"/>
        <v>8.2132062311090451E-2</v>
      </c>
      <c r="Z60" s="221">
        <f t="shared" si="90"/>
        <v>0.15664961636828645</v>
      </c>
      <c r="AA60" s="222">
        <f t="shared" si="90"/>
        <v>0.17007672634271101</v>
      </c>
      <c r="AB60" s="223">
        <f t="shared" si="90"/>
        <v>9.7419204836084627E-2</v>
      </c>
      <c r="AC60" s="224">
        <f t="shared" si="90"/>
        <v>1</v>
      </c>
      <c r="AE60" s="12">
        <v>2015</v>
      </c>
      <c r="AF60" s="217">
        <f t="shared" si="67"/>
        <v>8.1665407854984898E-2</v>
      </c>
      <c r="AG60" s="218">
        <f t="shared" si="68"/>
        <v>0.32581193353474319</v>
      </c>
      <c r="AH60" s="219">
        <f t="shared" si="69"/>
        <v>6.7999433534743206E-2</v>
      </c>
      <c r="AI60" s="220">
        <f t="shared" si="70"/>
        <v>8.0320052870090641E-2</v>
      </c>
      <c r="AJ60" s="221">
        <f t="shared" si="71"/>
        <v>0.13068825528700906</v>
      </c>
      <c r="AK60" s="222">
        <f t="shared" si="72"/>
        <v>0.14100264350453173</v>
      </c>
      <c r="AL60" s="223">
        <f t="shared" si="73"/>
        <v>8.7825717522658608E-2</v>
      </c>
      <c r="AM60" s="224">
        <f t="shared" si="74"/>
        <v>0.91528984138972813</v>
      </c>
    </row>
    <row r="61" spans="1:39" s="103" customFormat="1">
      <c r="A61" s="28">
        <v>2016</v>
      </c>
      <c r="B61" s="30">
        <v>0.35</v>
      </c>
      <c r="C61" s="30">
        <v>0.08</v>
      </c>
      <c r="D61" s="30">
        <v>0.09</v>
      </c>
      <c r="E61" s="30">
        <v>0.14000000000000001</v>
      </c>
      <c r="F61" s="30">
        <v>0.15</v>
      </c>
      <c r="G61" s="30">
        <v>0.09</v>
      </c>
      <c r="H61" s="30">
        <v>0.1</v>
      </c>
      <c r="I61" s="31">
        <f>SUM(B61:H61)</f>
        <v>1</v>
      </c>
      <c r="K61" s="12">
        <v>2016</v>
      </c>
      <c r="L61" s="217">
        <f t="shared" ref="L61:S61" si="91">L46/$S46</f>
        <v>8.4044120930647975E-2</v>
      </c>
      <c r="M61" s="218">
        <f t="shared" si="91"/>
        <v>0.36605189121600501</v>
      </c>
      <c r="N61" s="219">
        <f t="shared" si="91"/>
        <v>8.7750636359576653E-2</v>
      </c>
      <c r="O61" s="220">
        <f t="shared" si="91"/>
        <v>9.4091903719912467E-2</v>
      </c>
      <c r="P61" s="221">
        <f t="shared" si="91"/>
        <v>0.12718260170589024</v>
      </c>
      <c r="Q61" s="222">
        <f t="shared" si="91"/>
        <v>0.1441968472290448</v>
      </c>
      <c r="R61" s="223">
        <f t="shared" si="91"/>
        <v>9.6726655651319604E-2</v>
      </c>
      <c r="S61" s="224">
        <f t="shared" si="91"/>
        <v>1</v>
      </c>
      <c r="U61" s="12">
        <v>2016</v>
      </c>
      <c r="V61" s="217">
        <f t="shared" ref="V61:AC61" si="92">V46/$AC46</f>
        <v>9.9959623925708022E-2</v>
      </c>
      <c r="W61" s="218">
        <f t="shared" si="92"/>
        <v>0.32485435773201821</v>
      </c>
      <c r="X61" s="219">
        <f t="shared" si="92"/>
        <v>6.6793562900155742E-2</v>
      </c>
      <c r="Y61" s="220">
        <f t="shared" si="92"/>
        <v>8.3866874315048745E-2</v>
      </c>
      <c r="Z61" s="221">
        <f t="shared" si="92"/>
        <v>0.15146795870104401</v>
      </c>
      <c r="AA61" s="222">
        <f t="shared" si="92"/>
        <v>0.1736747995616312</v>
      </c>
      <c r="AB61" s="223">
        <f t="shared" si="92"/>
        <v>9.932514275826268E-2</v>
      </c>
      <c r="AC61" s="224">
        <f t="shared" si="92"/>
        <v>1</v>
      </c>
      <c r="AE61" s="12">
        <v>2016</v>
      </c>
      <c r="AF61" s="217">
        <f t="shared" si="67"/>
        <v>8.3835807050092762E-2</v>
      </c>
      <c r="AG61" s="218">
        <f t="shared" si="68"/>
        <v>0.32070964749536179</v>
      </c>
      <c r="AH61" s="219">
        <f t="shared" si="69"/>
        <v>7.2425788497217064E-2</v>
      </c>
      <c r="AI61" s="220">
        <f t="shared" si="70"/>
        <v>8.2583487940630793E-2</v>
      </c>
      <c r="AJ61" s="221">
        <f t="shared" si="71"/>
        <v>0.12694805194805195</v>
      </c>
      <c r="AK61" s="222">
        <f t="shared" si="72"/>
        <v>0.14471243042671614</v>
      </c>
      <c r="AL61" s="223">
        <f t="shared" si="73"/>
        <v>9.0166975881261602E-2</v>
      </c>
      <c r="AM61" s="224">
        <f t="shared" si="74"/>
        <v>0.92138218923933213</v>
      </c>
    </row>
    <row r="62" spans="1:39" s="103" customFormat="1"/>
    <row r="63" spans="1:39" s="112" customFormat="1">
      <c r="A63" s="215" t="s">
        <v>814</v>
      </c>
    </row>
    <row r="64" spans="1:39" s="103" customFormat="1">
      <c r="A64" s="24" t="s">
        <v>815</v>
      </c>
      <c r="B64" s="26"/>
      <c r="C64" s="26"/>
      <c r="D64" s="26"/>
      <c r="E64" s="26"/>
      <c r="F64" s="26"/>
      <c r="G64" s="26"/>
      <c r="H64" s="26"/>
      <c r="I64" s="26"/>
    </row>
    <row r="65" spans="1:29" s="103" customFormat="1">
      <c r="A65" s="103" t="s">
        <v>816</v>
      </c>
    </row>
    <row r="66" spans="1:29" s="103" customFormat="1">
      <c r="B66" s="103" t="s">
        <v>817</v>
      </c>
    </row>
    <row r="67" spans="1:29" s="103" customFormat="1">
      <c r="B67" s="103" t="s">
        <v>818</v>
      </c>
    </row>
    <row r="68" spans="1:29" s="103" customFormat="1">
      <c r="A68" s="24"/>
      <c r="B68" s="26" t="s">
        <v>819</v>
      </c>
      <c r="C68" s="26"/>
      <c r="D68" s="26"/>
      <c r="E68" s="26"/>
      <c r="F68" s="26"/>
      <c r="G68" s="26"/>
      <c r="H68" s="26"/>
      <c r="I68" s="26"/>
    </row>
    <row r="69" spans="1:29" s="103" customFormat="1">
      <c r="A69" s="24"/>
      <c r="B69" s="26"/>
      <c r="C69" s="26"/>
      <c r="D69" s="26"/>
      <c r="E69" s="26"/>
      <c r="F69" s="26"/>
      <c r="G69" s="26"/>
      <c r="H69" s="26"/>
      <c r="I69" s="26"/>
      <c r="K69" s="60" t="s">
        <v>803</v>
      </c>
      <c r="U69" s="60" t="s">
        <v>805</v>
      </c>
    </row>
    <row r="70" spans="1:29" s="103" customFormat="1" ht="27">
      <c r="A70" s="24"/>
      <c r="B70" s="26"/>
      <c r="C70" s="26"/>
      <c r="D70" s="26"/>
      <c r="E70" s="26"/>
      <c r="F70" s="26"/>
      <c r="G70" s="26"/>
      <c r="H70" s="26"/>
      <c r="I70" s="103" t="s">
        <v>809</v>
      </c>
      <c r="K70" s="2" t="s">
        <v>13</v>
      </c>
      <c r="L70" s="190" t="s">
        <v>792</v>
      </c>
      <c r="M70" s="191" t="s">
        <v>793</v>
      </c>
      <c r="N70" s="192" t="s">
        <v>794</v>
      </c>
      <c r="O70" s="193" t="s">
        <v>795</v>
      </c>
      <c r="P70" s="194" t="s">
        <v>796</v>
      </c>
      <c r="Q70" s="195" t="s">
        <v>797</v>
      </c>
      <c r="R70" s="196" t="s">
        <v>798</v>
      </c>
      <c r="S70" s="197" t="s">
        <v>17</v>
      </c>
      <c r="U70" s="2" t="s">
        <v>13</v>
      </c>
      <c r="V70" s="190" t="s">
        <v>792</v>
      </c>
      <c r="W70" s="191" t="s">
        <v>793</v>
      </c>
      <c r="X70" s="192" t="s">
        <v>794</v>
      </c>
      <c r="Y70" s="193" t="s">
        <v>795</v>
      </c>
      <c r="Z70" s="194" t="s">
        <v>796</v>
      </c>
      <c r="AA70" s="195" t="s">
        <v>797</v>
      </c>
      <c r="AB70" s="196" t="s">
        <v>798</v>
      </c>
      <c r="AC70" s="197" t="s">
        <v>17</v>
      </c>
    </row>
    <row r="71" spans="1:29" s="103" customFormat="1">
      <c r="A71" s="24"/>
      <c r="B71" s="26"/>
      <c r="C71" s="26"/>
      <c r="D71" s="26"/>
      <c r="E71" s="26"/>
      <c r="F71" s="26"/>
      <c r="G71" s="26"/>
      <c r="H71" s="26"/>
      <c r="I71" s="103">
        <f>I6-I36</f>
        <v>18554</v>
      </c>
      <c r="K71" s="12">
        <v>2006</v>
      </c>
      <c r="L71" s="217">
        <f>(L6-L36)/($S6-$S36)</f>
        <v>0.63892617449664435</v>
      </c>
      <c r="M71" s="218">
        <f t="shared" ref="M71:S71" si="93">(M6-M36)/($S6-$S36)</f>
        <v>0</v>
      </c>
      <c r="N71" s="219">
        <f t="shared" si="93"/>
        <v>0.36009762050030508</v>
      </c>
      <c r="O71" s="220">
        <f t="shared" si="93"/>
        <v>0</v>
      </c>
      <c r="P71" s="221">
        <f t="shared" si="93"/>
        <v>0</v>
      </c>
      <c r="Q71" s="222">
        <f t="shared" si="93"/>
        <v>0</v>
      </c>
      <c r="R71" s="223">
        <f t="shared" si="93"/>
        <v>9.7620500305064064E-4</v>
      </c>
      <c r="S71" s="224">
        <f t="shared" si="93"/>
        <v>1</v>
      </c>
      <c r="U71" s="12">
        <v>2006</v>
      </c>
      <c r="V71" s="217">
        <f>(V6-V36)/($AC6-$AC36)</f>
        <v>0.56168300653594772</v>
      </c>
      <c r="W71" s="218">
        <f t="shared" ref="W71:AC71" si="94">(W6-W36)/($AC6-$AC36)</f>
        <v>0</v>
      </c>
      <c r="X71" s="219">
        <f t="shared" si="94"/>
        <v>0.43341503267973858</v>
      </c>
      <c r="Y71" s="220">
        <f t="shared" si="94"/>
        <v>0</v>
      </c>
      <c r="Z71" s="221">
        <f t="shared" si="94"/>
        <v>0</v>
      </c>
      <c r="AA71" s="222">
        <f t="shared" si="94"/>
        <v>0</v>
      </c>
      <c r="AB71" s="223">
        <f t="shared" si="94"/>
        <v>4.5955882352941178E-3</v>
      </c>
      <c r="AC71" s="224">
        <f t="shared" si="94"/>
        <v>1</v>
      </c>
    </row>
    <row r="72" spans="1:29" s="103" customFormat="1">
      <c r="A72" s="24"/>
      <c r="B72" s="26"/>
      <c r="C72" s="26"/>
      <c r="D72" s="26"/>
      <c r="E72" s="26"/>
      <c r="F72" s="26"/>
      <c r="G72" s="26"/>
      <c r="H72" s="26"/>
      <c r="I72" s="103">
        <f t="shared" ref="I72:I81" si="95">I7-I37</f>
        <v>18295</v>
      </c>
      <c r="K72" s="12">
        <v>2007</v>
      </c>
      <c r="L72" s="217">
        <f t="shared" ref="L72:S72" si="96">(L7-L37)/($S7-$S37)</f>
        <v>0.64991377186499133</v>
      </c>
      <c r="M72" s="218">
        <f t="shared" si="96"/>
        <v>0</v>
      </c>
      <c r="N72" s="219">
        <f t="shared" si="96"/>
        <v>0.34897758068489776</v>
      </c>
      <c r="O72" s="220">
        <f t="shared" si="96"/>
        <v>0</v>
      </c>
      <c r="P72" s="221">
        <f t="shared" si="96"/>
        <v>0</v>
      </c>
      <c r="Q72" s="222">
        <f t="shared" si="96"/>
        <v>0</v>
      </c>
      <c r="R72" s="223">
        <f t="shared" si="96"/>
        <v>1.1086474501108647E-3</v>
      </c>
      <c r="S72" s="224">
        <f t="shared" si="96"/>
        <v>1</v>
      </c>
      <c r="U72" s="12">
        <v>2007</v>
      </c>
      <c r="V72" s="217">
        <f t="shared" ref="V72:AC72" si="97">(V7-V37)/($AC7-$AC37)</f>
        <v>0.5744946863929985</v>
      </c>
      <c r="W72" s="218">
        <f t="shared" si="97"/>
        <v>0</v>
      </c>
      <c r="X72" s="219">
        <f t="shared" si="97"/>
        <v>0.42060846009585329</v>
      </c>
      <c r="Y72" s="220">
        <f t="shared" si="97"/>
        <v>0</v>
      </c>
      <c r="Z72" s="221">
        <f t="shared" si="97"/>
        <v>0</v>
      </c>
      <c r="AA72" s="222">
        <f t="shared" si="97"/>
        <v>0</v>
      </c>
      <c r="AB72" s="223">
        <f t="shared" si="97"/>
        <v>4.8968535111481555E-3</v>
      </c>
      <c r="AC72" s="224">
        <f t="shared" si="97"/>
        <v>1</v>
      </c>
    </row>
    <row r="73" spans="1:29" s="103" customFormat="1">
      <c r="A73" s="24"/>
      <c r="B73" s="26"/>
      <c r="C73" s="26"/>
      <c r="D73" s="26"/>
      <c r="E73" s="26"/>
      <c r="F73" s="26"/>
      <c r="G73" s="26"/>
      <c r="H73" s="26"/>
      <c r="I73" s="103">
        <f t="shared" si="95"/>
        <v>18749</v>
      </c>
      <c r="K73" s="12">
        <v>2008</v>
      </c>
      <c r="L73" s="217">
        <f t="shared" ref="L73:S73" si="98">(L8-L38)/($S8-$S38)</f>
        <v>0.65550807217473883</v>
      </c>
      <c r="M73" s="218">
        <f t="shared" si="98"/>
        <v>0</v>
      </c>
      <c r="N73" s="219">
        <f t="shared" si="98"/>
        <v>0.34330484330484329</v>
      </c>
      <c r="O73" s="220">
        <f t="shared" si="98"/>
        <v>0</v>
      </c>
      <c r="P73" s="221">
        <f t="shared" si="98"/>
        <v>0</v>
      </c>
      <c r="Q73" s="222">
        <f t="shared" si="98"/>
        <v>0</v>
      </c>
      <c r="R73" s="223">
        <f t="shared" si="98"/>
        <v>1.1870845204178537E-3</v>
      </c>
      <c r="S73" s="224">
        <f t="shared" si="98"/>
        <v>1</v>
      </c>
      <c r="U73" s="12">
        <v>2008</v>
      </c>
      <c r="V73" s="217">
        <f t="shared" ref="V73:AC73" si="99">(V8-V38)/($AC8-$AC38)</f>
        <v>0.58466877615596613</v>
      </c>
      <c r="W73" s="218">
        <f t="shared" si="99"/>
        <v>0</v>
      </c>
      <c r="X73" s="219">
        <f t="shared" si="99"/>
        <v>0.41012554863733797</v>
      </c>
      <c r="Y73" s="220">
        <f t="shared" si="99"/>
        <v>0</v>
      </c>
      <c r="Z73" s="221">
        <f t="shared" si="99"/>
        <v>0</v>
      </c>
      <c r="AA73" s="222">
        <f t="shared" si="99"/>
        <v>0</v>
      </c>
      <c r="AB73" s="223">
        <f t="shared" si="99"/>
        <v>5.3077472695723183E-3</v>
      </c>
      <c r="AC73" s="224">
        <f t="shared" si="99"/>
        <v>1</v>
      </c>
    </row>
    <row r="74" spans="1:29" s="103" customFormat="1">
      <c r="A74" s="24"/>
      <c r="B74" s="26"/>
      <c r="C74" s="26"/>
      <c r="D74" s="26"/>
      <c r="E74" s="26"/>
      <c r="F74" s="26"/>
      <c r="G74" s="26"/>
      <c r="H74" s="26"/>
      <c r="I74" s="103">
        <f t="shared" si="95"/>
        <v>18759</v>
      </c>
      <c r="K74" s="12">
        <v>2009</v>
      </c>
      <c r="L74" s="217">
        <f t="shared" ref="L74:S74" si="100">(L9-L39)/($S9-$S39)</f>
        <v>0.64706583969465647</v>
      </c>
      <c r="M74" s="218">
        <f t="shared" si="100"/>
        <v>0</v>
      </c>
      <c r="N74" s="219">
        <f t="shared" si="100"/>
        <v>0.35245706106870228</v>
      </c>
      <c r="O74" s="220">
        <f t="shared" si="100"/>
        <v>0</v>
      </c>
      <c r="P74" s="221">
        <f t="shared" si="100"/>
        <v>0</v>
      </c>
      <c r="Q74" s="222">
        <f t="shared" si="100"/>
        <v>0</v>
      </c>
      <c r="R74" s="223">
        <f t="shared" si="100"/>
        <v>7.1564885496183206E-4</v>
      </c>
      <c r="S74" s="224">
        <f t="shared" si="100"/>
        <v>1</v>
      </c>
      <c r="U74" s="12">
        <v>2009</v>
      </c>
      <c r="V74" s="217">
        <f t="shared" ref="V74:AC74" si="101">(V9-V39)/($AC9-$AC39)</f>
        <v>0.57882328823288232</v>
      </c>
      <c r="W74" s="218">
        <f t="shared" si="101"/>
        <v>0</v>
      </c>
      <c r="X74" s="219">
        <f t="shared" si="101"/>
        <v>0.41656416564165644</v>
      </c>
      <c r="Y74" s="220">
        <f t="shared" si="101"/>
        <v>0</v>
      </c>
      <c r="Z74" s="221">
        <f t="shared" si="101"/>
        <v>0</v>
      </c>
      <c r="AA74" s="222">
        <f t="shared" si="101"/>
        <v>0</v>
      </c>
      <c r="AB74" s="223">
        <f t="shared" si="101"/>
        <v>4.6125461254612546E-3</v>
      </c>
      <c r="AC74" s="224">
        <f t="shared" si="101"/>
        <v>1</v>
      </c>
    </row>
    <row r="75" spans="1:29" s="103" customFormat="1">
      <c r="A75" s="24"/>
      <c r="B75" s="26"/>
      <c r="C75" s="26"/>
      <c r="D75" s="26"/>
      <c r="E75" s="26"/>
      <c r="F75" s="26"/>
      <c r="G75" s="26"/>
      <c r="H75" s="26"/>
      <c r="I75" s="103">
        <f t="shared" si="95"/>
        <v>19052</v>
      </c>
      <c r="K75" s="12">
        <v>2010</v>
      </c>
      <c r="L75" s="217">
        <f t="shared" ref="L75:S75" si="102">(L10-L40)/($S10-$S40)</f>
        <v>0.63837594696969702</v>
      </c>
      <c r="M75" s="218">
        <f t="shared" si="102"/>
        <v>0</v>
      </c>
      <c r="N75" s="219">
        <f t="shared" si="102"/>
        <v>0.36115056818181818</v>
      </c>
      <c r="O75" s="220">
        <f t="shared" si="102"/>
        <v>0</v>
      </c>
      <c r="P75" s="221">
        <f t="shared" si="102"/>
        <v>0</v>
      </c>
      <c r="Q75" s="222">
        <f t="shared" si="102"/>
        <v>0</v>
      </c>
      <c r="R75" s="223">
        <f t="shared" si="102"/>
        <v>3.5511363636363637E-4</v>
      </c>
      <c r="S75" s="224">
        <f t="shared" si="102"/>
        <v>1</v>
      </c>
      <c r="U75" s="12">
        <v>2010</v>
      </c>
      <c r="V75" s="217">
        <f t="shared" ref="V75:AC75" si="103">(V10-V40)/($AC10-$AC40)</f>
        <v>0.57311654211270446</v>
      </c>
      <c r="W75" s="218">
        <f t="shared" si="103"/>
        <v>0</v>
      </c>
      <c r="X75" s="219">
        <f t="shared" si="103"/>
        <v>0.42284386992526762</v>
      </c>
      <c r="Y75" s="220">
        <f t="shared" si="103"/>
        <v>0</v>
      </c>
      <c r="Z75" s="221">
        <f t="shared" si="103"/>
        <v>0</v>
      </c>
      <c r="AA75" s="222">
        <f t="shared" si="103"/>
        <v>0</v>
      </c>
      <c r="AB75" s="223">
        <f t="shared" si="103"/>
        <v>4.039587962027873E-3</v>
      </c>
      <c r="AC75" s="224">
        <f t="shared" si="103"/>
        <v>1</v>
      </c>
    </row>
    <row r="76" spans="1:29" s="103" customFormat="1">
      <c r="A76" s="24"/>
      <c r="B76" s="26"/>
      <c r="C76" s="26"/>
      <c r="D76" s="26"/>
      <c r="E76" s="26"/>
      <c r="F76" s="26"/>
      <c r="G76" s="26"/>
      <c r="H76" s="26"/>
      <c r="I76" s="103">
        <f t="shared" si="95"/>
        <v>18954</v>
      </c>
      <c r="K76" s="12">
        <v>2011</v>
      </c>
      <c r="L76" s="217">
        <f t="shared" ref="L76:S76" si="104">(L11-L41)/($S11-$S41)</f>
        <v>0.62138935306755794</v>
      </c>
      <c r="M76" s="218">
        <f t="shared" si="104"/>
        <v>0</v>
      </c>
      <c r="N76" s="219">
        <f t="shared" si="104"/>
        <v>0.37837192647409884</v>
      </c>
      <c r="O76" s="220">
        <f t="shared" si="104"/>
        <v>0</v>
      </c>
      <c r="P76" s="221">
        <f t="shared" si="104"/>
        <v>0</v>
      </c>
      <c r="Q76" s="222">
        <f t="shared" si="104"/>
        <v>0</v>
      </c>
      <c r="R76" s="223">
        <f t="shared" si="104"/>
        <v>2.3872045834328001E-4</v>
      </c>
      <c r="S76" s="224">
        <f t="shared" si="104"/>
        <v>1</v>
      </c>
      <c r="U76" s="12">
        <v>2011</v>
      </c>
      <c r="V76" s="217">
        <f t="shared" ref="V76:AC76" si="105">(V11-V41)/($AC11-$AC41)</f>
        <v>0.56503694705941898</v>
      </c>
      <c r="W76" s="218">
        <f t="shared" si="105"/>
        <v>0</v>
      </c>
      <c r="X76" s="219">
        <f t="shared" si="105"/>
        <v>0.431420184229173</v>
      </c>
      <c r="Y76" s="220">
        <f t="shared" si="105"/>
        <v>0</v>
      </c>
      <c r="Z76" s="221">
        <f t="shared" si="105"/>
        <v>0</v>
      </c>
      <c r="AA76" s="222">
        <f t="shared" si="105"/>
        <v>0</v>
      </c>
      <c r="AB76" s="223">
        <f t="shared" si="105"/>
        <v>3.5428687114080373E-3</v>
      </c>
      <c r="AC76" s="224">
        <f t="shared" si="105"/>
        <v>1</v>
      </c>
    </row>
    <row r="77" spans="1:29" s="103" customFormat="1">
      <c r="A77" s="24"/>
      <c r="B77" s="26"/>
      <c r="C77" s="26"/>
      <c r="D77" s="26"/>
      <c r="E77" s="26"/>
      <c r="F77" s="26"/>
      <c r="G77" s="26"/>
      <c r="H77" s="26"/>
      <c r="I77" s="103">
        <f t="shared" si="95"/>
        <v>18743</v>
      </c>
      <c r="K77" s="12">
        <v>2012</v>
      </c>
      <c r="L77" s="217">
        <f t="shared" ref="L77:S77" si="106">(L12-L42)/($S12-$S42)</f>
        <v>0.60658986745943266</v>
      </c>
      <c r="M77" s="218">
        <f t="shared" si="106"/>
        <v>0</v>
      </c>
      <c r="N77" s="219">
        <f t="shared" si="106"/>
        <v>0.39341013254056734</v>
      </c>
      <c r="O77" s="220">
        <f t="shared" si="106"/>
        <v>0</v>
      </c>
      <c r="P77" s="221">
        <f t="shared" si="106"/>
        <v>0</v>
      </c>
      <c r="Q77" s="222">
        <f t="shared" si="106"/>
        <v>0</v>
      </c>
      <c r="R77" s="223">
        <f t="shared" si="106"/>
        <v>1.238696890870804E-4</v>
      </c>
      <c r="S77" s="224">
        <f t="shared" si="106"/>
        <v>1</v>
      </c>
      <c r="U77" s="12">
        <v>2012</v>
      </c>
      <c r="V77" s="217">
        <f t="shared" ref="V77:AC77" si="107">(V12-V42)/($AC12-$AC42)</f>
        <v>0.55733898647284474</v>
      </c>
      <c r="W77" s="218">
        <f t="shared" si="107"/>
        <v>0</v>
      </c>
      <c r="X77" s="219">
        <f t="shared" si="107"/>
        <v>0.43963254593175854</v>
      </c>
      <c r="Y77" s="220">
        <f t="shared" si="107"/>
        <v>0</v>
      </c>
      <c r="Z77" s="221">
        <f t="shared" si="107"/>
        <v>0</v>
      </c>
      <c r="AA77" s="222">
        <f t="shared" si="107"/>
        <v>0</v>
      </c>
      <c r="AB77" s="223">
        <f t="shared" si="107"/>
        <v>3.0284675953967293E-3</v>
      </c>
      <c r="AC77" s="224">
        <f t="shared" si="107"/>
        <v>1</v>
      </c>
    </row>
    <row r="78" spans="1:29" s="103" customFormat="1">
      <c r="A78" s="24"/>
      <c r="B78" s="26"/>
      <c r="C78" s="26"/>
      <c r="D78" s="26"/>
      <c r="E78" s="26"/>
      <c r="F78" s="26"/>
      <c r="G78" s="26"/>
      <c r="H78" s="26"/>
      <c r="I78" s="103">
        <f t="shared" si="95"/>
        <v>18453</v>
      </c>
      <c r="K78" s="12">
        <v>2013</v>
      </c>
      <c r="L78" s="217">
        <f t="shared" ref="L78:S78" si="108">(L13-L43)/($S13-$S43)</f>
        <v>0.6075629189325914</v>
      </c>
      <c r="M78" s="218">
        <f t="shared" si="108"/>
        <v>0</v>
      </c>
      <c r="N78" s="219">
        <f t="shared" si="108"/>
        <v>0.3921841406348805</v>
      </c>
      <c r="O78" s="220">
        <f t="shared" si="108"/>
        <v>0</v>
      </c>
      <c r="P78" s="221">
        <f t="shared" si="108"/>
        <v>0</v>
      </c>
      <c r="Q78" s="222">
        <f t="shared" si="108"/>
        <v>0</v>
      </c>
      <c r="R78" s="223">
        <f t="shared" si="108"/>
        <v>0</v>
      </c>
      <c r="S78" s="224">
        <f t="shared" si="108"/>
        <v>1</v>
      </c>
      <c r="U78" s="12">
        <v>2013</v>
      </c>
      <c r="V78" s="217">
        <f t="shared" ref="V78:AC78" si="109">(V13-V43)/($AC13-$AC43)</f>
        <v>0.55606570758085905</v>
      </c>
      <c r="W78" s="218">
        <f t="shared" si="109"/>
        <v>0</v>
      </c>
      <c r="X78" s="219">
        <f t="shared" si="109"/>
        <v>0.44097541067238039</v>
      </c>
      <c r="Y78" s="220">
        <f t="shared" si="109"/>
        <v>0</v>
      </c>
      <c r="Z78" s="221">
        <f t="shared" si="109"/>
        <v>0</v>
      </c>
      <c r="AA78" s="222">
        <f t="shared" si="109"/>
        <v>0</v>
      </c>
      <c r="AB78" s="223">
        <f t="shared" si="109"/>
        <v>3.0609121518212429E-3</v>
      </c>
      <c r="AC78" s="224">
        <f t="shared" si="109"/>
        <v>1</v>
      </c>
    </row>
    <row r="79" spans="1:29" s="103" customFormat="1">
      <c r="A79" s="24"/>
      <c r="B79" s="26"/>
      <c r="C79" s="26"/>
      <c r="D79" s="26"/>
      <c r="E79" s="26"/>
      <c r="F79" s="26"/>
      <c r="G79" s="26"/>
      <c r="H79" s="26"/>
      <c r="I79" s="103">
        <f t="shared" si="95"/>
        <v>18495</v>
      </c>
      <c r="K79" s="12">
        <v>2014</v>
      </c>
      <c r="L79" s="217">
        <f t="shared" ref="L79:S79" si="110">(L14-L44)/($S14-$S44)</f>
        <v>0.60630811761749182</v>
      </c>
      <c r="M79" s="218">
        <f t="shared" si="110"/>
        <v>0</v>
      </c>
      <c r="N79" s="219">
        <f t="shared" si="110"/>
        <v>0.39356622266901231</v>
      </c>
      <c r="O79" s="220">
        <f t="shared" si="110"/>
        <v>0</v>
      </c>
      <c r="P79" s="221">
        <f t="shared" si="110"/>
        <v>0</v>
      </c>
      <c r="Q79" s="222">
        <f t="shared" si="110"/>
        <v>0</v>
      </c>
      <c r="R79" s="223">
        <f t="shared" si="110"/>
        <v>1.2565971349585322E-4</v>
      </c>
      <c r="S79" s="224">
        <f t="shared" si="110"/>
        <v>1</v>
      </c>
      <c r="U79" s="12">
        <v>2014</v>
      </c>
      <c r="V79" s="217">
        <f t="shared" ref="V79:AC79" si="111">(V14-V44)/($AC14-$AC44)</f>
        <v>0.55563466232709524</v>
      </c>
      <c r="W79" s="218">
        <f t="shared" si="111"/>
        <v>0</v>
      </c>
      <c r="X79" s="219">
        <f t="shared" si="111"/>
        <v>0.44141578519121238</v>
      </c>
      <c r="Y79" s="220">
        <f t="shared" si="111"/>
        <v>0</v>
      </c>
      <c r="Z79" s="221">
        <f t="shared" si="111"/>
        <v>0</v>
      </c>
      <c r="AA79" s="222">
        <f t="shared" si="111"/>
        <v>0</v>
      </c>
      <c r="AB79" s="223">
        <f t="shared" si="111"/>
        <v>3.0512611879576893E-3</v>
      </c>
      <c r="AC79" s="224">
        <f t="shared" si="111"/>
        <v>1</v>
      </c>
    </row>
    <row r="80" spans="1:29" s="103" customFormat="1">
      <c r="A80" s="24"/>
      <c r="B80" s="26"/>
      <c r="C80" s="26"/>
      <c r="D80" s="26"/>
      <c r="E80" s="26"/>
      <c r="F80" s="26"/>
      <c r="G80" s="26"/>
      <c r="H80" s="26"/>
      <c r="I80" s="103">
        <f t="shared" si="95"/>
        <v>17846</v>
      </c>
      <c r="K80" s="12">
        <v>2015</v>
      </c>
      <c r="L80" s="217">
        <f t="shared" ref="L80:S80" si="112">(L15-L45)/($S15-$S45)</f>
        <v>0.60450331125827816</v>
      </c>
      <c r="M80" s="218">
        <f t="shared" si="112"/>
        <v>0</v>
      </c>
      <c r="N80" s="219">
        <f t="shared" si="112"/>
        <v>0.39536423841059604</v>
      </c>
      <c r="O80" s="220">
        <f t="shared" si="112"/>
        <v>0</v>
      </c>
      <c r="P80" s="221">
        <f t="shared" si="112"/>
        <v>0</v>
      </c>
      <c r="Q80" s="222">
        <f t="shared" si="112"/>
        <v>0</v>
      </c>
      <c r="R80" s="223">
        <f t="shared" si="112"/>
        <v>1.3245033112582781E-4</v>
      </c>
      <c r="S80" s="224">
        <f t="shared" si="112"/>
        <v>1</v>
      </c>
      <c r="U80" s="12">
        <v>2015</v>
      </c>
      <c r="V80" s="217">
        <f t="shared" ref="V80:AC80" si="113">(V15-V45)/($AC15-$AC45)</f>
        <v>0.55528821006381424</v>
      </c>
      <c r="W80" s="218">
        <f t="shared" si="113"/>
        <v>0</v>
      </c>
      <c r="X80" s="219">
        <f t="shared" si="113"/>
        <v>0.4417826132440632</v>
      </c>
      <c r="Y80" s="220">
        <f t="shared" si="113"/>
        <v>0</v>
      </c>
      <c r="Z80" s="221">
        <f t="shared" si="113"/>
        <v>0</v>
      </c>
      <c r="AA80" s="222">
        <f t="shared" si="113"/>
        <v>0</v>
      </c>
      <c r="AB80" s="223">
        <f t="shared" si="113"/>
        <v>2.929176692122607E-3</v>
      </c>
      <c r="AC80" s="224">
        <f t="shared" si="113"/>
        <v>1</v>
      </c>
    </row>
    <row r="81" spans="1:29" s="103" customFormat="1">
      <c r="A81" s="24"/>
      <c r="B81" s="26"/>
      <c r="C81" s="26"/>
      <c r="D81" s="26"/>
      <c r="E81" s="26"/>
      <c r="F81" s="26"/>
      <c r="G81" s="26"/>
      <c r="H81" s="26"/>
      <c r="I81" s="103">
        <f t="shared" si="95"/>
        <v>18319</v>
      </c>
      <c r="K81" s="12">
        <v>2016</v>
      </c>
      <c r="L81" s="217">
        <f t="shared" ref="L81:S81" si="114">(L16-L46)/($S16-$S46)</f>
        <v>0.6032188569256115</v>
      </c>
      <c r="M81" s="218">
        <f t="shared" si="114"/>
        <v>0</v>
      </c>
      <c r="N81" s="219">
        <f t="shared" si="114"/>
        <v>0.39652768977315928</v>
      </c>
      <c r="O81" s="220">
        <f t="shared" si="114"/>
        <v>0</v>
      </c>
      <c r="P81" s="221">
        <f t="shared" si="114"/>
        <v>0</v>
      </c>
      <c r="Q81" s="222">
        <f t="shared" si="114"/>
        <v>0</v>
      </c>
      <c r="R81" s="223">
        <f t="shared" si="114"/>
        <v>1.2672665061462426E-4</v>
      </c>
      <c r="S81" s="224">
        <f t="shared" si="114"/>
        <v>1</v>
      </c>
      <c r="U81" s="12">
        <v>2016</v>
      </c>
      <c r="V81" s="217">
        <f t="shared" ref="V81:AC81" si="115">(V16-V46)/($AC16-$AC46)</f>
        <v>0.55533880903490762</v>
      </c>
      <c r="W81" s="218">
        <f t="shared" si="115"/>
        <v>0</v>
      </c>
      <c r="X81" s="219">
        <f t="shared" si="115"/>
        <v>0.44168377823408622</v>
      </c>
      <c r="Y81" s="220">
        <f t="shared" si="115"/>
        <v>0</v>
      </c>
      <c r="Z81" s="221">
        <f t="shared" si="115"/>
        <v>0</v>
      </c>
      <c r="AA81" s="222">
        <f t="shared" si="115"/>
        <v>0</v>
      </c>
      <c r="AB81" s="223">
        <f t="shared" si="115"/>
        <v>3.0800821355236141E-3</v>
      </c>
      <c r="AC81" s="224">
        <f t="shared" si="115"/>
        <v>1</v>
      </c>
    </row>
    <row r="82" spans="1:29" s="103" customFormat="1">
      <c r="A82" s="24"/>
      <c r="B82" s="26"/>
      <c r="C82" s="26"/>
      <c r="D82" s="26"/>
      <c r="E82" s="26"/>
      <c r="F82" s="26"/>
      <c r="G82" s="26"/>
      <c r="H82" s="26"/>
      <c r="I82" s="26"/>
    </row>
    <row r="83" spans="1:29" s="103" customFormat="1">
      <c r="A83" s="24"/>
      <c r="B83" s="26"/>
      <c r="C83" s="26"/>
      <c r="D83" s="26"/>
      <c r="E83" s="26"/>
      <c r="F83" s="26"/>
      <c r="G83" s="26"/>
      <c r="H83" s="26"/>
      <c r="I83" s="26"/>
    </row>
    <row r="84" spans="1:29" s="103" customFormat="1">
      <c r="A84" s="24"/>
      <c r="B84" s="26"/>
      <c r="C84" s="26"/>
      <c r="D84" s="26"/>
      <c r="E84" s="26"/>
      <c r="F84" s="26"/>
      <c r="G84" s="26"/>
      <c r="H84" s="26"/>
      <c r="I84" s="26"/>
    </row>
    <row r="85" spans="1:29" s="103" customFormat="1">
      <c r="A85" s="24"/>
      <c r="B85" s="26"/>
      <c r="C85" s="26"/>
      <c r="D85" s="26"/>
      <c r="E85" s="26"/>
      <c r="F85" s="26"/>
      <c r="G85" s="26"/>
      <c r="H85" s="26"/>
      <c r="I85" s="26"/>
    </row>
    <row r="88" spans="1:29" ht="15" customHeight="1"/>
    <row r="89" spans="1:29" s="68" customFormat="1">
      <c r="A89" s="189" t="s">
        <v>789</v>
      </c>
    </row>
    <row r="90" spans="1:29" s="103" customFormat="1">
      <c r="A90" s="189" t="s">
        <v>813</v>
      </c>
    </row>
    <row r="91" spans="1:29" s="103" customFormat="1">
      <c r="A91" s="103" t="s">
        <v>790</v>
      </c>
    </row>
    <row r="92" spans="1:29" s="103" customFormat="1">
      <c r="A92" s="103" t="s">
        <v>800</v>
      </c>
      <c r="H92" s="103" t="s">
        <v>801</v>
      </c>
    </row>
    <row r="93" spans="1:29" s="103" customFormat="1">
      <c r="A93" s="60" t="s">
        <v>791</v>
      </c>
      <c r="K93" s="60" t="s">
        <v>802</v>
      </c>
    </row>
    <row r="94" spans="1:29" s="103" customFormat="1" ht="27">
      <c r="A94" s="2" t="s">
        <v>13</v>
      </c>
      <c r="B94" s="190" t="s">
        <v>792</v>
      </c>
      <c r="C94" s="191" t="s">
        <v>793</v>
      </c>
      <c r="D94" s="192" t="s">
        <v>794</v>
      </c>
      <c r="E94" s="193" t="s">
        <v>795</v>
      </c>
      <c r="F94" s="194" t="s">
        <v>796</v>
      </c>
      <c r="G94" s="195" t="s">
        <v>797</v>
      </c>
      <c r="H94" s="196" t="s">
        <v>798</v>
      </c>
      <c r="I94" s="197" t="s">
        <v>17</v>
      </c>
      <c r="K94" s="2" t="s">
        <v>13</v>
      </c>
      <c r="L94" s="190" t="s">
        <v>792</v>
      </c>
      <c r="M94" s="191" t="s">
        <v>793</v>
      </c>
      <c r="N94" s="192" t="s">
        <v>794</v>
      </c>
      <c r="O94" s="193" t="s">
        <v>795</v>
      </c>
      <c r="P94" s="194" t="s">
        <v>796</v>
      </c>
      <c r="Q94" s="195" t="s">
        <v>797</v>
      </c>
      <c r="R94" s="196" t="s">
        <v>798</v>
      </c>
      <c r="S94" s="197" t="s">
        <v>17</v>
      </c>
    </row>
    <row r="95" spans="1:29" s="103" customFormat="1">
      <c r="A95" s="12">
        <v>2006</v>
      </c>
      <c r="B95" s="198">
        <v>4396</v>
      </c>
      <c r="C95" s="199">
        <v>2849</v>
      </c>
      <c r="D95" s="200">
        <v>3509</v>
      </c>
      <c r="E95" s="201">
        <v>1035</v>
      </c>
      <c r="F95" s="202">
        <v>1770</v>
      </c>
      <c r="G95" s="203">
        <v>1367</v>
      </c>
      <c r="H95" s="204">
        <v>563</v>
      </c>
      <c r="I95" s="205">
        <v>15489</v>
      </c>
      <c r="K95" s="3">
        <v>2006</v>
      </c>
      <c r="L95" s="208">
        <v>2504</v>
      </c>
      <c r="M95" s="209">
        <v>2157</v>
      </c>
      <c r="N95" s="200">
        <v>1976</v>
      </c>
      <c r="O95" s="210">
        <v>725</v>
      </c>
      <c r="P95" s="211">
        <v>886</v>
      </c>
      <c r="Q95" s="212">
        <v>844</v>
      </c>
      <c r="R95" s="204">
        <v>385</v>
      </c>
      <c r="S95" s="205">
        <v>9478</v>
      </c>
    </row>
    <row r="96" spans="1:29" s="103" customFormat="1">
      <c r="A96" s="12">
        <v>2007</v>
      </c>
      <c r="B96" s="198">
        <v>4402</v>
      </c>
      <c r="C96" s="199">
        <v>2773</v>
      </c>
      <c r="D96" s="200">
        <v>3509</v>
      </c>
      <c r="E96" s="201">
        <v>1009</v>
      </c>
      <c r="F96" s="202">
        <v>1826</v>
      </c>
      <c r="G96" s="203">
        <v>1414</v>
      </c>
      <c r="H96" s="204">
        <v>589</v>
      </c>
      <c r="I96" s="205">
        <v>15521</v>
      </c>
      <c r="K96" s="3">
        <v>2007</v>
      </c>
      <c r="L96" s="208">
        <v>2621</v>
      </c>
      <c r="M96" s="209">
        <v>2190</v>
      </c>
      <c r="N96" s="200">
        <v>1927</v>
      </c>
      <c r="O96" s="210">
        <v>700</v>
      </c>
      <c r="P96" s="211">
        <v>915</v>
      </c>
      <c r="Q96" s="212">
        <v>909</v>
      </c>
      <c r="R96" s="204">
        <v>401</v>
      </c>
      <c r="S96" s="205">
        <v>9664</v>
      </c>
    </row>
    <row r="97" spans="1:19" s="103" customFormat="1">
      <c r="A97" s="12">
        <v>2008</v>
      </c>
      <c r="B97" s="198">
        <v>4467</v>
      </c>
      <c r="C97" s="199">
        <v>2620</v>
      </c>
      <c r="D97" s="200">
        <v>3567</v>
      </c>
      <c r="E97" s="206">
        <v>952</v>
      </c>
      <c r="F97" s="202">
        <v>1825</v>
      </c>
      <c r="G97" s="203">
        <v>1421</v>
      </c>
      <c r="H97" s="204">
        <v>599</v>
      </c>
      <c r="I97" s="205">
        <v>15451</v>
      </c>
      <c r="K97" s="3">
        <v>2008</v>
      </c>
      <c r="L97" s="208">
        <v>2867</v>
      </c>
      <c r="M97" s="209">
        <v>2216</v>
      </c>
      <c r="N97" s="200">
        <v>1992</v>
      </c>
      <c r="O97" s="210">
        <v>673</v>
      </c>
      <c r="P97" s="211">
        <v>940</v>
      </c>
      <c r="Q97" s="212">
        <v>977</v>
      </c>
      <c r="R97" s="204">
        <v>418</v>
      </c>
      <c r="S97" s="205">
        <v>10082</v>
      </c>
    </row>
    <row r="98" spans="1:19" s="103" customFormat="1">
      <c r="A98" s="12">
        <v>2009</v>
      </c>
      <c r="B98" s="198">
        <v>4546</v>
      </c>
      <c r="C98" s="199">
        <v>2801</v>
      </c>
      <c r="D98" s="200">
        <v>3566</v>
      </c>
      <c r="E98" s="206">
        <v>963</v>
      </c>
      <c r="F98" s="202">
        <v>1863</v>
      </c>
      <c r="G98" s="203">
        <v>1505</v>
      </c>
      <c r="H98" s="204">
        <v>671</v>
      </c>
      <c r="I98" s="205">
        <v>15915</v>
      </c>
      <c r="K98" s="3">
        <v>2009</v>
      </c>
      <c r="L98" s="208">
        <v>2761</v>
      </c>
      <c r="M98" s="209">
        <v>2302</v>
      </c>
      <c r="N98" s="200">
        <v>1977</v>
      </c>
      <c r="O98" s="210">
        <v>676</v>
      </c>
      <c r="P98" s="211">
        <v>955</v>
      </c>
      <c r="Q98" s="213">
        <v>1014</v>
      </c>
      <c r="R98" s="204">
        <v>468</v>
      </c>
      <c r="S98" s="205">
        <v>10153</v>
      </c>
    </row>
    <row r="99" spans="1:19" s="103" customFormat="1">
      <c r="A99" s="12">
        <v>2010</v>
      </c>
      <c r="B99" s="198">
        <v>4661</v>
      </c>
      <c r="C99" s="199">
        <v>2870</v>
      </c>
      <c r="D99" s="200">
        <v>3557</v>
      </c>
      <c r="E99" s="206">
        <v>947</v>
      </c>
      <c r="F99" s="202">
        <v>1818</v>
      </c>
      <c r="G99" s="203">
        <v>1558</v>
      </c>
      <c r="H99" s="204">
        <v>742</v>
      </c>
      <c r="I99" s="205">
        <v>16152</v>
      </c>
      <c r="K99" s="3">
        <v>2010</v>
      </c>
      <c r="L99" s="208">
        <v>2685</v>
      </c>
      <c r="M99" s="209">
        <v>2285</v>
      </c>
      <c r="N99" s="200">
        <v>1995</v>
      </c>
      <c r="O99" s="210">
        <v>645</v>
      </c>
      <c r="P99" s="211">
        <v>926</v>
      </c>
      <c r="Q99" s="213">
        <v>1029</v>
      </c>
      <c r="R99" s="204">
        <v>519</v>
      </c>
      <c r="S99" s="205">
        <v>10084</v>
      </c>
    </row>
    <row r="100" spans="1:19" s="103" customFormat="1">
      <c r="A100" s="12">
        <v>2011</v>
      </c>
      <c r="B100" s="198">
        <v>4735</v>
      </c>
      <c r="C100" s="199">
        <v>2931</v>
      </c>
      <c r="D100" s="200">
        <v>3564</v>
      </c>
      <c r="E100" s="206">
        <v>942</v>
      </c>
      <c r="F100" s="202">
        <v>1763</v>
      </c>
      <c r="G100" s="203">
        <v>1642</v>
      </c>
      <c r="H100" s="204">
        <v>841</v>
      </c>
      <c r="I100" s="205">
        <v>16418</v>
      </c>
      <c r="K100" s="3">
        <v>2011</v>
      </c>
      <c r="L100" s="208">
        <v>2515</v>
      </c>
      <c r="M100" s="209">
        <v>2163</v>
      </c>
      <c r="N100" s="200">
        <v>1949</v>
      </c>
      <c r="O100" s="210">
        <v>585</v>
      </c>
      <c r="P100" s="211">
        <v>857</v>
      </c>
      <c r="Q100" s="213">
        <v>1025</v>
      </c>
      <c r="R100" s="204">
        <v>567</v>
      </c>
      <c r="S100" s="205">
        <v>9662</v>
      </c>
    </row>
    <row r="101" spans="1:19" s="103" customFormat="1">
      <c r="A101" s="12">
        <v>2012</v>
      </c>
      <c r="B101" s="198">
        <v>4787</v>
      </c>
      <c r="C101" s="199">
        <v>3029</v>
      </c>
      <c r="D101" s="200">
        <v>3544</v>
      </c>
      <c r="E101" s="206">
        <v>970</v>
      </c>
      <c r="F101" s="202">
        <v>1725</v>
      </c>
      <c r="G101" s="203">
        <v>1794</v>
      </c>
      <c r="H101" s="204">
        <v>995</v>
      </c>
      <c r="I101" s="205">
        <v>16844</v>
      </c>
      <c r="K101" s="3">
        <v>2012</v>
      </c>
      <c r="L101" s="208">
        <v>2459</v>
      </c>
      <c r="M101" s="209">
        <v>2162</v>
      </c>
      <c r="N101" s="200">
        <v>1978</v>
      </c>
      <c r="O101" s="210">
        <v>561</v>
      </c>
      <c r="P101" s="211">
        <v>838</v>
      </c>
      <c r="Q101" s="213">
        <v>1127</v>
      </c>
      <c r="R101" s="204">
        <v>678</v>
      </c>
      <c r="S101" s="205">
        <v>9804</v>
      </c>
    </row>
    <row r="102" spans="1:19" s="103" customFormat="1">
      <c r="A102" s="12">
        <v>2013</v>
      </c>
      <c r="B102" s="198">
        <v>4800</v>
      </c>
      <c r="C102" s="199">
        <v>2691</v>
      </c>
      <c r="D102" s="200">
        <v>3552</v>
      </c>
      <c r="E102" s="206">
        <v>958</v>
      </c>
      <c r="F102" s="202">
        <v>1679</v>
      </c>
      <c r="G102" s="203">
        <v>1876</v>
      </c>
      <c r="H102" s="207">
        <v>1058</v>
      </c>
      <c r="I102" s="205">
        <v>16614</v>
      </c>
      <c r="K102" s="3">
        <v>2013</v>
      </c>
      <c r="L102" s="208">
        <v>2402</v>
      </c>
      <c r="M102" s="209">
        <v>1896</v>
      </c>
      <c r="N102" s="200">
        <v>1954</v>
      </c>
      <c r="O102" s="210">
        <v>513</v>
      </c>
      <c r="P102" s="211">
        <v>816</v>
      </c>
      <c r="Q102" s="213">
        <v>1172</v>
      </c>
      <c r="R102" s="204">
        <v>717</v>
      </c>
      <c r="S102" s="205">
        <v>9470</v>
      </c>
    </row>
    <row r="103" spans="1:19" s="103" customFormat="1">
      <c r="A103" s="12">
        <v>2014</v>
      </c>
      <c r="B103" s="198">
        <v>4789</v>
      </c>
      <c r="C103" s="199">
        <v>3415</v>
      </c>
      <c r="D103" s="200">
        <v>3544</v>
      </c>
      <c r="E103" s="206">
        <v>945</v>
      </c>
      <c r="F103" s="202">
        <v>1777</v>
      </c>
      <c r="G103" s="203">
        <v>1851</v>
      </c>
      <c r="H103" s="207">
        <v>1044</v>
      </c>
      <c r="I103" s="205">
        <v>17364</v>
      </c>
      <c r="K103" s="3">
        <v>2014</v>
      </c>
      <c r="L103" s="208">
        <v>2403</v>
      </c>
      <c r="M103" s="209">
        <v>2428</v>
      </c>
      <c r="N103" s="200">
        <v>1961</v>
      </c>
      <c r="O103" s="210">
        <v>506</v>
      </c>
      <c r="P103" s="211">
        <v>864</v>
      </c>
      <c r="Q103" s="213">
        <v>1158</v>
      </c>
      <c r="R103" s="204">
        <v>708</v>
      </c>
      <c r="S103" s="205">
        <v>10028</v>
      </c>
    </row>
    <row r="104" spans="1:19" s="103" customFormat="1">
      <c r="A104" s="12">
        <v>2015</v>
      </c>
      <c r="B104" s="198">
        <v>4677</v>
      </c>
      <c r="C104" s="199">
        <v>3374</v>
      </c>
      <c r="D104" s="200">
        <v>3421</v>
      </c>
      <c r="E104" s="206">
        <v>925</v>
      </c>
      <c r="F104" s="202">
        <v>1822</v>
      </c>
      <c r="G104" s="203">
        <v>1811</v>
      </c>
      <c r="H104" s="207">
        <v>1022</v>
      </c>
      <c r="I104" s="205">
        <v>17052</v>
      </c>
      <c r="K104" s="3">
        <v>2015</v>
      </c>
      <c r="L104" s="208">
        <v>2314</v>
      </c>
      <c r="M104" s="209">
        <v>2354</v>
      </c>
      <c r="N104" s="200">
        <v>1886</v>
      </c>
      <c r="O104" s="210">
        <v>488</v>
      </c>
      <c r="P104" s="211">
        <v>873</v>
      </c>
      <c r="Q104" s="213">
        <v>1115</v>
      </c>
      <c r="R104" s="204">
        <v>682</v>
      </c>
      <c r="S104" s="205">
        <v>9711</v>
      </c>
    </row>
    <row r="105" spans="1:19" s="103" customFormat="1">
      <c r="A105" s="12">
        <v>2016</v>
      </c>
      <c r="B105" s="198">
        <v>4809</v>
      </c>
      <c r="C105" s="199">
        <v>3344</v>
      </c>
      <c r="D105" s="200">
        <v>3558</v>
      </c>
      <c r="E105" s="206">
        <v>959</v>
      </c>
      <c r="F105" s="202">
        <v>1788</v>
      </c>
      <c r="G105" s="203">
        <v>1878</v>
      </c>
      <c r="H105" s="207">
        <v>1059</v>
      </c>
      <c r="I105" s="205">
        <v>17395</v>
      </c>
      <c r="K105" s="3">
        <v>2016</v>
      </c>
      <c r="L105" s="208">
        <v>2333</v>
      </c>
      <c r="M105" s="209">
        <v>2288</v>
      </c>
      <c r="N105" s="200">
        <v>1902</v>
      </c>
      <c r="O105" s="210">
        <v>495</v>
      </c>
      <c r="P105" s="211">
        <v>838</v>
      </c>
      <c r="Q105" s="213">
        <v>1133</v>
      </c>
      <c r="R105" s="204">
        <v>693</v>
      </c>
      <c r="S105" s="205">
        <v>9682</v>
      </c>
    </row>
    <row r="107" spans="1:19">
      <c r="A107" s="189" t="s">
        <v>35</v>
      </c>
    </row>
    <row r="108" spans="1:19" s="103" customFormat="1">
      <c r="A108" s="60" t="s">
        <v>791</v>
      </c>
      <c r="K108" s="60" t="s">
        <v>802</v>
      </c>
    </row>
    <row r="109" spans="1:19" ht="27">
      <c r="A109" s="2" t="s">
        <v>13</v>
      </c>
      <c r="B109" s="190" t="s">
        <v>792</v>
      </c>
      <c r="C109" s="191" t="s">
        <v>793</v>
      </c>
      <c r="D109" s="192" t="s">
        <v>794</v>
      </c>
      <c r="E109" s="193" t="s">
        <v>795</v>
      </c>
      <c r="F109" s="194" t="s">
        <v>796</v>
      </c>
      <c r="G109" s="195" t="s">
        <v>797</v>
      </c>
      <c r="H109" s="196" t="s">
        <v>798</v>
      </c>
      <c r="I109" s="197" t="s">
        <v>17</v>
      </c>
      <c r="K109" s="2" t="s">
        <v>13</v>
      </c>
      <c r="L109" s="190" t="s">
        <v>792</v>
      </c>
      <c r="M109" s="191" t="s">
        <v>793</v>
      </c>
      <c r="N109" s="192" t="s">
        <v>794</v>
      </c>
      <c r="O109" s="193" t="s">
        <v>795</v>
      </c>
      <c r="P109" s="194" t="s">
        <v>796</v>
      </c>
      <c r="Q109" s="195" t="s">
        <v>797</v>
      </c>
      <c r="R109" s="196" t="s">
        <v>798</v>
      </c>
      <c r="S109" s="197" t="s">
        <v>17</v>
      </c>
    </row>
    <row r="110" spans="1:19">
      <c r="A110" s="12">
        <v>2006</v>
      </c>
      <c r="B110" s="225">
        <v>813</v>
      </c>
      <c r="C110" s="199">
        <v>2849</v>
      </c>
      <c r="D110" s="200">
        <v>1070</v>
      </c>
      <c r="E110" s="201">
        <v>1035</v>
      </c>
      <c r="F110" s="202">
        <v>1770</v>
      </c>
      <c r="G110" s="203">
        <v>1367</v>
      </c>
      <c r="H110" s="204">
        <v>539</v>
      </c>
      <c r="I110" s="205">
        <v>9442</v>
      </c>
      <c r="K110" s="3">
        <v>2006</v>
      </c>
      <c r="L110" s="225">
        <v>587</v>
      </c>
      <c r="M110" s="209">
        <v>2157</v>
      </c>
      <c r="N110" s="228">
        <v>171</v>
      </c>
      <c r="O110" s="210">
        <v>725</v>
      </c>
      <c r="P110" s="211">
        <v>886</v>
      </c>
      <c r="Q110" s="212">
        <v>844</v>
      </c>
      <c r="R110" s="204">
        <v>364</v>
      </c>
      <c r="S110" s="205">
        <v>5733</v>
      </c>
    </row>
    <row r="111" spans="1:19">
      <c r="A111" s="12">
        <v>2007</v>
      </c>
      <c r="B111" s="225">
        <v>850</v>
      </c>
      <c r="C111" s="199">
        <v>2773</v>
      </c>
      <c r="D111" s="200">
        <v>1181</v>
      </c>
      <c r="E111" s="201">
        <v>1009</v>
      </c>
      <c r="F111" s="202">
        <v>1826</v>
      </c>
      <c r="G111" s="203">
        <v>1414</v>
      </c>
      <c r="H111" s="204">
        <v>563</v>
      </c>
      <c r="I111" s="205">
        <v>9615</v>
      </c>
      <c r="K111" s="3">
        <v>2007</v>
      </c>
      <c r="L111" s="225">
        <v>659</v>
      </c>
      <c r="M111" s="209">
        <v>2190</v>
      </c>
      <c r="N111" s="228">
        <v>218</v>
      </c>
      <c r="O111" s="210">
        <v>700</v>
      </c>
      <c r="P111" s="211">
        <v>915</v>
      </c>
      <c r="Q111" s="212">
        <v>909</v>
      </c>
      <c r="R111" s="204">
        <v>380</v>
      </c>
      <c r="S111" s="205">
        <v>5972</v>
      </c>
    </row>
    <row r="112" spans="1:19">
      <c r="A112" s="12">
        <v>2008</v>
      </c>
      <c r="B112" s="225">
        <v>862</v>
      </c>
      <c r="C112" s="199">
        <v>2620</v>
      </c>
      <c r="D112" s="200">
        <v>1264</v>
      </c>
      <c r="E112" s="206">
        <v>952</v>
      </c>
      <c r="F112" s="202">
        <v>1825</v>
      </c>
      <c r="G112" s="203">
        <v>1421</v>
      </c>
      <c r="H112" s="204">
        <v>570</v>
      </c>
      <c r="I112" s="205">
        <v>9514</v>
      </c>
      <c r="K112" s="3">
        <v>2008</v>
      </c>
      <c r="L112" s="225">
        <v>744</v>
      </c>
      <c r="M112" s="209">
        <v>2216</v>
      </c>
      <c r="N112" s="228">
        <v>277</v>
      </c>
      <c r="O112" s="210">
        <v>673</v>
      </c>
      <c r="P112" s="211">
        <v>940</v>
      </c>
      <c r="Q112" s="212">
        <v>977</v>
      </c>
      <c r="R112" s="204">
        <v>395</v>
      </c>
      <c r="S112" s="205">
        <v>6222</v>
      </c>
    </row>
    <row r="113" spans="1:19">
      <c r="A113" s="12">
        <v>2009</v>
      </c>
      <c r="B113" s="225">
        <v>951</v>
      </c>
      <c r="C113" s="199">
        <v>2801</v>
      </c>
      <c r="D113" s="200">
        <v>1252</v>
      </c>
      <c r="E113" s="206">
        <v>963</v>
      </c>
      <c r="F113" s="202">
        <v>1863</v>
      </c>
      <c r="G113" s="203">
        <v>1505</v>
      </c>
      <c r="H113" s="204">
        <v>644</v>
      </c>
      <c r="I113" s="205">
        <v>9979</v>
      </c>
      <c r="K113" s="3">
        <v>2009</v>
      </c>
      <c r="L113" s="225">
        <v>709</v>
      </c>
      <c r="M113" s="209">
        <v>2302</v>
      </c>
      <c r="N113" s="228">
        <v>227</v>
      </c>
      <c r="O113" s="210">
        <v>676</v>
      </c>
      <c r="P113" s="211">
        <v>955</v>
      </c>
      <c r="Q113" s="213">
        <v>1014</v>
      </c>
      <c r="R113" s="204">
        <v>450</v>
      </c>
      <c r="S113" s="205">
        <v>6333</v>
      </c>
    </row>
    <row r="114" spans="1:19">
      <c r="A114" s="12">
        <v>2010</v>
      </c>
      <c r="B114" s="226">
        <v>1004</v>
      </c>
      <c r="C114" s="199">
        <v>2870</v>
      </c>
      <c r="D114" s="200">
        <v>1187</v>
      </c>
      <c r="E114" s="206">
        <v>947</v>
      </c>
      <c r="F114" s="202">
        <v>1818</v>
      </c>
      <c r="G114" s="203">
        <v>1558</v>
      </c>
      <c r="H114" s="204">
        <v>717</v>
      </c>
      <c r="I114" s="205">
        <v>10100</v>
      </c>
      <c r="K114" s="3">
        <v>2010</v>
      </c>
      <c r="L114" s="225">
        <v>667</v>
      </c>
      <c r="M114" s="209">
        <v>2285</v>
      </c>
      <c r="N114" s="228">
        <v>178</v>
      </c>
      <c r="O114" s="210">
        <v>645</v>
      </c>
      <c r="P114" s="211">
        <v>926</v>
      </c>
      <c r="Q114" s="213">
        <v>1029</v>
      </c>
      <c r="R114" s="204">
        <v>504</v>
      </c>
      <c r="S114" s="205">
        <v>6234</v>
      </c>
    </row>
    <row r="115" spans="1:19">
      <c r="A115" s="12">
        <v>2011</v>
      </c>
      <c r="B115" s="226">
        <v>1055</v>
      </c>
      <c r="C115" s="199">
        <v>2931</v>
      </c>
      <c r="D115" s="200">
        <v>1118</v>
      </c>
      <c r="E115" s="206">
        <v>942</v>
      </c>
      <c r="F115" s="202">
        <v>1763</v>
      </c>
      <c r="G115" s="203">
        <v>1642</v>
      </c>
      <c r="H115" s="204">
        <v>817</v>
      </c>
      <c r="I115" s="205">
        <v>10269</v>
      </c>
      <c r="K115" s="3">
        <v>2011</v>
      </c>
      <c r="L115" s="225">
        <v>613</v>
      </c>
      <c r="M115" s="209">
        <v>2163</v>
      </c>
      <c r="N115" s="228">
        <v>133</v>
      </c>
      <c r="O115" s="210">
        <v>585</v>
      </c>
      <c r="P115" s="211">
        <v>857</v>
      </c>
      <c r="Q115" s="213">
        <v>1025</v>
      </c>
      <c r="R115" s="204">
        <v>556</v>
      </c>
      <c r="S115" s="205">
        <v>5932</v>
      </c>
    </row>
    <row r="116" spans="1:19">
      <c r="A116" s="12">
        <v>2012</v>
      </c>
      <c r="B116" s="226">
        <v>1120</v>
      </c>
      <c r="C116" s="199">
        <v>3029</v>
      </c>
      <c r="D116" s="200">
        <v>1062</v>
      </c>
      <c r="E116" s="206">
        <v>970</v>
      </c>
      <c r="F116" s="202">
        <v>1725</v>
      </c>
      <c r="G116" s="203">
        <v>1794</v>
      </c>
      <c r="H116" s="204">
        <v>974</v>
      </c>
      <c r="I116" s="205">
        <v>10674</v>
      </c>
      <c r="K116" s="3">
        <v>2012</v>
      </c>
      <c r="L116" s="225">
        <v>605</v>
      </c>
      <c r="M116" s="209">
        <v>2162</v>
      </c>
      <c r="N116" s="228">
        <v>105</v>
      </c>
      <c r="O116" s="210">
        <v>561</v>
      </c>
      <c r="P116" s="211">
        <v>838</v>
      </c>
      <c r="Q116" s="213">
        <v>1127</v>
      </c>
      <c r="R116" s="204">
        <v>669</v>
      </c>
      <c r="S116" s="205">
        <v>6068</v>
      </c>
    </row>
    <row r="117" spans="1:19">
      <c r="A117" s="12">
        <v>2013</v>
      </c>
      <c r="B117" s="226">
        <v>1155</v>
      </c>
      <c r="C117" s="199">
        <v>2691</v>
      </c>
      <c r="D117" s="200">
        <v>1076</v>
      </c>
      <c r="E117" s="206">
        <v>958</v>
      </c>
      <c r="F117" s="202">
        <v>1679</v>
      </c>
      <c r="G117" s="203">
        <v>1876</v>
      </c>
      <c r="H117" s="207">
        <v>1037</v>
      </c>
      <c r="I117" s="205">
        <v>10473</v>
      </c>
      <c r="K117" s="3">
        <v>2013</v>
      </c>
      <c r="L117" s="225">
        <v>597</v>
      </c>
      <c r="M117" s="209">
        <v>1896</v>
      </c>
      <c r="N117" s="228">
        <v>108</v>
      </c>
      <c r="O117" s="210">
        <v>513</v>
      </c>
      <c r="P117" s="211">
        <v>816</v>
      </c>
      <c r="Q117" s="213">
        <v>1172</v>
      </c>
      <c r="R117" s="204">
        <v>708</v>
      </c>
      <c r="S117" s="205">
        <v>5810</v>
      </c>
    </row>
    <row r="118" spans="1:19">
      <c r="A118" s="12">
        <v>2014</v>
      </c>
      <c r="B118" s="226">
        <v>1140</v>
      </c>
      <c r="C118" s="199">
        <v>3415</v>
      </c>
      <c r="D118" s="200">
        <v>1059</v>
      </c>
      <c r="E118" s="206">
        <v>945</v>
      </c>
      <c r="F118" s="202">
        <v>1777</v>
      </c>
      <c r="G118" s="203">
        <v>1851</v>
      </c>
      <c r="H118" s="207">
        <v>1023</v>
      </c>
      <c r="I118" s="205">
        <v>11209</v>
      </c>
      <c r="K118" s="3">
        <v>2014</v>
      </c>
      <c r="L118" s="225">
        <v>589</v>
      </c>
      <c r="M118" s="209">
        <v>2428</v>
      </c>
      <c r="N118" s="228">
        <v>106</v>
      </c>
      <c r="O118" s="210">
        <v>506</v>
      </c>
      <c r="P118" s="211">
        <v>864</v>
      </c>
      <c r="Q118" s="213">
        <v>1158</v>
      </c>
      <c r="R118" s="204">
        <v>699</v>
      </c>
      <c r="S118" s="205">
        <v>6351</v>
      </c>
    </row>
    <row r="119" spans="1:19">
      <c r="A119" s="12">
        <v>2015</v>
      </c>
      <c r="B119" s="226">
        <v>1115</v>
      </c>
      <c r="C119" s="199">
        <v>3374</v>
      </c>
      <c r="D119" s="227">
        <v>987</v>
      </c>
      <c r="E119" s="206">
        <v>925</v>
      </c>
      <c r="F119" s="202">
        <v>1822</v>
      </c>
      <c r="G119" s="203">
        <v>1811</v>
      </c>
      <c r="H119" s="207">
        <v>1002</v>
      </c>
      <c r="I119" s="205">
        <v>11036</v>
      </c>
      <c r="K119" s="3">
        <v>2015</v>
      </c>
      <c r="L119" s="225">
        <v>568</v>
      </c>
      <c r="M119" s="209">
        <v>2354</v>
      </c>
      <c r="N119" s="228">
        <v>97</v>
      </c>
      <c r="O119" s="210">
        <v>488</v>
      </c>
      <c r="P119" s="211">
        <v>873</v>
      </c>
      <c r="Q119" s="213">
        <v>1115</v>
      </c>
      <c r="R119" s="204">
        <v>674</v>
      </c>
      <c r="S119" s="205">
        <v>6168</v>
      </c>
    </row>
    <row r="120" spans="1:19">
      <c r="A120" s="12">
        <v>2016</v>
      </c>
      <c r="B120" s="226">
        <v>1157</v>
      </c>
      <c r="C120" s="199">
        <v>3344</v>
      </c>
      <c r="D120" s="200">
        <v>1056</v>
      </c>
      <c r="E120" s="206">
        <v>959</v>
      </c>
      <c r="F120" s="202">
        <v>1788</v>
      </c>
      <c r="G120" s="203">
        <v>1878</v>
      </c>
      <c r="H120" s="207">
        <v>1038</v>
      </c>
      <c r="I120" s="205">
        <v>11220</v>
      </c>
      <c r="K120" s="3">
        <v>2016</v>
      </c>
      <c r="L120" s="225">
        <v>576</v>
      </c>
      <c r="M120" s="209">
        <v>2288</v>
      </c>
      <c r="N120" s="228">
        <v>102</v>
      </c>
      <c r="O120" s="210">
        <v>495</v>
      </c>
      <c r="P120" s="211">
        <v>838</v>
      </c>
      <c r="Q120" s="213">
        <v>1133</v>
      </c>
      <c r="R120" s="204">
        <v>684</v>
      </c>
      <c r="S120" s="205">
        <v>6117</v>
      </c>
    </row>
  </sheetData>
  <phoneticPr fontId="3"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A1:Y61"/>
  <sheetViews>
    <sheetView topLeftCell="A31" zoomScale="71" zoomScaleNormal="136" workbookViewId="0">
      <selection activeCell="H45" sqref="H45"/>
    </sheetView>
  </sheetViews>
  <sheetFormatPr defaultRowHeight="15"/>
  <cols>
    <col min="6" max="6" width="16.42578125" customWidth="1"/>
    <col min="8" max="8" width="14.42578125" bestFit="1" customWidth="1"/>
    <col min="9" max="9" width="12" customWidth="1"/>
    <col min="11" max="11" width="14.28515625" customWidth="1"/>
    <col min="17" max="17" width="14.7109375" customWidth="1"/>
    <col min="20" max="20" width="8.7109375" customWidth="1"/>
    <col min="24" max="24" width="9.140625" customWidth="1"/>
  </cols>
  <sheetData>
    <row r="1" spans="1:14" ht="29.45" customHeight="1">
      <c r="A1" s="121" t="s">
        <v>570</v>
      </c>
    </row>
    <row r="2" spans="1:14">
      <c r="A2" t="s">
        <v>571</v>
      </c>
      <c r="B2" t="s">
        <v>572</v>
      </c>
    </row>
    <row r="3" spans="1:14">
      <c r="B3" s="20"/>
      <c r="C3" s="21"/>
      <c r="D3" s="21"/>
      <c r="E3" s="22"/>
      <c r="G3" s="20"/>
      <c r="H3" s="21"/>
      <c r="I3" s="21"/>
      <c r="J3" s="21"/>
      <c r="K3" s="21"/>
      <c r="L3" s="21"/>
      <c r="M3" s="21"/>
      <c r="N3" s="22"/>
    </row>
    <row r="4" spans="1:14">
      <c r="B4" s="23" t="s">
        <v>51</v>
      </c>
      <c r="C4" s="24"/>
      <c r="D4" s="24"/>
      <c r="E4" s="25"/>
      <c r="G4" s="23" t="s">
        <v>34</v>
      </c>
      <c r="H4" s="24"/>
      <c r="I4" s="24"/>
      <c r="J4" s="24"/>
      <c r="K4" s="24"/>
      <c r="L4" s="24"/>
      <c r="M4" s="24"/>
      <c r="N4" s="25"/>
    </row>
    <row r="5" spans="1:14">
      <c r="B5" s="23"/>
      <c r="C5" s="24"/>
      <c r="D5" s="24">
        <v>2016</v>
      </c>
      <c r="E5" s="25">
        <v>2006</v>
      </c>
      <c r="G5" s="23"/>
      <c r="H5" s="24" t="s">
        <v>21</v>
      </c>
      <c r="I5" s="24" t="s">
        <v>38</v>
      </c>
      <c r="J5" s="24" t="s">
        <v>28</v>
      </c>
      <c r="K5" s="24" t="s">
        <v>30</v>
      </c>
      <c r="L5" s="24" t="s">
        <v>31</v>
      </c>
      <c r="M5" s="24" t="s">
        <v>33</v>
      </c>
      <c r="N5" s="25" t="s">
        <v>50</v>
      </c>
    </row>
    <row r="6" spans="1:14">
      <c r="B6" s="23"/>
      <c r="C6" s="24"/>
      <c r="D6" s="24"/>
      <c r="E6" s="25"/>
      <c r="G6" s="23">
        <v>2005</v>
      </c>
      <c r="H6" s="26">
        <v>0.28000000000000003</v>
      </c>
      <c r="I6" s="26">
        <v>7.0000000000000007E-2</v>
      </c>
      <c r="J6" s="26">
        <v>0.16</v>
      </c>
      <c r="K6" s="26">
        <v>0.05</v>
      </c>
      <c r="L6" s="26">
        <v>0.15</v>
      </c>
      <c r="M6" s="26">
        <v>0.28999999999999998</v>
      </c>
      <c r="N6" s="27">
        <f t="shared" ref="N6:N11" si="0">SUM(H6:M6)</f>
        <v>1</v>
      </c>
    </row>
    <row r="7" spans="1:14">
      <c r="B7" s="23" t="s">
        <v>20</v>
      </c>
      <c r="C7" s="24" t="s">
        <v>21</v>
      </c>
      <c r="D7" s="26">
        <v>0.24</v>
      </c>
      <c r="E7" s="27">
        <v>0.27</v>
      </c>
      <c r="G7" s="23">
        <v>2006</v>
      </c>
      <c r="H7" s="26">
        <v>0.27</v>
      </c>
      <c r="I7" s="26">
        <v>0.08</v>
      </c>
      <c r="J7" s="26">
        <v>0.15</v>
      </c>
      <c r="K7" s="26">
        <v>0.05</v>
      </c>
      <c r="L7" s="26">
        <v>0.15</v>
      </c>
      <c r="M7" s="26">
        <v>0.3</v>
      </c>
      <c r="N7" s="27">
        <f t="shared" si="0"/>
        <v>1</v>
      </c>
    </row>
    <row r="8" spans="1:14">
      <c r="B8" s="23" t="s">
        <v>37</v>
      </c>
      <c r="C8" s="24" t="s">
        <v>38</v>
      </c>
      <c r="D8" s="26">
        <v>0.12</v>
      </c>
      <c r="E8" s="27">
        <v>0.08</v>
      </c>
      <c r="G8" s="23">
        <v>2007</v>
      </c>
      <c r="H8" s="26">
        <v>0.27</v>
      </c>
      <c r="I8" s="26">
        <v>0.06</v>
      </c>
      <c r="J8" s="26">
        <v>0.15</v>
      </c>
      <c r="K8" s="26">
        <v>0.04</v>
      </c>
      <c r="L8" s="26">
        <v>0.11</v>
      </c>
      <c r="M8" s="26">
        <v>0.37</v>
      </c>
      <c r="N8" s="27">
        <f t="shared" si="0"/>
        <v>1</v>
      </c>
    </row>
    <row r="9" spans="1:14">
      <c r="B9" s="23" t="s">
        <v>23</v>
      </c>
      <c r="C9" s="24" t="s">
        <v>28</v>
      </c>
      <c r="D9" s="26">
        <v>0.12</v>
      </c>
      <c r="E9" s="27">
        <v>0.15</v>
      </c>
      <c r="G9" s="23">
        <v>2008</v>
      </c>
      <c r="H9" s="26">
        <v>0.24</v>
      </c>
      <c r="I9" s="26">
        <v>0.1</v>
      </c>
      <c r="J9" s="26">
        <v>0.1</v>
      </c>
      <c r="K9" s="26">
        <v>0.05</v>
      </c>
      <c r="L9" s="26">
        <v>0.13</v>
      </c>
      <c r="M9" s="26">
        <v>0.38</v>
      </c>
      <c r="N9" s="27">
        <f t="shared" si="0"/>
        <v>0.99999999999999989</v>
      </c>
    </row>
    <row r="10" spans="1:14">
      <c r="B10" s="23" t="s">
        <v>24</v>
      </c>
      <c r="C10" s="24" t="s">
        <v>30</v>
      </c>
      <c r="D10" s="26">
        <v>0.05</v>
      </c>
      <c r="E10" s="27">
        <v>0.05</v>
      </c>
      <c r="G10" s="23">
        <v>2009</v>
      </c>
      <c r="H10" s="26">
        <v>0.24</v>
      </c>
      <c r="I10" s="26">
        <v>0.1</v>
      </c>
      <c r="J10" s="26">
        <v>0.1</v>
      </c>
      <c r="K10" s="26">
        <v>0.05</v>
      </c>
      <c r="L10" s="26">
        <v>0.13</v>
      </c>
      <c r="M10" s="26">
        <v>0.38</v>
      </c>
      <c r="N10" s="27">
        <f t="shared" si="0"/>
        <v>0.99999999999999989</v>
      </c>
    </row>
    <row r="11" spans="1:14">
      <c r="B11" s="23" t="s">
        <v>26</v>
      </c>
      <c r="C11" s="24" t="s">
        <v>31</v>
      </c>
      <c r="D11" s="26">
        <v>0.14000000000000001</v>
      </c>
      <c r="E11" s="27">
        <v>0.15</v>
      </c>
      <c r="G11" s="23">
        <v>2010</v>
      </c>
      <c r="H11" s="26">
        <v>0.25</v>
      </c>
      <c r="I11" s="26">
        <v>0.1</v>
      </c>
      <c r="J11" s="26">
        <v>0.12</v>
      </c>
      <c r="K11" s="26">
        <v>0.05</v>
      </c>
      <c r="L11" s="26">
        <v>0.13</v>
      </c>
      <c r="M11" s="26">
        <v>0.35</v>
      </c>
      <c r="N11" s="27">
        <f t="shared" si="0"/>
        <v>1</v>
      </c>
    </row>
    <row r="12" spans="1:14">
      <c r="B12" s="23" t="s">
        <v>32</v>
      </c>
      <c r="C12" s="24" t="s">
        <v>33</v>
      </c>
      <c r="D12" s="26">
        <v>0.33</v>
      </c>
      <c r="E12" s="27">
        <v>0.3</v>
      </c>
      <c r="G12" s="23">
        <v>2011</v>
      </c>
      <c r="H12" s="26">
        <v>0.26</v>
      </c>
      <c r="I12" s="26">
        <v>0.12</v>
      </c>
      <c r="J12" s="26">
        <v>0.13</v>
      </c>
      <c r="K12" s="26">
        <v>0.05</v>
      </c>
      <c r="L12" s="26">
        <v>0.13</v>
      </c>
      <c r="M12" s="26">
        <v>0.31</v>
      </c>
      <c r="N12" s="27">
        <f t="shared" ref="N12:N17" si="1">SUM(H12:M12)</f>
        <v>1</v>
      </c>
    </row>
    <row r="13" spans="1:14">
      <c r="B13" s="23" t="s">
        <v>36</v>
      </c>
      <c r="C13" s="24"/>
      <c r="D13" s="26">
        <f>SUM(D7:D12)</f>
        <v>1</v>
      </c>
      <c r="E13" s="27">
        <f>SUM(E7:E12)</f>
        <v>1</v>
      </c>
      <c r="G13" s="23">
        <v>2012</v>
      </c>
      <c r="H13" s="26">
        <v>0.25</v>
      </c>
      <c r="I13" s="26">
        <v>0.12</v>
      </c>
      <c r="J13" s="26">
        <v>0.13</v>
      </c>
      <c r="K13" s="26">
        <v>0.05</v>
      </c>
      <c r="L13" s="26">
        <v>0.14000000000000001</v>
      </c>
      <c r="M13" s="26">
        <v>0.31</v>
      </c>
      <c r="N13" s="27">
        <f t="shared" si="1"/>
        <v>1</v>
      </c>
    </row>
    <row r="14" spans="1:14">
      <c r="B14" s="23"/>
      <c r="C14" s="24"/>
      <c r="D14" s="26"/>
      <c r="E14" s="27"/>
      <c r="G14" s="23">
        <v>2013</v>
      </c>
      <c r="H14" s="26">
        <v>0.26</v>
      </c>
      <c r="I14" s="26">
        <v>0.12</v>
      </c>
      <c r="J14" s="26">
        <v>0.13</v>
      </c>
      <c r="K14" s="26">
        <v>0.05</v>
      </c>
      <c r="L14" s="26">
        <v>0.14000000000000001</v>
      </c>
      <c r="M14" s="26">
        <v>0.3</v>
      </c>
      <c r="N14" s="27">
        <f t="shared" si="1"/>
        <v>1</v>
      </c>
    </row>
    <row r="15" spans="1:14">
      <c r="B15" s="23"/>
      <c r="C15" s="24"/>
      <c r="D15" s="26"/>
      <c r="E15" s="27"/>
      <c r="G15" s="23">
        <v>2014</v>
      </c>
      <c r="H15" s="26">
        <v>0.26</v>
      </c>
      <c r="I15" s="26">
        <v>0.12</v>
      </c>
      <c r="J15" s="26">
        <v>0.13</v>
      </c>
      <c r="K15" s="26">
        <v>0.05</v>
      </c>
      <c r="L15" s="26">
        <v>0.14000000000000001</v>
      </c>
      <c r="M15" s="26">
        <v>0.3</v>
      </c>
      <c r="N15" s="27">
        <f t="shared" si="1"/>
        <v>1</v>
      </c>
    </row>
    <row r="16" spans="1:14">
      <c r="B16" s="23"/>
      <c r="C16" s="24"/>
      <c r="D16" s="26"/>
      <c r="E16" s="27"/>
      <c r="G16" s="23">
        <v>2015</v>
      </c>
      <c r="H16" s="26">
        <v>0.25</v>
      </c>
      <c r="I16" s="26">
        <v>0.12</v>
      </c>
      <c r="J16" s="26">
        <v>0.12</v>
      </c>
      <c r="K16" s="26">
        <v>0.05</v>
      </c>
      <c r="L16" s="26">
        <v>0.14000000000000001</v>
      </c>
      <c r="M16" s="26">
        <v>0.32</v>
      </c>
      <c r="N16" s="27">
        <f t="shared" si="1"/>
        <v>1</v>
      </c>
    </row>
    <row r="17" spans="2:14">
      <c r="B17" s="23"/>
      <c r="C17" s="24"/>
      <c r="D17" s="26"/>
      <c r="E17" s="27"/>
      <c r="G17" s="23">
        <v>2016</v>
      </c>
      <c r="H17" s="26">
        <v>0.24</v>
      </c>
      <c r="I17" s="26">
        <v>0.12</v>
      </c>
      <c r="J17" s="26">
        <v>0.12</v>
      </c>
      <c r="K17" s="26">
        <v>0.05</v>
      </c>
      <c r="L17" s="26">
        <v>0.14000000000000001</v>
      </c>
      <c r="M17" s="26">
        <v>0.33</v>
      </c>
      <c r="N17" s="27">
        <f t="shared" si="1"/>
        <v>1</v>
      </c>
    </row>
    <row r="18" spans="2:14">
      <c r="B18" s="23"/>
      <c r="C18" s="24"/>
      <c r="D18" s="26"/>
      <c r="E18" s="27"/>
      <c r="G18" s="23"/>
      <c r="H18" s="24"/>
      <c r="I18" s="24"/>
      <c r="J18" s="24"/>
      <c r="K18" s="24"/>
      <c r="L18" s="24"/>
      <c r="M18" s="24"/>
      <c r="N18" s="25"/>
    </row>
    <row r="19" spans="2:14">
      <c r="B19" s="23"/>
      <c r="C19" s="24"/>
      <c r="D19" s="24"/>
      <c r="E19" s="25"/>
      <c r="G19" s="23"/>
      <c r="H19" s="24"/>
      <c r="I19" s="24"/>
      <c r="J19" s="24"/>
      <c r="K19" s="24"/>
      <c r="L19" s="24"/>
      <c r="M19" s="24"/>
      <c r="N19" s="25"/>
    </row>
    <row r="20" spans="2:14">
      <c r="B20" s="23"/>
      <c r="C20" s="24"/>
      <c r="D20" s="24"/>
      <c r="E20" s="25"/>
      <c r="G20" s="23"/>
      <c r="H20" s="24"/>
      <c r="I20" s="24"/>
      <c r="J20" s="24"/>
      <c r="K20" s="24"/>
      <c r="L20" s="24"/>
      <c r="M20" s="24"/>
      <c r="N20" s="25"/>
    </row>
    <row r="21" spans="2:14">
      <c r="B21" s="23" t="s">
        <v>39</v>
      </c>
      <c r="C21" s="24"/>
      <c r="D21" s="24"/>
      <c r="E21" s="25"/>
      <c r="G21" s="23" t="s">
        <v>35</v>
      </c>
      <c r="H21" s="24"/>
      <c r="I21" s="24"/>
      <c r="J21" s="24"/>
      <c r="K21" s="24"/>
      <c r="L21" s="24"/>
      <c r="M21" s="24"/>
      <c r="N21" s="25"/>
    </row>
    <row r="22" spans="2:14">
      <c r="B22" s="23"/>
      <c r="C22" s="24"/>
      <c r="D22" s="24">
        <v>2016</v>
      </c>
      <c r="E22" s="25">
        <v>2006</v>
      </c>
      <c r="G22" s="23"/>
      <c r="H22" s="24" t="s">
        <v>21</v>
      </c>
      <c r="I22" s="24" t="s">
        <v>38</v>
      </c>
      <c r="J22" s="24" t="s">
        <v>28</v>
      </c>
      <c r="K22" s="24" t="s">
        <v>30</v>
      </c>
      <c r="L22" s="24" t="s">
        <v>31</v>
      </c>
      <c r="M22" s="24" t="s">
        <v>33</v>
      </c>
      <c r="N22" s="25" t="s">
        <v>36</v>
      </c>
    </row>
    <row r="23" spans="2:14">
      <c r="B23" s="23" t="s">
        <v>20</v>
      </c>
      <c r="C23" s="24" t="s">
        <v>21</v>
      </c>
      <c r="D23" s="26">
        <v>0.28999999999999998</v>
      </c>
      <c r="E23" s="27">
        <v>0.33</v>
      </c>
      <c r="G23" s="23">
        <v>2005</v>
      </c>
      <c r="H23" s="26">
        <v>0.34</v>
      </c>
      <c r="I23" s="26">
        <v>0.03</v>
      </c>
      <c r="J23" s="26">
        <v>0.19</v>
      </c>
      <c r="K23" s="26">
        <v>7.0000000000000007E-2</v>
      </c>
      <c r="L23" s="26">
        <v>0.05</v>
      </c>
      <c r="M23" s="26">
        <v>0.32</v>
      </c>
      <c r="N23" s="27">
        <f t="shared" ref="N23:N33" si="2">SUM(H23:M23)</f>
        <v>1.0000000000000002</v>
      </c>
    </row>
    <row r="24" spans="2:14">
      <c r="B24" s="23" t="s">
        <v>37</v>
      </c>
      <c r="C24" s="24" t="s">
        <v>38</v>
      </c>
      <c r="D24" s="26">
        <v>0.08</v>
      </c>
      <c r="E24" s="27">
        <v>0.05</v>
      </c>
      <c r="G24" s="23">
        <v>2006</v>
      </c>
      <c r="H24" s="26">
        <v>0.33</v>
      </c>
      <c r="I24" s="26">
        <v>0.05</v>
      </c>
      <c r="J24" s="26">
        <v>0.17</v>
      </c>
      <c r="K24" s="26">
        <v>0.06</v>
      </c>
      <c r="L24" s="26">
        <v>0.06</v>
      </c>
      <c r="M24" s="26">
        <v>0.33</v>
      </c>
      <c r="N24" s="27">
        <f t="shared" si="2"/>
        <v>1.0000000000000002</v>
      </c>
    </row>
    <row r="25" spans="2:14">
      <c r="B25" s="23" t="s">
        <v>23</v>
      </c>
      <c r="C25" s="24" t="s">
        <v>28</v>
      </c>
      <c r="D25" s="26">
        <v>0.15</v>
      </c>
      <c r="E25" s="27">
        <v>0.17</v>
      </c>
      <c r="G25" s="23">
        <v>2007</v>
      </c>
      <c r="H25" s="32" t="s">
        <v>58</v>
      </c>
      <c r="I25" s="32"/>
      <c r="J25" s="32"/>
      <c r="K25" s="32"/>
      <c r="L25" s="32"/>
      <c r="M25" s="32"/>
      <c r="N25" s="56"/>
    </row>
    <row r="26" spans="2:14">
      <c r="B26" s="23" t="s">
        <v>24</v>
      </c>
      <c r="C26" s="24" t="s">
        <v>30</v>
      </c>
      <c r="D26" s="26">
        <v>0.06</v>
      </c>
      <c r="E26" s="27">
        <v>0.06</v>
      </c>
      <c r="G26" s="23">
        <v>2008</v>
      </c>
      <c r="H26" s="32"/>
      <c r="I26" s="32"/>
      <c r="J26" s="32"/>
      <c r="K26" s="32"/>
      <c r="L26" s="32"/>
      <c r="M26" s="32"/>
      <c r="N26" s="56"/>
    </row>
    <row r="27" spans="2:14">
      <c r="B27" s="23" t="s">
        <v>26</v>
      </c>
      <c r="C27" s="24" t="s">
        <v>31</v>
      </c>
      <c r="D27" s="26">
        <v>7.0000000000000007E-2</v>
      </c>
      <c r="E27" s="27">
        <v>0.06</v>
      </c>
      <c r="G27" s="23">
        <v>2009</v>
      </c>
      <c r="H27" s="32"/>
      <c r="I27" s="32"/>
      <c r="J27" s="32"/>
      <c r="K27" s="32"/>
      <c r="L27" s="32"/>
      <c r="M27" s="32"/>
      <c r="N27" s="56"/>
    </row>
    <row r="28" spans="2:14">
      <c r="B28" s="23" t="s">
        <v>32</v>
      </c>
      <c r="C28" s="24" t="s">
        <v>33</v>
      </c>
      <c r="D28" s="26">
        <v>0.35</v>
      </c>
      <c r="E28" s="27">
        <v>0.33</v>
      </c>
      <c r="G28" s="23">
        <v>2010</v>
      </c>
      <c r="H28" s="32"/>
      <c r="I28" s="32"/>
      <c r="J28" s="32"/>
      <c r="K28" s="32"/>
      <c r="L28" s="32"/>
      <c r="M28" s="32"/>
      <c r="N28" s="56"/>
    </row>
    <row r="29" spans="2:14">
      <c r="B29" s="28" t="s">
        <v>36</v>
      </c>
      <c r="C29" s="29"/>
      <c r="D29" s="30">
        <f>SUM(D23:D28)</f>
        <v>1</v>
      </c>
      <c r="E29" s="31">
        <f>SUM(E23:E28)</f>
        <v>1.0000000000000002</v>
      </c>
      <c r="G29" s="23">
        <v>2011</v>
      </c>
      <c r="H29" s="32"/>
      <c r="I29" s="32"/>
      <c r="J29" s="32"/>
      <c r="K29" s="32"/>
      <c r="L29" s="32"/>
      <c r="M29" s="32"/>
      <c r="N29" s="56"/>
    </row>
    <row r="30" spans="2:14">
      <c r="G30" s="23">
        <v>2012</v>
      </c>
      <c r="H30" s="26">
        <v>0.3</v>
      </c>
      <c r="I30" s="26">
        <v>0.08</v>
      </c>
      <c r="J30" s="26">
        <v>0.15</v>
      </c>
      <c r="K30" s="26">
        <v>0.06</v>
      </c>
      <c r="L30" s="26">
        <v>0.08</v>
      </c>
      <c r="M30" s="26">
        <v>0.33</v>
      </c>
      <c r="N30" s="27">
        <f t="shared" si="2"/>
        <v>1</v>
      </c>
    </row>
    <row r="31" spans="2:14">
      <c r="G31" s="23">
        <v>2013</v>
      </c>
      <c r="H31" s="26">
        <v>0.3</v>
      </c>
      <c r="I31" s="26">
        <v>0.08</v>
      </c>
      <c r="J31" s="26">
        <v>0.16</v>
      </c>
      <c r="K31" s="26">
        <v>0.06</v>
      </c>
      <c r="L31" s="26">
        <v>0.08</v>
      </c>
      <c r="M31" s="26">
        <v>0.32</v>
      </c>
      <c r="N31" s="27">
        <f t="shared" si="2"/>
        <v>1</v>
      </c>
    </row>
    <row r="32" spans="2:14">
      <c r="G32" s="23">
        <v>2014</v>
      </c>
      <c r="H32" s="26">
        <v>0.31</v>
      </c>
      <c r="I32" s="26">
        <v>0.08</v>
      </c>
      <c r="J32" s="26">
        <v>0.15</v>
      </c>
      <c r="K32" s="26">
        <v>0.06</v>
      </c>
      <c r="L32" s="26">
        <v>0.08</v>
      </c>
      <c r="M32" s="26">
        <v>0.32</v>
      </c>
      <c r="N32" s="27">
        <f t="shared" si="2"/>
        <v>1</v>
      </c>
    </row>
    <row r="33" spans="7:25">
      <c r="G33" s="23">
        <v>2015</v>
      </c>
      <c r="H33" s="26">
        <v>0.28999999999999998</v>
      </c>
      <c r="I33" s="26">
        <v>0.08</v>
      </c>
      <c r="J33" s="26">
        <v>0.15</v>
      </c>
      <c r="K33" s="26">
        <v>0.06</v>
      </c>
      <c r="L33" s="26">
        <v>7.0000000000000007E-2</v>
      </c>
      <c r="M33" s="26">
        <v>0.35</v>
      </c>
      <c r="N33" s="27">
        <f t="shared" si="2"/>
        <v>1</v>
      </c>
    </row>
    <row r="34" spans="7:25">
      <c r="G34" s="28">
        <v>2016</v>
      </c>
      <c r="H34" s="30">
        <v>0.28999999999999998</v>
      </c>
      <c r="I34" s="30">
        <v>0.08</v>
      </c>
      <c r="J34" s="30">
        <v>0.15</v>
      </c>
      <c r="K34" s="30">
        <v>0.06</v>
      </c>
      <c r="L34" s="30">
        <v>7.0000000000000007E-2</v>
      </c>
      <c r="M34" s="30">
        <v>0.35</v>
      </c>
      <c r="N34" s="31">
        <f>SUM(H34:M34)</f>
        <v>1</v>
      </c>
    </row>
    <row r="35" spans="7:25">
      <c r="H35" s="17"/>
      <c r="I35" s="17"/>
      <c r="J35" s="17"/>
      <c r="K35" s="17"/>
      <c r="L35" s="17"/>
      <c r="M35" s="17"/>
      <c r="N35" s="17"/>
    </row>
    <row r="36" spans="7:25">
      <c r="G36" t="s">
        <v>61</v>
      </c>
    </row>
    <row r="37" spans="7:25">
      <c r="G37" t="s">
        <v>62</v>
      </c>
    </row>
    <row r="38" spans="7:25">
      <c r="H38" t="s">
        <v>70</v>
      </c>
    </row>
    <row r="39" spans="7:25">
      <c r="H39" t="s">
        <v>71</v>
      </c>
    </row>
    <row r="41" spans="7:25">
      <c r="H41" t="s">
        <v>586</v>
      </c>
    </row>
    <row r="42" spans="7:25">
      <c r="G42" t="s">
        <v>67</v>
      </c>
    </row>
    <row r="43" spans="7:25">
      <c r="G43" s="41" t="s">
        <v>64</v>
      </c>
      <c r="H43" s="42"/>
      <c r="I43" s="42"/>
      <c r="J43" s="42"/>
      <c r="K43" s="42"/>
      <c r="L43" s="42"/>
      <c r="M43" s="42"/>
      <c r="N43" s="43"/>
      <c r="R43" s="20" t="s">
        <v>52</v>
      </c>
      <c r="S43" s="21"/>
      <c r="T43" s="21"/>
      <c r="U43" s="21"/>
      <c r="V43" s="21"/>
      <c r="W43" s="21"/>
      <c r="X43" s="21"/>
      <c r="Y43" s="22"/>
    </row>
    <row r="44" spans="7:25">
      <c r="G44" s="44"/>
      <c r="H44" s="24" t="s">
        <v>21</v>
      </c>
      <c r="I44" s="24" t="s">
        <v>38</v>
      </c>
      <c r="J44" s="24" t="s">
        <v>28</v>
      </c>
      <c r="K44" s="24" t="s">
        <v>30</v>
      </c>
      <c r="L44" s="24" t="s">
        <v>31</v>
      </c>
      <c r="M44" s="24" t="s">
        <v>33</v>
      </c>
      <c r="N44" s="25" t="s">
        <v>50</v>
      </c>
      <c r="R44" s="23"/>
      <c r="S44" s="24" t="s">
        <v>43</v>
      </c>
      <c r="T44" s="24" t="s">
        <v>44</v>
      </c>
      <c r="U44" s="24" t="s">
        <v>45</v>
      </c>
      <c r="V44" s="24" t="s">
        <v>46</v>
      </c>
      <c r="W44" s="24" t="s">
        <v>47</v>
      </c>
      <c r="X44" s="24" t="s">
        <v>48</v>
      </c>
      <c r="Y44" s="25" t="s">
        <v>49</v>
      </c>
    </row>
    <row r="45" spans="7:25">
      <c r="G45" s="44">
        <v>2006</v>
      </c>
      <c r="H45" s="47">
        <f>(H7*Energy8Sec!$C7-Commercial8EndUse!H24*Energy8Sec!$C23)/(Energy8Sec!$C7-Energy8Sec!$C23)</f>
        <v>-3.1557602197447097E-2</v>
      </c>
      <c r="I45" s="47">
        <f>(I7*Energy8Sec!$C7-Commercial8EndUse!I24*Energy8Sec!$C23)/(Energy8Sec!$C7-Energy8Sec!$C23)</f>
        <v>0.23077880109872348</v>
      </c>
      <c r="J45" s="47">
        <f>(J7*Energy8Sec!$C7-Commercial8EndUse!J24*Energy8Sec!$C23)/(Energy8Sec!$C7-Energy8Sec!$C23)</f>
        <v>4.9480799267517493E-2</v>
      </c>
      <c r="K45" s="47">
        <f>(K7*Energy8Sec!$C7-Commercial8EndUse!K24*Energy8Sec!$C23)/(Energy8Sec!$C7-Energy8Sec!$C23)</f>
        <v>-2.5960036624111591E-4</v>
      </c>
      <c r="L45" s="47">
        <f>(L7*Energy8Sec!$C7-Commercial8EndUse!L24*Energy8Sec!$C23)/(Energy8Sec!$C7-Energy8Sec!$C23)</f>
        <v>0.60233640329617055</v>
      </c>
      <c r="M45" s="47">
        <f>(M7*Energy8Sec!$C7-Commercial8EndUse!M24*Energy8Sec!$C23)/(Energy8Sec!$C7-Energy8Sec!$C23)</f>
        <v>0.14922119890127628</v>
      </c>
      <c r="N45" s="48">
        <f>(N7*Energy8Sec!$C7-Commercial8EndUse!N24*Energy8Sec!$C23)/(Energy8Sec!$C7-Energy8Sec!$C23)</f>
        <v>0.99999999999999922</v>
      </c>
      <c r="R45" s="23">
        <v>2006</v>
      </c>
      <c r="S45" s="54">
        <v>0</v>
      </c>
      <c r="T45" s="54">
        <v>0.23077880109872348</v>
      </c>
      <c r="U45" s="54">
        <v>4.9480799267517493E-2</v>
      </c>
      <c r="V45" s="54">
        <v>-2.5960036624111591E-4</v>
      </c>
      <c r="W45" s="54">
        <v>0.60233640329617055</v>
      </c>
      <c r="X45" s="54">
        <f>Y45-SUM(S45:W45)</f>
        <v>0.11766359670382953</v>
      </c>
      <c r="Y45" s="27">
        <v>1</v>
      </c>
    </row>
    <row r="46" spans="7:25">
      <c r="G46" s="44">
        <v>2007</v>
      </c>
      <c r="H46" s="49" t="s">
        <v>72</v>
      </c>
      <c r="I46" s="49"/>
      <c r="J46" s="49"/>
      <c r="K46" s="49"/>
      <c r="L46" s="49"/>
      <c r="M46" s="49"/>
      <c r="N46" s="50"/>
      <c r="P46" t="s">
        <v>75</v>
      </c>
      <c r="R46" s="23">
        <v>2007</v>
      </c>
      <c r="S46" s="49" t="s">
        <v>72</v>
      </c>
      <c r="T46" s="57"/>
      <c r="U46" s="57"/>
      <c r="V46" s="57"/>
      <c r="W46" s="57"/>
      <c r="X46" s="57"/>
      <c r="Y46" s="58"/>
    </row>
    <row r="47" spans="7:25">
      <c r="G47" s="44">
        <v>2008</v>
      </c>
      <c r="H47" s="49"/>
      <c r="I47" s="49"/>
      <c r="J47" s="49"/>
      <c r="K47" s="49"/>
      <c r="L47" s="49"/>
      <c r="M47" s="49"/>
      <c r="N47" s="50"/>
      <c r="P47" t="s">
        <v>74</v>
      </c>
      <c r="R47" s="23">
        <v>2008</v>
      </c>
      <c r="S47" s="57"/>
      <c r="T47" s="57"/>
      <c r="U47" s="57"/>
      <c r="V47" s="57"/>
      <c r="W47" s="57"/>
      <c r="X47" s="57"/>
      <c r="Y47" s="58"/>
    </row>
    <row r="48" spans="7:25">
      <c r="G48" s="44">
        <v>2009</v>
      </c>
      <c r="H48" s="49"/>
      <c r="I48" s="49"/>
      <c r="J48" s="49"/>
      <c r="K48" s="49"/>
      <c r="L48" s="49"/>
      <c r="M48" s="49"/>
      <c r="N48" s="50"/>
      <c r="R48" s="23">
        <v>2009</v>
      </c>
      <c r="S48" s="57"/>
      <c r="T48" s="57"/>
      <c r="U48" s="57"/>
      <c r="V48" s="57"/>
      <c r="W48" s="57"/>
      <c r="X48" s="57"/>
      <c r="Y48" s="58"/>
    </row>
    <row r="49" spans="7:25">
      <c r="G49" s="44">
        <v>2010</v>
      </c>
      <c r="H49" s="49"/>
      <c r="I49" s="49"/>
      <c r="J49" s="49"/>
      <c r="K49" s="49"/>
      <c r="L49" s="49"/>
      <c r="M49" s="49"/>
      <c r="N49" s="50"/>
      <c r="P49" t="s">
        <v>76</v>
      </c>
      <c r="R49" s="23">
        <v>2010</v>
      </c>
      <c r="S49" s="57"/>
      <c r="T49" s="57"/>
      <c r="U49" s="57"/>
      <c r="V49" s="57"/>
      <c r="W49" s="57"/>
      <c r="X49" s="57"/>
      <c r="Y49" s="58"/>
    </row>
    <row r="50" spans="7:25">
      <c r="G50" s="44">
        <v>2011</v>
      </c>
      <c r="H50" s="49"/>
      <c r="I50" s="49"/>
      <c r="J50" s="49"/>
      <c r="K50" s="49"/>
      <c r="L50" s="49"/>
      <c r="M50" s="49"/>
      <c r="N50" s="50"/>
      <c r="P50" t="s">
        <v>73</v>
      </c>
      <c r="R50" s="23">
        <v>2011</v>
      </c>
      <c r="S50" s="57"/>
      <c r="T50" s="57"/>
      <c r="U50" s="57"/>
      <c r="V50" s="57"/>
      <c r="W50" s="57"/>
      <c r="X50" s="57"/>
      <c r="Y50" s="58"/>
    </row>
    <row r="51" spans="7:25">
      <c r="G51" s="44">
        <v>2012</v>
      </c>
      <c r="H51" s="47">
        <f>(H13*Energy8Sec!$C13-Commercial8EndUse!H30*Energy8Sec!$C29)/(Energy8Sec!$C13-Energy8Sec!$C29)</f>
        <v>-1.5733152372500801E-2</v>
      </c>
      <c r="I51" s="47">
        <f>(I13*Energy8Sec!$C13-Commercial8EndUse!I30*Energy8Sec!$C29)/(Energy8Sec!$C13-Energy8Sec!$C29)</f>
        <v>0.3325865218980007</v>
      </c>
      <c r="J51" s="47">
        <f>(J13*Energy8Sec!$C13-Commercial8EndUse!J30*Energy8Sec!$C29)/(Energy8Sec!$C13-Energy8Sec!$C29)</f>
        <v>2.3706739050999709E-2</v>
      </c>
      <c r="K51" s="47">
        <f>(K13*Energy8Sec!$C13-Commercial8EndUse!K30*Energy8Sec!$C29)/(Energy8Sec!$C13-Energy8Sec!$C29)</f>
        <v>-3.1466304745001693E-3</v>
      </c>
      <c r="L51" s="47">
        <f>(L13*Energy8Sec!$C13-Commercial8EndUse!L30*Energy8Sec!$C29)/(Energy8Sec!$C13-Energy8Sec!$C29)</f>
        <v>0.45887978284700121</v>
      </c>
      <c r="M51" s="47">
        <f>(M13*Energy8Sec!$C13-Commercial8EndUse!M30*Energy8Sec!$C29)/(Energy8Sec!$C13-Energy8Sec!$C29)</f>
        <v>0.20370673905099942</v>
      </c>
      <c r="N51" s="48">
        <f>(N13*Energy8Sec!$C13-Commercial8EndUse!N30*Energy8Sec!$C29)/(Energy8Sec!$C13-Energy8Sec!$C29)</f>
        <v>1</v>
      </c>
      <c r="R51" s="23">
        <v>2012</v>
      </c>
      <c r="S51" s="54">
        <v>0</v>
      </c>
      <c r="T51" s="54">
        <v>0.3325865218980007</v>
      </c>
      <c r="U51" s="54">
        <v>2.3706739050999709E-2</v>
      </c>
      <c r="V51" s="54">
        <v>0</v>
      </c>
      <c r="W51" s="54">
        <v>0.45887978284700121</v>
      </c>
      <c r="X51" s="54">
        <f>Y51-SUM(S51:W51)</f>
        <v>0.18482695620399836</v>
      </c>
      <c r="Y51" s="27">
        <v>1</v>
      </c>
    </row>
    <row r="52" spans="7:25">
      <c r="G52" s="44">
        <v>2013</v>
      </c>
      <c r="H52" s="47">
        <f>(H14*Energy8Sec!$C14-Commercial8EndUse!H31*Energy8Sec!$C30)/(Energy8Sec!$C14-Energy8Sec!$C30)</f>
        <v>5.4314669369141193E-2</v>
      </c>
      <c r="I52" s="47">
        <f>(I14*Energy8Sec!$C14-Commercial8EndUse!I31*Energy8Sec!$C30)/(Energy8Sec!$C14-Energy8Sec!$C30)</f>
        <v>0.3256853306308588</v>
      </c>
      <c r="J52" s="47">
        <f>(J14*Energy8Sec!$C14-Commercial8EndUse!J31*Energy8Sec!$C30)/(Energy8Sec!$C14-Energy8Sec!$C30)</f>
        <v>-2.4263997973144179E-2</v>
      </c>
      <c r="K52" s="47">
        <f>(K14*Energy8Sec!$C14-Commercial8EndUse!K31*Energy8Sec!$C30)/(Energy8Sec!$C14-Energy8Sec!$C30)</f>
        <v>-1.4213326577147292E-3</v>
      </c>
      <c r="L52" s="47">
        <f>(L14*Energy8Sec!$C14-Commercial8EndUse!L31*Energy8Sec!$C30)/(Energy8Sec!$C14-Energy8Sec!$C30)</f>
        <v>0.44852799594628834</v>
      </c>
      <c r="M52" s="47">
        <f>(M14*Energy8Sec!$C14-Commercial8EndUse!M31*Energy8Sec!$C30)/(Energy8Sec!$C14-Energy8Sec!$C30)</f>
        <v>0.19715733468457045</v>
      </c>
      <c r="N52" s="48">
        <f>(N14*Energy8Sec!$C14-Commercial8EndUse!N31*Energy8Sec!$C30)/(Energy8Sec!$C14-Energy8Sec!$C30)</f>
        <v>1</v>
      </c>
      <c r="R52" s="23">
        <v>2013</v>
      </c>
      <c r="S52" s="54">
        <v>0</v>
      </c>
      <c r="T52" s="54">
        <v>0.3256853306308588</v>
      </c>
      <c r="U52" s="54">
        <v>0</v>
      </c>
      <c r="V52" s="54">
        <v>0</v>
      </c>
      <c r="W52" s="54">
        <v>0.44852799594628834</v>
      </c>
      <c r="X52" s="54">
        <f>Y52-SUM(S52:W52)</f>
        <v>0.22578667342285286</v>
      </c>
      <c r="Y52" s="27">
        <v>1</v>
      </c>
    </row>
    <row r="53" spans="7:25">
      <c r="G53" s="44">
        <v>2014</v>
      </c>
      <c r="H53" s="47">
        <f>(H15*Energy8Sec!$C15-Commercial8EndUse!H32*Energy8Sec!$C31)/(Energy8Sec!$C15-Energy8Sec!$C31)</f>
        <v>4.5055765783709222E-3</v>
      </c>
      <c r="I53" s="47">
        <f>(I15*Energy8Sec!$C15-Commercial8EndUse!I32*Energy8Sec!$C31)/(Energy8Sec!$C15-Energy8Sec!$C31)</f>
        <v>0.32439553873730331</v>
      </c>
      <c r="J53" s="47">
        <f>(J15*Energy8Sec!$C15-Commercial8EndUse!J32*Energy8Sec!$C31)/(Energy8Sec!$C15-Energy8Sec!$C31)</f>
        <v>2.7802230631348387E-2</v>
      </c>
      <c r="K53" s="47">
        <f>(K15*Energy8Sec!$C15-Commercial8EndUse!K32*Energy8Sec!$C31)/(Energy8Sec!$C15-Energy8Sec!$C31)</f>
        <v>-1.098884684325817E-3</v>
      </c>
      <c r="L53" s="47">
        <f>(L15*Energy8Sec!$C15-Commercial8EndUse!L32*Energy8Sec!$C31)/(Energy8Sec!$C15-Energy8Sec!$C31)</f>
        <v>0.44659330810595504</v>
      </c>
      <c r="M53" s="47">
        <f>(M15*Energy8Sec!$C15-Commercial8EndUse!M32*Energy8Sec!$C31)/(Energy8Sec!$C15-Energy8Sec!$C31)</f>
        <v>0.19780223063134814</v>
      </c>
      <c r="N53" s="48">
        <f>(N15*Energy8Sec!$C15-Commercial8EndUse!N32*Energy8Sec!$C31)/(Energy8Sec!$C15-Energy8Sec!$C31)</f>
        <v>1</v>
      </c>
      <c r="R53" s="23">
        <v>2014</v>
      </c>
      <c r="S53" s="54">
        <v>0</v>
      </c>
      <c r="T53" s="54">
        <v>0.32439553873730331</v>
      </c>
      <c r="U53" s="54">
        <v>2.7802230631348387E-2</v>
      </c>
      <c r="V53" s="54">
        <v>0</v>
      </c>
      <c r="W53" s="54">
        <v>0.44659330810595504</v>
      </c>
      <c r="X53" s="54">
        <f>Y53-SUM(S53:W53)</f>
        <v>0.20120892252539324</v>
      </c>
      <c r="Y53" s="27">
        <v>1</v>
      </c>
    </row>
    <row r="54" spans="7:25">
      <c r="G54" s="44">
        <v>2015</v>
      </c>
      <c r="H54" s="47">
        <f>(H16*Energy8Sec!$C16-Commercial8EndUse!H33*Energy8Sec!$C32)/(Energy8Sec!$C16-Energy8Sec!$C32)</f>
        <v>4.2416795956158472E-2</v>
      </c>
      <c r="I54" s="47">
        <f>(I16*Energy8Sec!$C16-Commercial8EndUse!I33*Energy8Sec!$C32)/(Energy8Sec!$C16-Energy8Sec!$C32)</f>
        <v>0.32758320404384156</v>
      </c>
      <c r="J54" s="47">
        <f>(J16*Energy8Sec!$C16-Commercial8EndUse!J33*Energy8Sec!$C32)/(Energy8Sec!$C16-Energy8Sec!$C32)</f>
        <v>-3.5687403032881225E-2</v>
      </c>
      <c r="K54" s="47">
        <f>(K16*Energy8Sec!$C16-Commercial8EndUse!K33*Energy8Sec!$C32)/(Energy8Sec!$C16-Energy8Sec!$C32)</f>
        <v>-1.8958010109603723E-3</v>
      </c>
      <c r="L54" s="47">
        <f>(L16*Energy8Sec!$C16-Commercial8EndUse!L33*Energy8Sec!$C32)/(Energy8Sec!$C16-Energy8Sec!$C32)</f>
        <v>0.50327060707672278</v>
      </c>
      <c r="M54" s="47">
        <f>(M16*Energy8Sec!$C16-Commercial8EndUse!M33*Energy8Sec!$C32)/(Energy8Sec!$C16-Energy8Sec!$C32)</f>
        <v>0.164312596967119</v>
      </c>
      <c r="N54" s="48">
        <f>(N16*Energy8Sec!$C16-Commercial8EndUse!N33*Energy8Sec!$C32)/(Energy8Sec!$C16-Energy8Sec!$C32)</f>
        <v>1</v>
      </c>
      <c r="R54" s="23">
        <v>2015</v>
      </c>
      <c r="S54" s="54">
        <v>0</v>
      </c>
      <c r="T54" s="54">
        <v>0.32758320404384156</v>
      </c>
      <c r="U54" s="54">
        <v>0</v>
      </c>
      <c r="V54" s="54">
        <v>0</v>
      </c>
      <c r="W54" s="54">
        <v>0.50327060707672278</v>
      </c>
      <c r="X54" s="54">
        <f>Y54-SUM(S54:W54)</f>
        <v>0.16914618887943567</v>
      </c>
      <c r="Y54" s="27">
        <v>1</v>
      </c>
    </row>
    <row r="55" spans="7:25">
      <c r="G55" s="51">
        <v>2016</v>
      </c>
      <c r="H55" s="52">
        <f>(H17*Energy8Sec!$C17-Commercial8EndUse!H34*Energy8Sec!$C33)/(Energy8Sec!$C17-Energy8Sec!$C33)</f>
        <v>-1.8564814814814829E-2</v>
      </c>
      <c r="I55" s="52">
        <f>(I17*Energy8Sec!$C17-Commercial8EndUse!I34*Energy8Sec!$C33)/(Energy8Sec!$C17-Energy8Sec!$C33)</f>
        <v>0.32685185185185184</v>
      </c>
      <c r="J55" s="52">
        <f>(J17*Energy8Sec!$C17-Commercial8EndUse!J34*Energy8Sec!$C33)/(Energy8Sec!$C17-Energy8Sec!$C33)</f>
        <v>-3.5138888888888928E-2</v>
      </c>
      <c r="K55" s="52">
        <f>(K17*Energy8Sec!$C17-Commercial8EndUse!K34*Energy8Sec!$C33)/(Energy8Sec!$C17-Energy8Sec!$C33)</f>
        <v>-1.7129629629629105E-3</v>
      </c>
      <c r="L55" s="52">
        <f>(L17*Energy8Sec!$C17-Commercial8EndUse!L34*Energy8Sec!$C33)/(Energy8Sec!$C17-Energy8Sec!$C33)</f>
        <v>0.50199074074074068</v>
      </c>
      <c r="M55" s="52">
        <f>(M17*Energy8Sec!$C17-Commercial8EndUse!M34*Energy8Sec!$C33)/(Energy8Sec!$C17-Energy8Sec!$C33)</f>
        <v>0.22657407407407434</v>
      </c>
      <c r="N55" s="53">
        <f>(N17*Energy8Sec!$C17-Commercial8EndUse!N34*Energy8Sec!$C33)/(Energy8Sec!$C17-Energy8Sec!$C33)</f>
        <v>1</v>
      </c>
      <c r="R55" s="28">
        <v>2016</v>
      </c>
      <c r="S55" s="55">
        <v>0</v>
      </c>
      <c r="T55" s="55">
        <v>0.32685185185185184</v>
      </c>
      <c r="U55" s="55">
        <v>0</v>
      </c>
      <c r="V55" s="55">
        <v>0</v>
      </c>
      <c r="W55" s="55">
        <v>0.50199074074074068</v>
      </c>
      <c r="X55" s="55">
        <f>Y55-SUM(S55:W55)</f>
        <v>0.17115740740740748</v>
      </c>
      <c r="Y55" s="31">
        <v>1</v>
      </c>
    </row>
    <row r="59" spans="7:25">
      <c r="G59" t="s">
        <v>78</v>
      </c>
    </row>
    <row r="60" spans="7:25">
      <c r="G60" t="s">
        <v>79</v>
      </c>
    </row>
    <row r="61" spans="7:25">
      <c r="G61" t="s">
        <v>80</v>
      </c>
    </row>
  </sheetData>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84"/>
  <sheetViews>
    <sheetView showGridLines="0" zoomScale="82" workbookViewId="0">
      <selection activeCell="J5" sqref="J5"/>
    </sheetView>
  </sheetViews>
  <sheetFormatPr defaultColWidth="8.7109375" defaultRowHeight="15"/>
  <cols>
    <col min="1" max="1" width="3.28515625" style="103" bestFit="1" customWidth="1"/>
    <col min="2" max="2" width="25.85546875" style="103" customWidth="1"/>
    <col min="3" max="3" width="17.28515625" style="103" customWidth="1"/>
    <col min="4" max="4" width="22.7109375" style="103" customWidth="1"/>
    <col min="5" max="5" width="33.42578125" style="103" bestFit="1" customWidth="1"/>
    <col min="6" max="6" width="28.85546875" style="103" customWidth="1"/>
    <col min="7" max="7" width="7.85546875" style="103" customWidth="1"/>
    <col min="8" max="8" width="8.140625" style="103" customWidth="1"/>
    <col min="9" max="16384" width="8.7109375" style="103"/>
  </cols>
  <sheetData>
    <row r="1" spans="1:10" ht="60" customHeight="1" thickBot="1">
      <c r="A1" s="605" t="s">
        <v>593</v>
      </c>
      <c r="B1" s="605"/>
      <c r="C1" s="605"/>
      <c r="D1" s="605"/>
      <c r="E1" s="605"/>
      <c r="F1" s="605"/>
      <c r="J1" s="103" t="s">
        <v>677</v>
      </c>
    </row>
    <row r="2" spans="1:10" ht="18.75" customHeight="1" thickBot="1">
      <c r="A2" s="606"/>
      <c r="B2" s="607"/>
      <c r="C2" s="608"/>
      <c r="D2" s="612" t="s">
        <v>594</v>
      </c>
      <c r="E2" s="613"/>
      <c r="F2" s="613"/>
      <c r="G2" s="613"/>
      <c r="H2" s="614"/>
    </row>
    <row r="3" spans="1:10" ht="16.5" thickBot="1">
      <c r="A3" s="609"/>
      <c r="B3" s="610"/>
      <c r="C3" s="611"/>
      <c r="D3" s="612" t="s">
        <v>595</v>
      </c>
      <c r="E3" s="613"/>
      <c r="F3" s="613"/>
      <c r="G3" s="613"/>
      <c r="H3" s="614"/>
    </row>
    <row r="4" spans="1:10" ht="16.5" thickBot="1">
      <c r="A4" s="615" t="s">
        <v>0</v>
      </c>
      <c r="B4" s="616"/>
      <c r="C4" s="617"/>
      <c r="D4" s="615" t="s">
        <v>596</v>
      </c>
      <c r="E4" s="616"/>
      <c r="F4" s="616"/>
      <c r="G4" s="616"/>
      <c r="H4" s="617"/>
    </row>
    <row r="5" spans="1:10" ht="32.25" thickBot="1">
      <c r="A5" s="615" t="s">
        <v>597</v>
      </c>
      <c r="B5" s="616"/>
      <c r="C5" s="617"/>
      <c r="D5" s="153" t="s">
        <v>598</v>
      </c>
      <c r="E5" s="153" t="s">
        <v>599</v>
      </c>
      <c r="F5" s="153" t="s">
        <v>600</v>
      </c>
      <c r="G5" s="153" t="s">
        <v>48</v>
      </c>
      <c r="H5" s="154" t="s">
        <v>601</v>
      </c>
    </row>
    <row r="6" spans="1:10" ht="32.25" thickBot="1">
      <c r="A6" s="618" t="s">
        <v>602</v>
      </c>
      <c r="B6" s="619"/>
      <c r="C6" s="155" t="s">
        <v>603</v>
      </c>
      <c r="D6" s="620"/>
      <c r="E6" s="621"/>
      <c r="F6" s="621"/>
      <c r="G6" s="621"/>
      <c r="H6" s="622"/>
    </row>
    <row r="7" spans="1:10" ht="16.5" thickBot="1">
      <c r="A7" s="592" t="s">
        <v>604</v>
      </c>
      <c r="B7" s="593"/>
      <c r="C7" s="155" t="s">
        <v>605</v>
      </c>
      <c r="D7" s="156">
        <v>25</v>
      </c>
      <c r="E7" s="156" t="s">
        <v>477</v>
      </c>
      <c r="F7" s="156">
        <v>35</v>
      </c>
      <c r="G7" s="156">
        <v>19</v>
      </c>
      <c r="H7" s="157">
        <v>34</v>
      </c>
    </row>
    <row r="8" spans="1:10" ht="16.5" thickBot="1">
      <c r="A8" s="594"/>
      <c r="B8" s="595"/>
      <c r="C8" s="155" t="s">
        <v>606</v>
      </c>
      <c r="D8" s="156">
        <v>13.5</v>
      </c>
      <c r="E8" s="156" t="s">
        <v>477</v>
      </c>
      <c r="F8" s="156">
        <v>20</v>
      </c>
      <c r="G8" s="156">
        <v>21.5</v>
      </c>
      <c r="H8" s="157">
        <v>19.5</v>
      </c>
    </row>
    <row r="9" spans="1:10" ht="16.5" thickBot="1">
      <c r="A9" s="594"/>
      <c r="B9" s="595"/>
      <c r="C9" s="155" t="s">
        <v>607</v>
      </c>
      <c r="D9" s="156">
        <v>11.3</v>
      </c>
      <c r="E9" s="156" t="s">
        <v>477</v>
      </c>
      <c r="F9" s="156">
        <v>14.3</v>
      </c>
      <c r="G9" s="156">
        <v>12</v>
      </c>
      <c r="H9" s="157">
        <v>14.3</v>
      </c>
    </row>
    <row r="10" spans="1:10" ht="16.5" thickBot="1">
      <c r="A10" s="594"/>
      <c r="B10" s="595"/>
      <c r="C10" s="155" t="s">
        <v>608</v>
      </c>
      <c r="D10" s="156">
        <v>8.8000000000000007</v>
      </c>
      <c r="E10" s="156" t="s">
        <v>477</v>
      </c>
      <c r="F10" s="156">
        <v>12.3</v>
      </c>
      <c r="G10" s="156">
        <v>13.5</v>
      </c>
      <c r="H10" s="157">
        <v>11.8</v>
      </c>
    </row>
    <row r="11" spans="1:10" ht="16.5" thickBot="1">
      <c r="A11" s="594"/>
      <c r="B11" s="595"/>
      <c r="C11" s="155" t="s">
        <v>609</v>
      </c>
      <c r="D11" s="156">
        <v>7.2</v>
      </c>
      <c r="E11" s="156" t="s">
        <v>477</v>
      </c>
      <c r="F11" s="156">
        <v>14</v>
      </c>
      <c r="G11" s="156">
        <v>14.8</v>
      </c>
      <c r="H11" s="157">
        <v>13.2</v>
      </c>
    </row>
    <row r="12" spans="1:10" ht="16.5" thickBot="1">
      <c r="A12" s="594"/>
      <c r="B12" s="595"/>
      <c r="C12" s="155" t="s">
        <v>610</v>
      </c>
      <c r="D12" s="156">
        <v>5.7</v>
      </c>
      <c r="E12" s="156" t="s">
        <v>477</v>
      </c>
      <c r="F12" s="156">
        <v>17.3</v>
      </c>
      <c r="G12" s="156">
        <v>23.3</v>
      </c>
      <c r="H12" s="157">
        <v>16.7</v>
      </c>
    </row>
    <row r="13" spans="1:10" ht="16.5" thickBot="1">
      <c r="A13" s="596"/>
      <c r="B13" s="597"/>
      <c r="C13" s="158" t="s">
        <v>611</v>
      </c>
      <c r="D13" s="157">
        <v>11.5</v>
      </c>
      <c r="E13" s="157" t="s">
        <v>477</v>
      </c>
      <c r="F13" s="157">
        <v>20.5</v>
      </c>
      <c r="G13" s="157">
        <v>18.600000000000001</v>
      </c>
      <c r="H13" s="157">
        <v>20</v>
      </c>
    </row>
    <row r="14" spans="1:10" ht="16.5" thickBot="1">
      <c r="A14" s="592" t="s">
        <v>612</v>
      </c>
      <c r="B14" s="593"/>
      <c r="C14" s="155" t="s">
        <v>605</v>
      </c>
      <c r="D14" s="156">
        <v>28</v>
      </c>
      <c r="E14" s="156" t="s">
        <v>477</v>
      </c>
      <c r="F14" s="156">
        <v>38</v>
      </c>
      <c r="G14" s="156">
        <v>15</v>
      </c>
      <c r="H14" s="157">
        <v>37</v>
      </c>
    </row>
    <row r="15" spans="1:10" ht="16.5" thickBot="1">
      <c r="A15" s="594"/>
      <c r="B15" s="595"/>
      <c r="C15" s="155" t="s">
        <v>606</v>
      </c>
      <c r="D15" s="156">
        <v>14</v>
      </c>
      <c r="E15" s="156" t="s">
        <v>477</v>
      </c>
      <c r="F15" s="156">
        <v>22.5</v>
      </c>
      <c r="G15" s="156">
        <v>8.5</v>
      </c>
      <c r="H15" s="157">
        <v>21.5</v>
      </c>
    </row>
    <row r="16" spans="1:10" ht="16.5" thickBot="1">
      <c r="A16" s="594"/>
      <c r="B16" s="595"/>
      <c r="C16" s="155" t="s">
        <v>607</v>
      </c>
      <c r="D16" s="156">
        <v>10.7</v>
      </c>
      <c r="E16" s="156" t="s">
        <v>477</v>
      </c>
      <c r="F16" s="156">
        <v>17</v>
      </c>
      <c r="G16" s="156">
        <v>11.3</v>
      </c>
      <c r="H16" s="157">
        <v>16.7</v>
      </c>
    </row>
    <row r="17" spans="1:8" ht="16.5" thickBot="1">
      <c r="A17" s="594"/>
      <c r="B17" s="595"/>
      <c r="C17" s="155" t="s">
        <v>608</v>
      </c>
      <c r="D17" s="156">
        <v>8.5</v>
      </c>
      <c r="E17" s="156" t="s">
        <v>477</v>
      </c>
      <c r="F17" s="156">
        <v>15</v>
      </c>
      <c r="G17" s="156">
        <v>11.5</v>
      </c>
      <c r="H17" s="157">
        <v>14.5</v>
      </c>
    </row>
    <row r="18" spans="1:8" ht="16.5" thickBot="1">
      <c r="A18" s="594"/>
      <c r="B18" s="595"/>
      <c r="C18" s="155" t="s">
        <v>609</v>
      </c>
      <c r="D18" s="156">
        <v>6.8</v>
      </c>
      <c r="E18" s="156" t="s">
        <v>477</v>
      </c>
      <c r="F18" s="156">
        <v>18</v>
      </c>
      <c r="G18" s="156">
        <v>11.2</v>
      </c>
      <c r="H18" s="157">
        <v>17.600000000000001</v>
      </c>
    </row>
    <row r="19" spans="1:8" ht="16.5" thickBot="1">
      <c r="A19" s="594"/>
      <c r="B19" s="595"/>
      <c r="C19" s="155" t="s">
        <v>610</v>
      </c>
      <c r="D19" s="156">
        <v>6.5</v>
      </c>
      <c r="E19" s="156" t="s">
        <v>477</v>
      </c>
      <c r="F19" s="156">
        <v>16.100000000000001</v>
      </c>
      <c r="G19" s="156">
        <v>9.3000000000000007</v>
      </c>
      <c r="H19" s="157">
        <v>15.7</v>
      </c>
    </row>
    <row r="20" spans="1:8" ht="16.5" thickBot="1">
      <c r="A20" s="596"/>
      <c r="B20" s="597"/>
      <c r="C20" s="158" t="s">
        <v>611</v>
      </c>
      <c r="D20" s="157">
        <v>12.5</v>
      </c>
      <c r="E20" s="157" t="s">
        <v>477</v>
      </c>
      <c r="F20" s="157">
        <v>23.3</v>
      </c>
      <c r="G20" s="157">
        <v>11.3</v>
      </c>
      <c r="H20" s="157">
        <v>22.4</v>
      </c>
    </row>
    <row r="21" spans="1:8" ht="16.5" thickBot="1">
      <c r="A21" s="592" t="s">
        <v>613</v>
      </c>
      <c r="B21" s="593"/>
      <c r="C21" s="155" t="s">
        <v>605</v>
      </c>
      <c r="D21" s="156">
        <v>22</v>
      </c>
      <c r="E21" s="156">
        <v>45</v>
      </c>
      <c r="F21" s="156">
        <v>37</v>
      </c>
      <c r="G21" s="156">
        <v>21</v>
      </c>
      <c r="H21" s="157">
        <v>35</v>
      </c>
    </row>
    <row r="22" spans="1:8" ht="16.5" thickBot="1">
      <c r="A22" s="594"/>
      <c r="B22" s="595"/>
      <c r="C22" s="155" t="s">
        <v>606</v>
      </c>
      <c r="D22" s="156">
        <v>15.5</v>
      </c>
      <c r="E22" s="156">
        <v>25</v>
      </c>
      <c r="F22" s="156">
        <v>22.5</v>
      </c>
      <c r="G22" s="156">
        <v>9.5</v>
      </c>
      <c r="H22" s="157">
        <v>21</v>
      </c>
    </row>
    <row r="23" spans="1:8" ht="16.5" thickBot="1">
      <c r="A23" s="594"/>
      <c r="B23" s="595"/>
      <c r="C23" s="155" t="s">
        <v>607</v>
      </c>
      <c r="D23" s="156">
        <v>11.3</v>
      </c>
      <c r="E23" s="156">
        <v>16.7</v>
      </c>
      <c r="F23" s="156">
        <v>16.3</v>
      </c>
      <c r="G23" s="156">
        <v>18.7</v>
      </c>
      <c r="H23" s="157">
        <v>15</v>
      </c>
    </row>
    <row r="24" spans="1:8" ht="16.5" thickBot="1">
      <c r="A24" s="594"/>
      <c r="B24" s="595"/>
      <c r="C24" s="155" t="s">
        <v>608</v>
      </c>
      <c r="D24" s="156">
        <v>8.8000000000000007</v>
      </c>
      <c r="E24" s="156">
        <v>13</v>
      </c>
      <c r="F24" s="156">
        <v>13.5</v>
      </c>
      <c r="G24" s="156">
        <v>9.5</v>
      </c>
      <c r="H24" s="157">
        <v>12.3</v>
      </c>
    </row>
    <row r="25" spans="1:8" ht="16.5" thickBot="1">
      <c r="A25" s="594"/>
      <c r="B25" s="595"/>
      <c r="C25" s="155" t="s">
        <v>609</v>
      </c>
      <c r="D25" s="156">
        <v>8</v>
      </c>
      <c r="E25" s="156">
        <v>10.8</v>
      </c>
      <c r="F25" s="156">
        <v>12.2</v>
      </c>
      <c r="G25" s="156">
        <v>3</v>
      </c>
      <c r="H25" s="157">
        <v>11</v>
      </c>
    </row>
    <row r="26" spans="1:8" ht="16.5" thickBot="1">
      <c r="A26" s="594"/>
      <c r="B26" s="595"/>
      <c r="C26" s="155" t="s">
        <v>610</v>
      </c>
      <c r="D26" s="156">
        <v>7.2</v>
      </c>
      <c r="E26" s="156">
        <v>8.6999999999999993</v>
      </c>
      <c r="F26" s="156">
        <v>10.7</v>
      </c>
      <c r="G26" s="156">
        <v>5.4</v>
      </c>
      <c r="H26" s="157">
        <v>9.1999999999999993</v>
      </c>
    </row>
    <row r="27" spans="1:8" ht="16.5" thickBot="1">
      <c r="A27" s="596"/>
      <c r="B27" s="597"/>
      <c r="C27" s="158" t="s">
        <v>611</v>
      </c>
      <c r="D27" s="157">
        <v>11.5</v>
      </c>
      <c r="E27" s="157">
        <v>17.3</v>
      </c>
      <c r="F27" s="157">
        <v>17.7</v>
      </c>
      <c r="G27" s="157">
        <v>11.5</v>
      </c>
      <c r="H27" s="157">
        <v>16</v>
      </c>
    </row>
    <row r="28" spans="1:8" ht="16.5" thickBot="1">
      <c r="A28" s="592" t="s">
        <v>614</v>
      </c>
      <c r="B28" s="593"/>
      <c r="C28" s="155" t="s">
        <v>605</v>
      </c>
      <c r="D28" s="156">
        <v>24</v>
      </c>
      <c r="E28" s="156">
        <v>38</v>
      </c>
      <c r="F28" s="156">
        <v>46</v>
      </c>
      <c r="G28" s="156">
        <v>25</v>
      </c>
      <c r="H28" s="157">
        <v>35</v>
      </c>
    </row>
    <row r="29" spans="1:8" ht="16.5" thickBot="1">
      <c r="A29" s="594"/>
      <c r="B29" s="595"/>
      <c r="C29" s="155" t="s">
        <v>606</v>
      </c>
      <c r="D29" s="156">
        <v>15</v>
      </c>
      <c r="E29" s="156">
        <v>19.5</v>
      </c>
      <c r="F29" s="156">
        <v>25.5</v>
      </c>
      <c r="G29" s="156">
        <v>16.5</v>
      </c>
      <c r="H29" s="157">
        <v>19</v>
      </c>
    </row>
    <row r="30" spans="1:8" ht="16.5" thickBot="1">
      <c r="A30" s="594"/>
      <c r="B30" s="595"/>
      <c r="C30" s="155" t="s">
        <v>607</v>
      </c>
      <c r="D30" s="156">
        <v>11</v>
      </c>
      <c r="E30" s="156">
        <v>13</v>
      </c>
      <c r="F30" s="156">
        <v>18.3</v>
      </c>
      <c r="G30" s="156">
        <v>11.3</v>
      </c>
      <c r="H30" s="157">
        <v>13</v>
      </c>
    </row>
    <row r="31" spans="1:8" ht="16.5" thickBot="1">
      <c r="A31" s="594"/>
      <c r="B31" s="595"/>
      <c r="C31" s="155" t="s">
        <v>608</v>
      </c>
      <c r="D31" s="156">
        <v>8.8000000000000007</v>
      </c>
      <c r="E31" s="156">
        <v>11</v>
      </c>
      <c r="F31" s="156">
        <v>14.3</v>
      </c>
      <c r="G31" s="156">
        <v>13.8</v>
      </c>
      <c r="H31" s="157">
        <v>10.8</v>
      </c>
    </row>
    <row r="32" spans="1:8" ht="16.5" thickBot="1">
      <c r="A32" s="594"/>
      <c r="B32" s="595"/>
      <c r="C32" s="155" t="s">
        <v>609</v>
      </c>
      <c r="D32" s="156">
        <v>7.2</v>
      </c>
      <c r="E32" s="156">
        <v>9.1999999999999993</v>
      </c>
      <c r="F32" s="156">
        <v>13.8</v>
      </c>
      <c r="G32" s="156">
        <v>3.6</v>
      </c>
      <c r="H32" s="157">
        <v>11</v>
      </c>
    </row>
    <row r="33" spans="1:8" ht="16.5" thickBot="1">
      <c r="A33" s="594"/>
      <c r="B33" s="595"/>
      <c r="C33" s="155" t="s">
        <v>610</v>
      </c>
      <c r="D33" s="156">
        <v>6</v>
      </c>
      <c r="E33" s="156">
        <v>7.7</v>
      </c>
      <c r="F33" s="156">
        <v>20.8</v>
      </c>
      <c r="G33" s="156">
        <v>12.1</v>
      </c>
      <c r="H33" s="157">
        <v>14</v>
      </c>
    </row>
    <row r="34" spans="1:8" ht="16.5" thickBot="1">
      <c r="A34" s="596"/>
      <c r="B34" s="597"/>
      <c r="C34" s="158" t="s">
        <v>611</v>
      </c>
      <c r="D34" s="157">
        <v>11.5</v>
      </c>
      <c r="E34" s="157">
        <v>14.7</v>
      </c>
      <c r="F34" s="157">
        <v>20.5</v>
      </c>
      <c r="G34" s="157">
        <v>16.8</v>
      </c>
      <c r="H34" s="157">
        <v>16</v>
      </c>
    </row>
    <row r="35" spans="1:8" ht="16.5" thickBot="1">
      <c r="A35" s="592" t="s">
        <v>615</v>
      </c>
      <c r="B35" s="593"/>
      <c r="C35" s="155" t="s">
        <v>605</v>
      </c>
      <c r="D35" s="156">
        <v>19</v>
      </c>
      <c r="E35" s="156">
        <v>45</v>
      </c>
      <c r="F35" s="156">
        <v>33</v>
      </c>
      <c r="G35" s="156">
        <v>46</v>
      </c>
      <c r="H35" s="157">
        <v>34</v>
      </c>
    </row>
    <row r="36" spans="1:8" ht="16.5" thickBot="1">
      <c r="A36" s="594"/>
      <c r="B36" s="595"/>
      <c r="C36" s="155" t="s">
        <v>606</v>
      </c>
      <c r="D36" s="156">
        <v>11.5</v>
      </c>
      <c r="E36" s="156">
        <v>24.8</v>
      </c>
      <c r="F36" s="156">
        <v>18.5</v>
      </c>
      <c r="G36" s="156">
        <v>23</v>
      </c>
      <c r="H36" s="157">
        <v>19</v>
      </c>
    </row>
    <row r="37" spans="1:8" ht="16.5" thickBot="1">
      <c r="A37" s="594"/>
      <c r="B37" s="595"/>
      <c r="C37" s="155" t="s">
        <v>607</v>
      </c>
      <c r="D37" s="156">
        <v>11.3</v>
      </c>
      <c r="E37" s="156">
        <v>18.3</v>
      </c>
      <c r="F37" s="156">
        <v>13.3</v>
      </c>
      <c r="G37" s="156">
        <v>18.3</v>
      </c>
      <c r="H37" s="157">
        <v>13.3</v>
      </c>
    </row>
    <row r="38" spans="1:8" ht="16.5" thickBot="1">
      <c r="A38" s="594"/>
      <c r="B38" s="595"/>
      <c r="C38" s="155" t="s">
        <v>608</v>
      </c>
      <c r="D38" s="156">
        <v>10</v>
      </c>
      <c r="E38" s="156">
        <v>13.8</v>
      </c>
      <c r="F38" s="156">
        <v>11</v>
      </c>
      <c r="G38" s="156">
        <v>11.3</v>
      </c>
      <c r="H38" s="157">
        <v>11</v>
      </c>
    </row>
    <row r="39" spans="1:8" ht="16.5" thickBot="1">
      <c r="A39" s="594"/>
      <c r="B39" s="595"/>
      <c r="C39" s="155" t="s">
        <v>609</v>
      </c>
      <c r="D39" s="156">
        <v>8</v>
      </c>
      <c r="E39" s="156">
        <v>11</v>
      </c>
      <c r="F39" s="156">
        <v>11.2</v>
      </c>
      <c r="G39" s="156">
        <v>2.4</v>
      </c>
      <c r="H39" s="157">
        <v>11</v>
      </c>
    </row>
    <row r="40" spans="1:8" ht="16.5" thickBot="1">
      <c r="A40" s="594"/>
      <c r="B40" s="595"/>
      <c r="C40" s="155" t="s">
        <v>610</v>
      </c>
      <c r="D40" s="156">
        <v>7.2</v>
      </c>
      <c r="E40" s="156">
        <v>7.9</v>
      </c>
      <c r="F40" s="156">
        <v>10.199999999999999</v>
      </c>
      <c r="G40" s="156">
        <v>29.8</v>
      </c>
      <c r="H40" s="157">
        <v>9.6999999999999993</v>
      </c>
    </row>
    <row r="41" spans="1:8" ht="16.5" thickBot="1">
      <c r="A41" s="596"/>
      <c r="B41" s="597"/>
      <c r="C41" s="158" t="s">
        <v>611</v>
      </c>
      <c r="D41" s="157">
        <v>11.3</v>
      </c>
      <c r="E41" s="157">
        <v>18.3</v>
      </c>
      <c r="F41" s="157">
        <v>16</v>
      </c>
      <c r="G41" s="157">
        <v>26</v>
      </c>
      <c r="H41" s="157">
        <v>16</v>
      </c>
    </row>
    <row r="42" spans="1:8" ht="16.5" thickBot="1">
      <c r="A42" s="592" t="s">
        <v>616</v>
      </c>
      <c r="B42" s="593"/>
      <c r="C42" s="155" t="s">
        <v>605</v>
      </c>
      <c r="D42" s="156">
        <v>18</v>
      </c>
      <c r="E42" s="156">
        <v>40</v>
      </c>
      <c r="F42" s="156">
        <v>30</v>
      </c>
      <c r="G42" s="156">
        <v>10</v>
      </c>
      <c r="H42" s="157">
        <v>23</v>
      </c>
    </row>
    <row r="43" spans="1:8" ht="16.5" thickBot="1">
      <c r="A43" s="594"/>
      <c r="B43" s="595"/>
      <c r="C43" s="155" t="s">
        <v>606</v>
      </c>
      <c r="D43" s="156">
        <v>13</v>
      </c>
      <c r="E43" s="156">
        <v>20.5</v>
      </c>
      <c r="F43" s="156">
        <v>20.5</v>
      </c>
      <c r="G43" s="156">
        <v>7</v>
      </c>
      <c r="H43" s="157">
        <v>17</v>
      </c>
    </row>
    <row r="44" spans="1:8" ht="16.5" thickBot="1">
      <c r="A44" s="594"/>
      <c r="B44" s="595"/>
      <c r="C44" s="155" t="s">
        <v>607</v>
      </c>
      <c r="D44" s="156">
        <v>11.3</v>
      </c>
      <c r="E44" s="156">
        <v>13.7</v>
      </c>
      <c r="F44" s="156">
        <v>14</v>
      </c>
      <c r="G44" s="156">
        <v>9.3000000000000007</v>
      </c>
      <c r="H44" s="157">
        <v>11.7</v>
      </c>
    </row>
    <row r="45" spans="1:8" ht="16.5" thickBot="1">
      <c r="A45" s="594"/>
      <c r="B45" s="595"/>
      <c r="C45" s="155" t="s">
        <v>608</v>
      </c>
      <c r="D45" s="156">
        <v>9.5</v>
      </c>
      <c r="E45" s="156">
        <v>10.8</v>
      </c>
      <c r="F45" s="156">
        <v>12</v>
      </c>
      <c r="G45" s="156">
        <v>4.8</v>
      </c>
      <c r="H45" s="157">
        <v>10.8</v>
      </c>
    </row>
    <row r="46" spans="1:8" ht="16.5" thickBot="1">
      <c r="A46" s="594"/>
      <c r="B46" s="595"/>
      <c r="C46" s="155" t="s">
        <v>609</v>
      </c>
      <c r="D46" s="156">
        <v>7.8</v>
      </c>
      <c r="E46" s="156">
        <v>9.1999999999999993</v>
      </c>
      <c r="F46" s="156">
        <v>11.4</v>
      </c>
      <c r="G46" s="156">
        <v>3.8</v>
      </c>
      <c r="H46" s="157">
        <v>9.1999999999999993</v>
      </c>
    </row>
    <row r="47" spans="1:8" ht="16.5" thickBot="1">
      <c r="A47" s="594"/>
      <c r="B47" s="595"/>
      <c r="C47" s="155" t="s">
        <v>610</v>
      </c>
      <c r="D47" s="156">
        <v>7.2</v>
      </c>
      <c r="E47" s="156">
        <v>8.6999999999999993</v>
      </c>
      <c r="F47" s="156">
        <v>9.6999999999999993</v>
      </c>
      <c r="G47" s="156">
        <v>3</v>
      </c>
      <c r="H47" s="157">
        <v>8</v>
      </c>
    </row>
    <row r="48" spans="1:8" ht="16.5" thickBot="1">
      <c r="A48" s="596"/>
      <c r="B48" s="597"/>
      <c r="C48" s="158" t="s">
        <v>611</v>
      </c>
      <c r="D48" s="157">
        <v>11.5</v>
      </c>
      <c r="E48" s="157">
        <v>16.3</v>
      </c>
      <c r="F48" s="157">
        <v>15.5</v>
      </c>
      <c r="G48" s="157">
        <v>9</v>
      </c>
      <c r="H48" s="157">
        <v>14</v>
      </c>
    </row>
    <row r="49" spans="1:8" ht="16.5" thickBot="1">
      <c r="A49" s="592" t="s">
        <v>617</v>
      </c>
      <c r="B49" s="593"/>
      <c r="C49" s="155" t="s">
        <v>605</v>
      </c>
      <c r="D49" s="156">
        <v>18</v>
      </c>
      <c r="E49" s="156">
        <v>40</v>
      </c>
      <c r="F49" s="156">
        <v>37</v>
      </c>
      <c r="G49" s="156">
        <v>37</v>
      </c>
      <c r="H49" s="157">
        <v>31</v>
      </c>
    </row>
    <row r="50" spans="1:8" ht="16.5" thickBot="1">
      <c r="A50" s="594"/>
      <c r="B50" s="595"/>
      <c r="C50" s="155" t="s">
        <v>606</v>
      </c>
      <c r="D50" s="156">
        <v>13</v>
      </c>
      <c r="E50" s="156">
        <v>22.5</v>
      </c>
      <c r="F50" s="156">
        <v>21.5</v>
      </c>
      <c r="G50" s="156">
        <v>14</v>
      </c>
      <c r="H50" s="157">
        <v>17</v>
      </c>
    </row>
    <row r="51" spans="1:8" ht="16.5" thickBot="1">
      <c r="A51" s="594"/>
      <c r="B51" s="595"/>
      <c r="C51" s="155" t="s">
        <v>607</v>
      </c>
      <c r="D51" s="156">
        <v>10</v>
      </c>
      <c r="E51" s="156">
        <v>17</v>
      </c>
      <c r="F51" s="156">
        <v>15.7</v>
      </c>
      <c r="G51" s="156">
        <v>26.3</v>
      </c>
      <c r="H51" s="157">
        <v>13</v>
      </c>
    </row>
    <row r="52" spans="1:8" ht="16.5" thickBot="1">
      <c r="A52" s="594"/>
      <c r="B52" s="595"/>
      <c r="C52" s="155" t="s">
        <v>608</v>
      </c>
      <c r="D52" s="156">
        <v>8.5</v>
      </c>
      <c r="E52" s="156">
        <v>13.8</v>
      </c>
      <c r="F52" s="156">
        <v>13.8</v>
      </c>
      <c r="G52" s="156">
        <v>6.3</v>
      </c>
      <c r="H52" s="157">
        <v>12.3</v>
      </c>
    </row>
    <row r="53" spans="1:8" ht="16.5" thickBot="1">
      <c r="A53" s="594"/>
      <c r="B53" s="595"/>
      <c r="C53" s="155" t="s">
        <v>609</v>
      </c>
      <c r="D53" s="156">
        <v>7.4</v>
      </c>
      <c r="E53" s="156">
        <v>11</v>
      </c>
      <c r="F53" s="156">
        <v>13.2</v>
      </c>
      <c r="G53" s="156">
        <v>11.2</v>
      </c>
      <c r="H53" s="157">
        <v>12</v>
      </c>
    </row>
    <row r="54" spans="1:8" ht="16.5" thickBot="1">
      <c r="A54" s="594"/>
      <c r="B54" s="595"/>
      <c r="C54" s="155" t="s">
        <v>610</v>
      </c>
      <c r="D54" s="156">
        <v>6.5</v>
      </c>
      <c r="E54" s="156">
        <v>8.1999999999999993</v>
      </c>
      <c r="F54" s="156">
        <v>12.9</v>
      </c>
      <c r="G54" s="156">
        <v>26.7</v>
      </c>
      <c r="H54" s="157">
        <v>11.8</v>
      </c>
    </row>
    <row r="55" spans="1:8" ht="16.5" thickBot="1">
      <c r="A55" s="596"/>
      <c r="B55" s="597"/>
      <c r="C55" s="158" t="s">
        <v>611</v>
      </c>
      <c r="D55" s="157">
        <v>11</v>
      </c>
      <c r="E55" s="157">
        <v>20</v>
      </c>
      <c r="F55" s="157">
        <v>18</v>
      </c>
      <c r="G55" s="157">
        <v>25</v>
      </c>
      <c r="H55" s="157">
        <v>15.5</v>
      </c>
    </row>
    <row r="56" spans="1:8" ht="16.5" thickBot="1">
      <c r="A56" s="592" t="s">
        <v>618</v>
      </c>
      <c r="B56" s="593"/>
      <c r="C56" s="155" t="s">
        <v>605</v>
      </c>
      <c r="D56" s="156">
        <v>22</v>
      </c>
      <c r="E56" s="156">
        <v>40</v>
      </c>
      <c r="F56" s="156">
        <v>36</v>
      </c>
      <c r="G56" s="156">
        <v>14</v>
      </c>
      <c r="H56" s="157">
        <v>31</v>
      </c>
    </row>
    <row r="57" spans="1:8" ht="16.5" thickBot="1">
      <c r="A57" s="594"/>
      <c r="B57" s="595"/>
      <c r="C57" s="155" t="s">
        <v>606</v>
      </c>
      <c r="D57" s="156">
        <v>16.5</v>
      </c>
      <c r="E57" s="156">
        <v>20.5</v>
      </c>
      <c r="F57" s="156">
        <v>19.5</v>
      </c>
      <c r="G57" s="156">
        <v>5.5</v>
      </c>
      <c r="H57" s="157">
        <v>18</v>
      </c>
    </row>
    <row r="58" spans="1:8" ht="16.5" thickBot="1">
      <c r="A58" s="594"/>
      <c r="B58" s="595"/>
      <c r="C58" s="155" t="s">
        <v>607</v>
      </c>
      <c r="D58" s="156">
        <v>11.3</v>
      </c>
      <c r="E58" s="156">
        <v>13.7</v>
      </c>
      <c r="F58" s="156">
        <v>14</v>
      </c>
      <c r="G58" s="156">
        <v>5</v>
      </c>
      <c r="H58" s="157">
        <v>12.7</v>
      </c>
    </row>
    <row r="59" spans="1:8" ht="16.5" thickBot="1">
      <c r="A59" s="594"/>
      <c r="B59" s="595"/>
      <c r="C59" s="155" t="s">
        <v>608</v>
      </c>
      <c r="D59" s="156">
        <v>9</v>
      </c>
      <c r="E59" s="156">
        <v>11.3</v>
      </c>
      <c r="F59" s="156">
        <v>11.8</v>
      </c>
      <c r="G59" s="156">
        <v>3</v>
      </c>
      <c r="H59" s="157">
        <v>10.3</v>
      </c>
    </row>
    <row r="60" spans="1:8" ht="16.5" thickBot="1">
      <c r="A60" s="594"/>
      <c r="B60" s="595"/>
      <c r="C60" s="155" t="s">
        <v>609</v>
      </c>
      <c r="D60" s="156">
        <v>8</v>
      </c>
      <c r="E60" s="156">
        <v>10.4</v>
      </c>
      <c r="F60" s="156">
        <v>11</v>
      </c>
      <c r="G60" s="156">
        <v>17</v>
      </c>
      <c r="H60" s="157">
        <v>8.8000000000000007</v>
      </c>
    </row>
    <row r="61" spans="1:8" ht="16.5" thickBot="1">
      <c r="A61" s="594"/>
      <c r="B61" s="595"/>
      <c r="C61" s="155" t="s">
        <v>610</v>
      </c>
      <c r="D61" s="156">
        <v>7.2</v>
      </c>
      <c r="E61" s="156">
        <v>7.8</v>
      </c>
      <c r="F61" s="156">
        <v>9.4</v>
      </c>
      <c r="G61" s="156">
        <v>12.1</v>
      </c>
      <c r="H61" s="157">
        <v>7.3</v>
      </c>
    </row>
    <row r="62" spans="1:8" ht="16.5" thickBot="1">
      <c r="A62" s="596"/>
      <c r="B62" s="597"/>
      <c r="C62" s="158" t="s">
        <v>611</v>
      </c>
      <c r="D62" s="157">
        <v>11.7</v>
      </c>
      <c r="E62" s="157">
        <v>15.7</v>
      </c>
      <c r="F62" s="157">
        <v>15.3</v>
      </c>
      <c r="G62" s="157">
        <v>8</v>
      </c>
      <c r="H62" s="157">
        <v>13.7</v>
      </c>
    </row>
    <row r="63" spans="1:8" ht="16.5" thickBot="1">
      <c r="A63" s="592" t="s">
        <v>619</v>
      </c>
      <c r="B63" s="593"/>
      <c r="C63" s="155" t="s">
        <v>605</v>
      </c>
      <c r="D63" s="156">
        <v>18</v>
      </c>
      <c r="E63" s="156">
        <v>41</v>
      </c>
      <c r="F63" s="156">
        <v>37</v>
      </c>
      <c r="G63" s="156">
        <v>8</v>
      </c>
      <c r="H63" s="157">
        <v>23</v>
      </c>
    </row>
    <row r="64" spans="1:8" ht="16.5" thickBot="1">
      <c r="A64" s="594"/>
      <c r="B64" s="595"/>
      <c r="C64" s="155" t="s">
        <v>606</v>
      </c>
      <c r="D64" s="156">
        <v>14</v>
      </c>
      <c r="E64" s="156">
        <v>20.5</v>
      </c>
      <c r="F64" s="156">
        <v>20.5</v>
      </c>
      <c r="G64" s="156">
        <v>4.5</v>
      </c>
      <c r="H64" s="157">
        <v>16.5</v>
      </c>
    </row>
    <row r="65" spans="1:8" ht="16.5" thickBot="1">
      <c r="A65" s="594"/>
      <c r="B65" s="595"/>
      <c r="C65" s="155" t="s">
        <v>607</v>
      </c>
      <c r="D65" s="156">
        <v>10.7</v>
      </c>
      <c r="E65" s="156">
        <v>14.3</v>
      </c>
      <c r="F65" s="156">
        <v>15</v>
      </c>
      <c r="G65" s="156">
        <v>4.7</v>
      </c>
      <c r="H65" s="157">
        <v>11.7</v>
      </c>
    </row>
    <row r="66" spans="1:8" ht="16.5" thickBot="1">
      <c r="A66" s="594"/>
      <c r="B66" s="595"/>
      <c r="C66" s="155" t="s">
        <v>608</v>
      </c>
      <c r="D66" s="156">
        <v>9.5</v>
      </c>
      <c r="E66" s="156">
        <v>11.5</v>
      </c>
      <c r="F66" s="156">
        <v>12.3</v>
      </c>
      <c r="G66" s="156">
        <v>3.8</v>
      </c>
      <c r="H66" s="157">
        <v>10</v>
      </c>
    </row>
    <row r="67" spans="1:8" ht="16.5" thickBot="1">
      <c r="A67" s="594"/>
      <c r="B67" s="595"/>
      <c r="C67" s="155" t="s">
        <v>609</v>
      </c>
      <c r="D67" s="156">
        <v>7.8</v>
      </c>
      <c r="E67" s="156">
        <v>10.199999999999999</v>
      </c>
      <c r="F67" s="156">
        <v>10.199999999999999</v>
      </c>
      <c r="G67" s="156">
        <v>6.8</v>
      </c>
      <c r="H67" s="157">
        <v>8.8000000000000007</v>
      </c>
    </row>
    <row r="68" spans="1:8" ht="16.5" thickBot="1">
      <c r="A68" s="594"/>
      <c r="B68" s="595"/>
      <c r="C68" s="155" t="s">
        <v>610</v>
      </c>
      <c r="D68" s="156">
        <v>7.3</v>
      </c>
      <c r="E68" s="156">
        <v>8.3000000000000007</v>
      </c>
      <c r="F68" s="156">
        <v>8.1999999999999993</v>
      </c>
      <c r="G68" s="156">
        <v>17</v>
      </c>
      <c r="H68" s="157">
        <v>7.7</v>
      </c>
    </row>
    <row r="69" spans="1:8" ht="16.5" thickBot="1">
      <c r="A69" s="596"/>
      <c r="B69" s="597"/>
      <c r="C69" s="158" t="s">
        <v>611</v>
      </c>
      <c r="D69" s="157">
        <v>11.3</v>
      </c>
      <c r="E69" s="157">
        <v>16.3</v>
      </c>
      <c r="F69" s="157">
        <v>15.3</v>
      </c>
      <c r="G69" s="157">
        <v>8</v>
      </c>
      <c r="H69" s="157">
        <v>13</v>
      </c>
    </row>
    <row r="70" spans="1:8" ht="16.5" thickBot="1">
      <c r="A70" s="592" t="s">
        <v>620</v>
      </c>
      <c r="B70" s="593"/>
      <c r="C70" s="155" t="s">
        <v>605</v>
      </c>
      <c r="D70" s="156">
        <v>17</v>
      </c>
      <c r="E70" s="156">
        <v>41</v>
      </c>
      <c r="F70" s="156">
        <v>46</v>
      </c>
      <c r="G70" s="156">
        <v>23</v>
      </c>
      <c r="H70" s="157">
        <v>36</v>
      </c>
    </row>
    <row r="71" spans="1:8" ht="16.5" thickBot="1">
      <c r="A71" s="594"/>
      <c r="B71" s="595"/>
      <c r="C71" s="155" t="s">
        <v>606</v>
      </c>
      <c r="D71" s="156">
        <v>15</v>
      </c>
      <c r="E71" s="156">
        <v>22.5</v>
      </c>
      <c r="F71" s="156">
        <v>23</v>
      </c>
      <c r="G71" s="156">
        <v>35</v>
      </c>
      <c r="H71" s="157">
        <v>22</v>
      </c>
    </row>
    <row r="72" spans="1:8" ht="16.5" thickBot="1">
      <c r="A72" s="594"/>
      <c r="B72" s="595"/>
      <c r="C72" s="155" t="s">
        <v>607</v>
      </c>
      <c r="D72" s="156">
        <v>10.7</v>
      </c>
      <c r="E72" s="156">
        <v>15</v>
      </c>
      <c r="F72" s="156">
        <v>16.7</v>
      </c>
      <c r="G72" s="156" t="s">
        <v>477</v>
      </c>
      <c r="H72" s="157">
        <v>14.7</v>
      </c>
    </row>
    <row r="73" spans="1:8" ht="16.5" thickBot="1">
      <c r="A73" s="594"/>
      <c r="B73" s="595"/>
      <c r="C73" s="155" t="s">
        <v>608</v>
      </c>
      <c r="D73" s="156">
        <v>9.4</v>
      </c>
      <c r="E73" s="156">
        <v>11.8</v>
      </c>
      <c r="F73" s="156">
        <v>14.5</v>
      </c>
      <c r="G73" s="156">
        <v>13.8</v>
      </c>
      <c r="H73" s="157">
        <v>12</v>
      </c>
    </row>
    <row r="74" spans="1:8" ht="16.5" thickBot="1">
      <c r="A74" s="594"/>
      <c r="B74" s="595"/>
      <c r="C74" s="155" t="s">
        <v>609</v>
      </c>
      <c r="D74" s="156">
        <v>8.6</v>
      </c>
      <c r="E74" s="156">
        <v>10.4</v>
      </c>
      <c r="F74" s="156">
        <v>12</v>
      </c>
      <c r="G74" s="156" t="s">
        <v>477</v>
      </c>
      <c r="H74" s="157">
        <v>10.4</v>
      </c>
    </row>
    <row r="75" spans="1:8" ht="16.5" thickBot="1">
      <c r="A75" s="594"/>
      <c r="B75" s="595"/>
      <c r="C75" s="155" t="s">
        <v>610</v>
      </c>
      <c r="D75" s="156">
        <v>7</v>
      </c>
      <c r="E75" s="156">
        <v>8.1999999999999993</v>
      </c>
      <c r="F75" s="156">
        <v>10</v>
      </c>
      <c r="G75" s="156" t="s">
        <v>477</v>
      </c>
      <c r="H75" s="157">
        <v>8.1999999999999993</v>
      </c>
    </row>
    <row r="76" spans="1:8" ht="16.5" thickBot="1">
      <c r="A76" s="596"/>
      <c r="B76" s="597"/>
      <c r="C76" s="158" t="s">
        <v>611</v>
      </c>
      <c r="D76" s="157">
        <v>11</v>
      </c>
      <c r="E76" s="157">
        <v>15</v>
      </c>
      <c r="F76" s="157">
        <v>17.8</v>
      </c>
      <c r="G76" s="157">
        <v>23</v>
      </c>
      <c r="H76" s="157">
        <v>15</v>
      </c>
    </row>
    <row r="77" spans="1:8" ht="16.5" thickBot="1">
      <c r="A77" s="592" t="s">
        <v>621</v>
      </c>
      <c r="B77" s="593"/>
      <c r="C77" s="155" t="s">
        <v>605</v>
      </c>
      <c r="D77" s="156">
        <v>23</v>
      </c>
      <c r="E77" s="156">
        <v>43</v>
      </c>
      <c r="F77" s="156">
        <v>42</v>
      </c>
      <c r="G77" s="156">
        <v>19</v>
      </c>
      <c r="H77" s="157">
        <v>35</v>
      </c>
    </row>
    <row r="78" spans="1:8" ht="16.5" thickBot="1">
      <c r="A78" s="594"/>
      <c r="B78" s="595"/>
      <c r="C78" s="155" t="s">
        <v>606</v>
      </c>
      <c r="D78" s="156">
        <v>14.5</v>
      </c>
      <c r="E78" s="156">
        <v>22.5</v>
      </c>
      <c r="F78" s="156">
        <v>22.5</v>
      </c>
      <c r="G78" s="156">
        <v>15.5</v>
      </c>
      <c r="H78" s="157">
        <v>20</v>
      </c>
    </row>
    <row r="79" spans="1:8" ht="16.5" thickBot="1">
      <c r="A79" s="594"/>
      <c r="B79" s="595"/>
      <c r="C79" s="155" t="s">
        <v>607</v>
      </c>
      <c r="D79" s="156">
        <v>10.7</v>
      </c>
      <c r="E79" s="156">
        <v>15</v>
      </c>
      <c r="F79" s="156">
        <v>16</v>
      </c>
      <c r="G79" s="156">
        <v>4.7</v>
      </c>
      <c r="H79" s="157">
        <v>14.3</v>
      </c>
    </row>
    <row r="80" spans="1:8" ht="16.5" thickBot="1">
      <c r="A80" s="594"/>
      <c r="B80" s="595"/>
      <c r="C80" s="155" t="s">
        <v>608</v>
      </c>
      <c r="D80" s="156">
        <v>8.8000000000000007</v>
      </c>
      <c r="E80" s="156">
        <v>13.8</v>
      </c>
      <c r="F80" s="156">
        <v>12.8</v>
      </c>
      <c r="G80" s="156">
        <v>5.8</v>
      </c>
      <c r="H80" s="157">
        <v>11.5</v>
      </c>
    </row>
    <row r="81" spans="1:8" ht="16.5" thickBot="1">
      <c r="A81" s="594"/>
      <c r="B81" s="595"/>
      <c r="C81" s="155" t="s">
        <v>609</v>
      </c>
      <c r="D81" s="156">
        <v>7.6</v>
      </c>
      <c r="E81" s="156">
        <v>9.1999999999999993</v>
      </c>
      <c r="F81" s="156">
        <v>11.4</v>
      </c>
      <c r="G81" s="156">
        <v>7.4</v>
      </c>
      <c r="H81" s="157">
        <v>10.4</v>
      </c>
    </row>
    <row r="82" spans="1:8" ht="16.5" thickBot="1">
      <c r="A82" s="594"/>
      <c r="B82" s="595"/>
      <c r="C82" s="155" t="s">
        <v>610</v>
      </c>
      <c r="D82" s="156">
        <v>7.1</v>
      </c>
      <c r="E82" s="156">
        <v>8</v>
      </c>
      <c r="F82" s="156">
        <v>9.5</v>
      </c>
      <c r="G82" s="156">
        <v>21.7</v>
      </c>
      <c r="H82" s="157">
        <v>9</v>
      </c>
    </row>
    <row r="83" spans="1:8" ht="16.5" thickBot="1">
      <c r="A83" s="596"/>
      <c r="B83" s="597"/>
      <c r="C83" s="158" t="s">
        <v>611</v>
      </c>
      <c r="D83" s="157">
        <v>11.7</v>
      </c>
      <c r="E83" s="157">
        <v>15.5</v>
      </c>
      <c r="F83" s="157">
        <v>17</v>
      </c>
      <c r="G83" s="157">
        <v>15</v>
      </c>
      <c r="H83" s="157">
        <v>16</v>
      </c>
    </row>
    <row r="84" spans="1:8" ht="16.5" thickBot="1">
      <c r="A84" s="592" t="s">
        <v>622</v>
      </c>
      <c r="B84" s="593"/>
      <c r="C84" s="155" t="s">
        <v>605</v>
      </c>
      <c r="D84" s="156">
        <v>23</v>
      </c>
      <c r="E84" s="156">
        <v>41</v>
      </c>
      <c r="F84" s="156">
        <v>42</v>
      </c>
      <c r="G84" s="156">
        <v>37</v>
      </c>
      <c r="H84" s="157">
        <v>31</v>
      </c>
    </row>
    <row r="85" spans="1:8" ht="16.5" thickBot="1">
      <c r="A85" s="594"/>
      <c r="B85" s="595"/>
      <c r="C85" s="155" t="s">
        <v>606</v>
      </c>
      <c r="D85" s="156">
        <v>12.5</v>
      </c>
      <c r="E85" s="156">
        <v>22</v>
      </c>
      <c r="F85" s="156">
        <v>22.5</v>
      </c>
      <c r="G85" s="156">
        <v>23</v>
      </c>
      <c r="H85" s="157">
        <v>19</v>
      </c>
    </row>
    <row r="86" spans="1:8" ht="16.5" thickBot="1">
      <c r="A86" s="594"/>
      <c r="B86" s="595"/>
      <c r="C86" s="155" t="s">
        <v>607</v>
      </c>
      <c r="D86" s="156">
        <v>10.3</v>
      </c>
      <c r="E86" s="156">
        <v>15</v>
      </c>
      <c r="F86" s="156">
        <v>15.7</v>
      </c>
      <c r="G86" s="156">
        <v>12.3</v>
      </c>
      <c r="H86" s="157">
        <v>13.3</v>
      </c>
    </row>
    <row r="87" spans="1:8" ht="16.5" thickBot="1">
      <c r="A87" s="594"/>
      <c r="B87" s="595"/>
      <c r="C87" s="155" t="s">
        <v>608</v>
      </c>
      <c r="D87" s="156">
        <v>8.8000000000000007</v>
      </c>
      <c r="E87" s="156">
        <v>11.3</v>
      </c>
      <c r="F87" s="156">
        <v>12.5</v>
      </c>
      <c r="G87" s="156">
        <v>9.5</v>
      </c>
      <c r="H87" s="157">
        <v>10.8</v>
      </c>
    </row>
    <row r="88" spans="1:8" ht="16.5" thickBot="1">
      <c r="A88" s="594"/>
      <c r="B88" s="595"/>
      <c r="C88" s="155" t="s">
        <v>609</v>
      </c>
      <c r="D88" s="156">
        <v>7.4</v>
      </c>
      <c r="E88" s="156">
        <v>10.4</v>
      </c>
      <c r="F88" s="156">
        <v>11</v>
      </c>
      <c r="G88" s="156">
        <v>11</v>
      </c>
      <c r="H88" s="157">
        <v>10.4</v>
      </c>
    </row>
    <row r="89" spans="1:8" ht="16.5" thickBot="1">
      <c r="A89" s="594"/>
      <c r="B89" s="595"/>
      <c r="C89" s="155" t="s">
        <v>610</v>
      </c>
      <c r="D89" s="156">
        <v>6.5</v>
      </c>
      <c r="E89" s="156">
        <v>8.3000000000000007</v>
      </c>
      <c r="F89" s="156">
        <v>10.3</v>
      </c>
      <c r="G89" s="156">
        <v>12.1</v>
      </c>
      <c r="H89" s="157">
        <v>8.6999999999999993</v>
      </c>
    </row>
    <row r="90" spans="1:8" ht="16.5" thickBot="1">
      <c r="A90" s="596"/>
      <c r="B90" s="597"/>
      <c r="C90" s="158" t="s">
        <v>611</v>
      </c>
      <c r="D90" s="157">
        <v>11.7</v>
      </c>
      <c r="E90" s="157">
        <v>15</v>
      </c>
      <c r="F90" s="157">
        <v>18</v>
      </c>
      <c r="G90" s="157">
        <v>17</v>
      </c>
      <c r="H90" s="157">
        <v>15</v>
      </c>
    </row>
    <row r="91" spans="1:8" ht="16.5" thickBot="1">
      <c r="A91" s="592" t="s">
        <v>623</v>
      </c>
      <c r="B91" s="593"/>
      <c r="C91" s="155" t="s">
        <v>605</v>
      </c>
      <c r="D91" s="156">
        <v>29</v>
      </c>
      <c r="E91" s="156">
        <v>33</v>
      </c>
      <c r="F91" s="156">
        <v>36</v>
      </c>
      <c r="G91" s="156">
        <v>42</v>
      </c>
      <c r="H91" s="157">
        <v>34</v>
      </c>
    </row>
    <row r="92" spans="1:8" ht="16.5" thickBot="1">
      <c r="A92" s="594"/>
      <c r="B92" s="595"/>
      <c r="C92" s="155" t="s">
        <v>606</v>
      </c>
      <c r="D92" s="156">
        <v>15</v>
      </c>
      <c r="E92" s="156">
        <v>17.5</v>
      </c>
      <c r="F92" s="156">
        <v>20.5</v>
      </c>
      <c r="G92" s="156">
        <v>18.5</v>
      </c>
      <c r="H92" s="157">
        <v>19.5</v>
      </c>
    </row>
    <row r="93" spans="1:8" ht="16.5" thickBot="1">
      <c r="A93" s="594"/>
      <c r="B93" s="595"/>
      <c r="C93" s="155" t="s">
        <v>607</v>
      </c>
      <c r="D93" s="156">
        <v>10</v>
      </c>
      <c r="E93" s="156">
        <v>11.7</v>
      </c>
      <c r="F93" s="156">
        <v>14.3</v>
      </c>
      <c r="G93" s="156">
        <v>9.3000000000000007</v>
      </c>
      <c r="H93" s="157">
        <v>13.3</v>
      </c>
    </row>
    <row r="94" spans="1:8" ht="16.5" thickBot="1">
      <c r="A94" s="594"/>
      <c r="B94" s="595"/>
      <c r="C94" s="155" t="s">
        <v>608</v>
      </c>
      <c r="D94" s="156">
        <v>8.5</v>
      </c>
      <c r="E94" s="156">
        <v>9.8000000000000007</v>
      </c>
      <c r="F94" s="156">
        <v>11.8</v>
      </c>
      <c r="G94" s="156">
        <v>9.5</v>
      </c>
      <c r="H94" s="157">
        <v>10.8</v>
      </c>
    </row>
    <row r="95" spans="1:8" ht="16.5" thickBot="1">
      <c r="A95" s="594"/>
      <c r="B95" s="595"/>
      <c r="C95" s="155" t="s">
        <v>609</v>
      </c>
      <c r="D95" s="156">
        <v>7</v>
      </c>
      <c r="E95" s="156">
        <v>8.1999999999999993</v>
      </c>
      <c r="F95" s="156">
        <v>11.2</v>
      </c>
      <c r="G95" s="156">
        <v>3.7</v>
      </c>
      <c r="H95" s="157">
        <v>10.6</v>
      </c>
    </row>
    <row r="96" spans="1:8" ht="16.5" thickBot="1">
      <c r="A96" s="594"/>
      <c r="B96" s="595"/>
      <c r="C96" s="155" t="s">
        <v>610</v>
      </c>
      <c r="D96" s="156">
        <v>5.8</v>
      </c>
      <c r="E96" s="156">
        <v>7.7</v>
      </c>
      <c r="F96" s="156">
        <v>8.5</v>
      </c>
      <c r="G96" s="156">
        <v>10.8</v>
      </c>
      <c r="H96" s="157">
        <v>8</v>
      </c>
    </row>
    <row r="97" spans="1:8" ht="16.5" thickBot="1">
      <c r="A97" s="596"/>
      <c r="B97" s="597"/>
      <c r="C97" s="158" t="s">
        <v>611</v>
      </c>
      <c r="D97" s="157">
        <v>11.5</v>
      </c>
      <c r="E97" s="157">
        <v>13</v>
      </c>
      <c r="F97" s="157">
        <v>16.5</v>
      </c>
      <c r="G97" s="157">
        <v>14</v>
      </c>
      <c r="H97" s="157">
        <v>15.4</v>
      </c>
    </row>
    <row r="98" spans="1:8" ht="16.5" thickBot="1">
      <c r="A98" s="592" t="s">
        <v>624</v>
      </c>
      <c r="B98" s="593"/>
      <c r="C98" s="155" t="s">
        <v>605</v>
      </c>
      <c r="D98" s="156">
        <v>17</v>
      </c>
      <c r="E98" s="156">
        <v>49</v>
      </c>
      <c r="F98" s="156">
        <v>51</v>
      </c>
      <c r="G98" s="156">
        <v>38</v>
      </c>
      <c r="H98" s="157">
        <v>22</v>
      </c>
    </row>
    <row r="99" spans="1:8" ht="16.5" thickBot="1">
      <c r="A99" s="594"/>
      <c r="B99" s="595"/>
      <c r="C99" s="155" t="s">
        <v>606</v>
      </c>
      <c r="D99" s="156">
        <v>17</v>
      </c>
      <c r="E99" s="156">
        <v>28</v>
      </c>
      <c r="F99" s="156">
        <v>25.5</v>
      </c>
      <c r="G99" s="156">
        <v>16</v>
      </c>
      <c r="H99" s="157">
        <v>21</v>
      </c>
    </row>
    <row r="100" spans="1:8" ht="16.5" thickBot="1">
      <c r="A100" s="594"/>
      <c r="B100" s="595"/>
      <c r="C100" s="155" t="s">
        <v>607</v>
      </c>
      <c r="D100" s="156">
        <v>11.7</v>
      </c>
      <c r="E100" s="156">
        <v>19.7</v>
      </c>
      <c r="F100" s="156">
        <v>17</v>
      </c>
      <c r="G100" s="156" t="s">
        <v>477</v>
      </c>
      <c r="H100" s="157">
        <v>14.3</v>
      </c>
    </row>
    <row r="101" spans="1:8" ht="16.5" thickBot="1">
      <c r="A101" s="594"/>
      <c r="B101" s="595"/>
      <c r="C101" s="155" t="s">
        <v>608</v>
      </c>
      <c r="D101" s="156">
        <v>10.8</v>
      </c>
      <c r="E101" s="156">
        <v>14.8</v>
      </c>
      <c r="F101" s="156">
        <v>12.8</v>
      </c>
      <c r="G101" s="156" t="s">
        <v>477</v>
      </c>
      <c r="H101" s="157">
        <v>11</v>
      </c>
    </row>
    <row r="102" spans="1:8" ht="16.5" thickBot="1">
      <c r="A102" s="594"/>
      <c r="B102" s="595"/>
      <c r="C102" s="155" t="s">
        <v>609</v>
      </c>
      <c r="D102" s="156">
        <v>8.8000000000000007</v>
      </c>
      <c r="E102" s="156">
        <v>11.8</v>
      </c>
      <c r="F102" s="156">
        <v>10.199999999999999</v>
      </c>
      <c r="G102" s="156" t="s">
        <v>477</v>
      </c>
      <c r="H102" s="157">
        <v>9.8000000000000007</v>
      </c>
    </row>
    <row r="103" spans="1:8" ht="16.5" thickBot="1">
      <c r="A103" s="594"/>
      <c r="B103" s="595"/>
      <c r="C103" s="155" t="s">
        <v>610</v>
      </c>
      <c r="D103" s="156">
        <v>7.5</v>
      </c>
      <c r="E103" s="156">
        <v>9.8000000000000007</v>
      </c>
      <c r="F103" s="156">
        <v>8.5</v>
      </c>
      <c r="G103" s="156" t="s">
        <v>477</v>
      </c>
      <c r="H103" s="157">
        <v>8.4</v>
      </c>
    </row>
    <row r="104" spans="1:8" ht="16.5" thickBot="1">
      <c r="A104" s="596"/>
      <c r="B104" s="597"/>
      <c r="C104" s="158" t="s">
        <v>611</v>
      </c>
      <c r="D104" s="157">
        <v>11.3</v>
      </c>
      <c r="E104" s="157">
        <v>18.3</v>
      </c>
      <c r="F104" s="157">
        <v>19.7</v>
      </c>
      <c r="G104" s="157">
        <v>16</v>
      </c>
      <c r="H104" s="157">
        <v>14</v>
      </c>
    </row>
    <row r="105" spans="1:8" ht="16.5" thickBot="1">
      <c r="A105" s="592" t="s">
        <v>625</v>
      </c>
      <c r="B105" s="593"/>
      <c r="C105" s="155" t="s">
        <v>605</v>
      </c>
      <c r="D105" s="156">
        <v>18</v>
      </c>
      <c r="E105" s="156">
        <v>40</v>
      </c>
      <c r="F105" s="156">
        <v>37</v>
      </c>
      <c r="G105" s="156">
        <v>28</v>
      </c>
      <c r="H105" s="157">
        <v>34</v>
      </c>
    </row>
    <row r="106" spans="1:8" ht="16.5" thickBot="1">
      <c r="A106" s="594"/>
      <c r="B106" s="595"/>
      <c r="C106" s="155" t="s">
        <v>606</v>
      </c>
      <c r="D106" s="156">
        <v>11.5</v>
      </c>
      <c r="E106" s="156">
        <v>20.5</v>
      </c>
      <c r="F106" s="156">
        <v>19.5</v>
      </c>
      <c r="G106" s="156">
        <v>16.5</v>
      </c>
      <c r="H106" s="157">
        <v>18.5</v>
      </c>
    </row>
    <row r="107" spans="1:8" ht="16.5" thickBot="1">
      <c r="A107" s="594"/>
      <c r="B107" s="595"/>
      <c r="C107" s="155" t="s">
        <v>607</v>
      </c>
      <c r="D107" s="156">
        <v>10</v>
      </c>
      <c r="E107" s="156">
        <v>13.7</v>
      </c>
      <c r="F107" s="156">
        <v>13.7</v>
      </c>
      <c r="G107" s="156">
        <v>11.3</v>
      </c>
      <c r="H107" s="157">
        <v>13</v>
      </c>
    </row>
    <row r="108" spans="1:8" ht="16.5" thickBot="1">
      <c r="A108" s="594"/>
      <c r="B108" s="595"/>
      <c r="C108" s="155" t="s">
        <v>608</v>
      </c>
      <c r="D108" s="156">
        <v>9.3000000000000007</v>
      </c>
      <c r="E108" s="156">
        <v>11.3</v>
      </c>
      <c r="F108" s="156">
        <v>11.8</v>
      </c>
      <c r="G108" s="156">
        <v>8.5</v>
      </c>
      <c r="H108" s="157">
        <v>10.3</v>
      </c>
    </row>
    <row r="109" spans="1:8" ht="16.5" thickBot="1">
      <c r="A109" s="594"/>
      <c r="B109" s="595"/>
      <c r="C109" s="155" t="s">
        <v>609</v>
      </c>
      <c r="D109" s="156">
        <v>8</v>
      </c>
      <c r="E109" s="156">
        <v>9.1999999999999993</v>
      </c>
      <c r="F109" s="156">
        <v>10</v>
      </c>
      <c r="G109" s="156">
        <v>7.6</v>
      </c>
      <c r="H109" s="157">
        <v>9</v>
      </c>
    </row>
    <row r="110" spans="1:8" ht="16.5" thickBot="1">
      <c r="A110" s="594"/>
      <c r="B110" s="595"/>
      <c r="C110" s="155" t="s">
        <v>610</v>
      </c>
      <c r="D110" s="156">
        <v>7.2</v>
      </c>
      <c r="E110" s="156">
        <v>7.7</v>
      </c>
      <c r="F110" s="156">
        <v>9.4</v>
      </c>
      <c r="G110" s="156">
        <v>3.2</v>
      </c>
      <c r="H110" s="157">
        <v>7.5</v>
      </c>
    </row>
    <row r="111" spans="1:8" ht="16.5" thickBot="1">
      <c r="A111" s="596"/>
      <c r="B111" s="597"/>
      <c r="C111" s="158" t="s">
        <v>611</v>
      </c>
      <c r="D111" s="157">
        <v>11</v>
      </c>
      <c r="E111" s="157">
        <v>15</v>
      </c>
      <c r="F111" s="157">
        <v>16.3</v>
      </c>
      <c r="G111" s="157">
        <v>12</v>
      </c>
      <c r="H111" s="157">
        <v>13.8</v>
      </c>
    </row>
    <row r="112" spans="1:8" ht="16.5" thickBot="1">
      <c r="A112" s="592" t="s">
        <v>626</v>
      </c>
      <c r="B112" s="593"/>
      <c r="C112" s="155" t="s">
        <v>605</v>
      </c>
      <c r="D112" s="156">
        <v>24</v>
      </c>
      <c r="E112" s="156">
        <v>40</v>
      </c>
      <c r="F112" s="156">
        <v>38</v>
      </c>
      <c r="G112" s="156">
        <v>33</v>
      </c>
      <c r="H112" s="157">
        <v>35</v>
      </c>
    </row>
    <row r="113" spans="1:8" ht="16.5" thickBot="1">
      <c r="A113" s="594"/>
      <c r="B113" s="595"/>
      <c r="C113" s="155" t="s">
        <v>606</v>
      </c>
      <c r="D113" s="156">
        <v>15</v>
      </c>
      <c r="E113" s="156">
        <v>20.5</v>
      </c>
      <c r="F113" s="156">
        <v>21</v>
      </c>
      <c r="G113" s="156">
        <v>18.5</v>
      </c>
      <c r="H113" s="157">
        <v>18.5</v>
      </c>
    </row>
    <row r="114" spans="1:8" ht="16.5" thickBot="1">
      <c r="A114" s="594"/>
      <c r="B114" s="595"/>
      <c r="C114" s="155" t="s">
        <v>607</v>
      </c>
      <c r="D114" s="156">
        <v>10.7</v>
      </c>
      <c r="E114" s="156">
        <v>13.7</v>
      </c>
      <c r="F114" s="156">
        <v>14.7</v>
      </c>
      <c r="G114" s="156">
        <v>12.3</v>
      </c>
      <c r="H114" s="157">
        <v>13.7</v>
      </c>
    </row>
    <row r="115" spans="1:8" ht="16.5" thickBot="1">
      <c r="A115" s="594"/>
      <c r="B115" s="595"/>
      <c r="C115" s="155" t="s">
        <v>608</v>
      </c>
      <c r="D115" s="156">
        <v>8.8000000000000007</v>
      </c>
      <c r="E115" s="156">
        <v>10.3</v>
      </c>
      <c r="F115" s="156">
        <v>13.8</v>
      </c>
      <c r="G115" s="156">
        <v>9.3000000000000007</v>
      </c>
      <c r="H115" s="157">
        <v>10.3</v>
      </c>
    </row>
    <row r="116" spans="1:8" ht="16.5" thickBot="1">
      <c r="A116" s="594"/>
      <c r="B116" s="595"/>
      <c r="C116" s="155" t="s">
        <v>609</v>
      </c>
      <c r="D116" s="156">
        <v>7.4</v>
      </c>
      <c r="E116" s="156">
        <v>8.1999999999999993</v>
      </c>
      <c r="F116" s="156">
        <v>13.4</v>
      </c>
      <c r="G116" s="156">
        <v>6.6</v>
      </c>
      <c r="H116" s="157">
        <v>10.4</v>
      </c>
    </row>
    <row r="117" spans="1:8" ht="16.5" thickBot="1">
      <c r="A117" s="594"/>
      <c r="B117" s="595"/>
      <c r="C117" s="155" t="s">
        <v>610</v>
      </c>
      <c r="D117" s="156">
        <v>5.8</v>
      </c>
      <c r="E117" s="156">
        <v>6.8</v>
      </c>
      <c r="F117" s="156">
        <v>13.5</v>
      </c>
      <c r="G117" s="156">
        <v>9.3000000000000007</v>
      </c>
      <c r="H117" s="157">
        <v>9</v>
      </c>
    </row>
    <row r="118" spans="1:8" ht="16.5" thickBot="1">
      <c r="A118" s="596"/>
      <c r="B118" s="597"/>
      <c r="C118" s="158" t="s">
        <v>611</v>
      </c>
      <c r="D118" s="157">
        <v>11.5</v>
      </c>
      <c r="E118" s="157">
        <v>13.7</v>
      </c>
      <c r="F118" s="157">
        <v>17.5</v>
      </c>
      <c r="G118" s="157">
        <v>12.3</v>
      </c>
      <c r="H118" s="157">
        <v>15</v>
      </c>
    </row>
    <row r="119" spans="1:8" ht="16.5" thickBot="1">
      <c r="A119" s="592" t="s">
        <v>627</v>
      </c>
      <c r="B119" s="593"/>
      <c r="C119" s="155" t="s">
        <v>605</v>
      </c>
      <c r="D119" s="156">
        <v>23</v>
      </c>
      <c r="E119" s="156">
        <v>38</v>
      </c>
      <c r="F119" s="156">
        <v>33</v>
      </c>
      <c r="G119" s="156">
        <v>19</v>
      </c>
      <c r="H119" s="157">
        <v>28</v>
      </c>
    </row>
    <row r="120" spans="1:8" ht="16.5" thickBot="1">
      <c r="A120" s="594"/>
      <c r="B120" s="595"/>
      <c r="C120" s="155" t="s">
        <v>606</v>
      </c>
      <c r="D120" s="156">
        <v>12</v>
      </c>
      <c r="E120" s="156">
        <v>20</v>
      </c>
      <c r="F120" s="156">
        <v>21</v>
      </c>
      <c r="G120" s="156">
        <v>9.5</v>
      </c>
      <c r="H120" s="157">
        <v>17.5</v>
      </c>
    </row>
    <row r="121" spans="1:8" ht="16.5" thickBot="1">
      <c r="A121" s="594"/>
      <c r="B121" s="595"/>
      <c r="C121" s="155" t="s">
        <v>607</v>
      </c>
      <c r="D121" s="156">
        <v>10.3</v>
      </c>
      <c r="E121" s="156">
        <v>13.7</v>
      </c>
      <c r="F121" s="156">
        <v>15.7</v>
      </c>
      <c r="G121" s="156">
        <v>15.3</v>
      </c>
      <c r="H121" s="157">
        <v>12.3</v>
      </c>
    </row>
    <row r="122" spans="1:8" ht="16.5" thickBot="1">
      <c r="A122" s="594"/>
      <c r="B122" s="595"/>
      <c r="C122" s="155" t="s">
        <v>608</v>
      </c>
      <c r="D122" s="156">
        <v>8.8000000000000007</v>
      </c>
      <c r="E122" s="156">
        <v>10.5</v>
      </c>
      <c r="F122" s="156">
        <v>14.5</v>
      </c>
      <c r="G122" s="156">
        <v>9.5</v>
      </c>
      <c r="H122" s="157">
        <v>10.3</v>
      </c>
    </row>
    <row r="123" spans="1:8" ht="16.5" thickBot="1">
      <c r="A123" s="594"/>
      <c r="B123" s="595"/>
      <c r="C123" s="155" t="s">
        <v>609</v>
      </c>
      <c r="D123" s="156">
        <v>7.4</v>
      </c>
      <c r="E123" s="156">
        <v>9.6</v>
      </c>
      <c r="F123" s="156">
        <v>13.6</v>
      </c>
      <c r="G123" s="156">
        <v>13</v>
      </c>
      <c r="H123" s="157">
        <v>10.4</v>
      </c>
    </row>
    <row r="124" spans="1:8" ht="16.5" thickBot="1">
      <c r="A124" s="594"/>
      <c r="B124" s="595"/>
      <c r="C124" s="155" t="s">
        <v>610</v>
      </c>
      <c r="D124" s="156">
        <v>6</v>
      </c>
      <c r="E124" s="156">
        <v>7.6</v>
      </c>
      <c r="F124" s="156">
        <v>12.8</v>
      </c>
      <c r="G124" s="156">
        <v>6.3</v>
      </c>
      <c r="H124" s="157">
        <v>9.3000000000000007</v>
      </c>
    </row>
    <row r="125" spans="1:8" ht="16.5" thickBot="1">
      <c r="A125" s="596"/>
      <c r="B125" s="597"/>
      <c r="C125" s="158" t="s">
        <v>611</v>
      </c>
      <c r="D125" s="157">
        <v>11.5</v>
      </c>
      <c r="E125" s="157">
        <v>15</v>
      </c>
      <c r="F125" s="157">
        <v>17.8</v>
      </c>
      <c r="G125" s="157">
        <v>13</v>
      </c>
      <c r="H125" s="157">
        <v>14.5</v>
      </c>
    </row>
    <row r="126" spans="1:8" ht="16.5" thickBot="1">
      <c r="A126" s="592" t="s">
        <v>628</v>
      </c>
      <c r="B126" s="593"/>
      <c r="C126" s="155" t="s">
        <v>605</v>
      </c>
      <c r="D126" s="156">
        <v>16</v>
      </c>
      <c r="E126" s="156">
        <v>45</v>
      </c>
      <c r="F126" s="156">
        <v>46</v>
      </c>
      <c r="G126" s="156">
        <v>32</v>
      </c>
      <c r="H126" s="157">
        <v>41</v>
      </c>
    </row>
    <row r="127" spans="1:8" ht="16.5" thickBot="1">
      <c r="A127" s="594"/>
      <c r="B127" s="595"/>
      <c r="C127" s="155" t="s">
        <v>606</v>
      </c>
      <c r="D127" s="156">
        <v>16</v>
      </c>
      <c r="E127" s="156">
        <v>22.5</v>
      </c>
      <c r="F127" s="156">
        <v>24.5</v>
      </c>
      <c r="G127" s="156">
        <v>14</v>
      </c>
      <c r="H127" s="157">
        <v>22.5</v>
      </c>
    </row>
    <row r="128" spans="1:8" ht="16.5" thickBot="1">
      <c r="A128" s="594"/>
      <c r="B128" s="595"/>
      <c r="C128" s="155" t="s">
        <v>607</v>
      </c>
      <c r="D128" s="156">
        <v>11.7</v>
      </c>
      <c r="E128" s="156">
        <v>15</v>
      </c>
      <c r="F128" s="156">
        <v>17.3</v>
      </c>
      <c r="G128" s="156">
        <v>37</v>
      </c>
      <c r="H128" s="157">
        <v>15</v>
      </c>
    </row>
    <row r="129" spans="1:8" ht="16.5" thickBot="1">
      <c r="A129" s="594"/>
      <c r="B129" s="595"/>
      <c r="C129" s="155" t="s">
        <v>608</v>
      </c>
      <c r="D129" s="156">
        <v>8.8000000000000007</v>
      </c>
      <c r="E129" s="156">
        <v>12.3</v>
      </c>
      <c r="F129" s="156">
        <v>15</v>
      </c>
      <c r="G129" s="156" t="s">
        <v>477</v>
      </c>
      <c r="H129" s="157">
        <v>12.5</v>
      </c>
    </row>
    <row r="130" spans="1:8" ht="16.5" thickBot="1">
      <c r="A130" s="594"/>
      <c r="B130" s="595"/>
      <c r="C130" s="155" t="s">
        <v>609</v>
      </c>
      <c r="D130" s="156">
        <v>8</v>
      </c>
      <c r="E130" s="156">
        <v>10.8</v>
      </c>
      <c r="F130" s="156">
        <v>13</v>
      </c>
      <c r="G130" s="156" t="s">
        <v>477</v>
      </c>
      <c r="H130" s="157">
        <v>11</v>
      </c>
    </row>
    <row r="131" spans="1:8" ht="16.5" thickBot="1">
      <c r="A131" s="594"/>
      <c r="B131" s="595"/>
      <c r="C131" s="155" t="s">
        <v>610</v>
      </c>
      <c r="D131" s="156">
        <v>7.2</v>
      </c>
      <c r="E131" s="156">
        <v>8.1999999999999993</v>
      </c>
      <c r="F131" s="156">
        <v>11.7</v>
      </c>
      <c r="G131" s="156" t="s">
        <v>477</v>
      </c>
      <c r="H131" s="157">
        <v>9.1999999999999993</v>
      </c>
    </row>
    <row r="132" spans="1:8" ht="16.5" thickBot="1">
      <c r="A132" s="596"/>
      <c r="B132" s="597"/>
      <c r="C132" s="158" t="s">
        <v>611</v>
      </c>
      <c r="D132" s="157">
        <v>11</v>
      </c>
      <c r="E132" s="157">
        <v>16</v>
      </c>
      <c r="F132" s="157">
        <v>18.3</v>
      </c>
      <c r="G132" s="157">
        <v>28</v>
      </c>
      <c r="H132" s="157">
        <v>16</v>
      </c>
    </row>
    <row r="133" spans="1:8" ht="16.5" thickBot="1">
      <c r="A133" s="592" t="s">
        <v>629</v>
      </c>
      <c r="B133" s="593"/>
      <c r="C133" s="155" t="s">
        <v>605</v>
      </c>
      <c r="D133" s="156">
        <v>18</v>
      </c>
      <c r="E133" s="156">
        <v>44</v>
      </c>
      <c r="F133" s="156">
        <v>35</v>
      </c>
      <c r="G133" s="156">
        <v>12</v>
      </c>
      <c r="H133" s="157">
        <v>23</v>
      </c>
    </row>
    <row r="134" spans="1:8" ht="16.5" thickBot="1">
      <c r="A134" s="594"/>
      <c r="B134" s="595"/>
      <c r="C134" s="155" t="s">
        <v>606</v>
      </c>
      <c r="D134" s="156">
        <v>16.5</v>
      </c>
      <c r="E134" s="156">
        <v>23.5</v>
      </c>
      <c r="F134" s="156">
        <v>19</v>
      </c>
      <c r="G134" s="156">
        <v>15.5</v>
      </c>
      <c r="H134" s="157">
        <v>17</v>
      </c>
    </row>
    <row r="135" spans="1:8" ht="16.5" thickBot="1">
      <c r="A135" s="594"/>
      <c r="B135" s="595"/>
      <c r="C135" s="155" t="s">
        <v>607</v>
      </c>
      <c r="D135" s="156">
        <v>11.3</v>
      </c>
      <c r="E135" s="156">
        <v>16.3</v>
      </c>
      <c r="F135" s="156">
        <v>13</v>
      </c>
      <c r="G135" s="156">
        <v>10.3</v>
      </c>
      <c r="H135" s="157">
        <v>11.7</v>
      </c>
    </row>
    <row r="136" spans="1:8" ht="16.5" thickBot="1">
      <c r="A136" s="594"/>
      <c r="B136" s="595"/>
      <c r="C136" s="155" t="s">
        <v>608</v>
      </c>
      <c r="D136" s="156">
        <v>9.3000000000000007</v>
      </c>
      <c r="E136" s="156">
        <v>13</v>
      </c>
      <c r="F136" s="156">
        <v>10.5</v>
      </c>
      <c r="G136" s="156">
        <v>8.5</v>
      </c>
      <c r="H136" s="157">
        <v>9.8000000000000007</v>
      </c>
    </row>
    <row r="137" spans="1:8" ht="16.5" thickBot="1">
      <c r="A137" s="594"/>
      <c r="B137" s="595"/>
      <c r="C137" s="155" t="s">
        <v>609</v>
      </c>
      <c r="D137" s="156">
        <v>8.4</v>
      </c>
      <c r="E137" s="156">
        <v>10.6</v>
      </c>
      <c r="F137" s="156">
        <v>9.6</v>
      </c>
      <c r="G137" s="156">
        <v>6.2</v>
      </c>
      <c r="H137" s="157">
        <v>8.6</v>
      </c>
    </row>
    <row r="138" spans="1:8" ht="16.5" thickBot="1">
      <c r="A138" s="594"/>
      <c r="B138" s="595"/>
      <c r="C138" s="155" t="s">
        <v>610</v>
      </c>
      <c r="D138" s="156">
        <v>7.2</v>
      </c>
      <c r="E138" s="156">
        <v>9.1999999999999993</v>
      </c>
      <c r="F138" s="156">
        <v>7.5</v>
      </c>
      <c r="G138" s="156">
        <v>5.7</v>
      </c>
      <c r="H138" s="157">
        <v>7.2</v>
      </c>
    </row>
    <row r="139" spans="1:8" ht="16.5" thickBot="1">
      <c r="A139" s="596"/>
      <c r="B139" s="597"/>
      <c r="C139" s="158" t="s">
        <v>611</v>
      </c>
      <c r="D139" s="157">
        <v>11.3</v>
      </c>
      <c r="E139" s="157">
        <v>17.3</v>
      </c>
      <c r="F139" s="157">
        <v>13.8</v>
      </c>
      <c r="G139" s="157">
        <v>10.5</v>
      </c>
      <c r="H139" s="157">
        <v>11.7</v>
      </c>
    </row>
    <row r="140" spans="1:8" ht="16.5" thickBot="1">
      <c r="A140" s="592" t="s">
        <v>630</v>
      </c>
      <c r="B140" s="593"/>
      <c r="C140" s="155" t="s">
        <v>605</v>
      </c>
      <c r="D140" s="156">
        <v>22</v>
      </c>
      <c r="E140" s="156">
        <v>39</v>
      </c>
      <c r="F140" s="156">
        <v>37</v>
      </c>
      <c r="G140" s="156">
        <v>23</v>
      </c>
      <c r="H140" s="157">
        <v>33</v>
      </c>
    </row>
    <row r="141" spans="1:8" ht="16.5" thickBot="1">
      <c r="A141" s="594"/>
      <c r="B141" s="595"/>
      <c r="C141" s="155" t="s">
        <v>606</v>
      </c>
      <c r="D141" s="156">
        <v>15</v>
      </c>
      <c r="E141" s="156">
        <v>20.5</v>
      </c>
      <c r="F141" s="156">
        <v>22.5</v>
      </c>
      <c r="G141" s="156">
        <v>6</v>
      </c>
      <c r="H141" s="157">
        <v>17.5</v>
      </c>
    </row>
    <row r="142" spans="1:8" ht="16.5" thickBot="1">
      <c r="A142" s="594"/>
      <c r="B142" s="595"/>
      <c r="C142" s="155" t="s">
        <v>607</v>
      </c>
      <c r="D142" s="156">
        <v>11</v>
      </c>
      <c r="E142" s="156">
        <v>13.7</v>
      </c>
      <c r="F142" s="156">
        <v>15.7</v>
      </c>
      <c r="G142" s="156">
        <v>43.3</v>
      </c>
      <c r="H142" s="157">
        <v>12.3</v>
      </c>
    </row>
    <row r="143" spans="1:8" ht="16.5" thickBot="1">
      <c r="A143" s="594"/>
      <c r="B143" s="595"/>
      <c r="C143" s="155" t="s">
        <v>608</v>
      </c>
      <c r="D143" s="156">
        <v>8.5</v>
      </c>
      <c r="E143" s="156">
        <v>10.3</v>
      </c>
      <c r="F143" s="156">
        <v>12.8</v>
      </c>
      <c r="G143" s="156">
        <v>3.8</v>
      </c>
      <c r="H143" s="157">
        <v>10.3</v>
      </c>
    </row>
    <row r="144" spans="1:8" ht="16.5" thickBot="1">
      <c r="A144" s="594"/>
      <c r="B144" s="595"/>
      <c r="C144" s="155" t="s">
        <v>609</v>
      </c>
      <c r="D144" s="156">
        <v>7.4</v>
      </c>
      <c r="E144" s="156">
        <v>9</v>
      </c>
      <c r="F144" s="156">
        <v>12.4</v>
      </c>
      <c r="G144" s="156" t="s">
        <v>477</v>
      </c>
      <c r="H144" s="157">
        <v>9</v>
      </c>
    </row>
    <row r="145" spans="1:8" ht="16.5" thickBot="1">
      <c r="A145" s="594"/>
      <c r="B145" s="595"/>
      <c r="C145" s="155" t="s">
        <v>610</v>
      </c>
      <c r="D145" s="156">
        <v>6.2</v>
      </c>
      <c r="E145" s="156">
        <v>7.5</v>
      </c>
      <c r="F145" s="156">
        <v>10.3</v>
      </c>
      <c r="G145" s="156" t="s">
        <v>477</v>
      </c>
      <c r="H145" s="157">
        <v>7.5</v>
      </c>
    </row>
    <row r="146" spans="1:8" ht="16.5" thickBot="1">
      <c r="A146" s="596"/>
      <c r="B146" s="597"/>
      <c r="C146" s="158" t="s">
        <v>611</v>
      </c>
      <c r="D146" s="157">
        <v>11.5</v>
      </c>
      <c r="E146" s="157">
        <v>15</v>
      </c>
      <c r="F146" s="157">
        <v>17</v>
      </c>
      <c r="G146" s="157">
        <v>15</v>
      </c>
      <c r="H146" s="157">
        <v>14</v>
      </c>
    </row>
    <row r="147" spans="1:8" ht="16.5" thickBot="1">
      <c r="A147" s="592" t="s">
        <v>631</v>
      </c>
      <c r="B147" s="593"/>
      <c r="C147" s="155" t="s">
        <v>605</v>
      </c>
      <c r="D147" s="156">
        <v>16</v>
      </c>
      <c r="E147" s="156">
        <v>49</v>
      </c>
      <c r="F147" s="156">
        <v>52</v>
      </c>
      <c r="G147" s="156" t="s">
        <v>477</v>
      </c>
      <c r="H147" s="157">
        <v>45</v>
      </c>
    </row>
    <row r="148" spans="1:8" ht="16.5" thickBot="1">
      <c r="A148" s="594"/>
      <c r="B148" s="595"/>
      <c r="C148" s="155" t="s">
        <v>606</v>
      </c>
      <c r="D148" s="156">
        <v>11</v>
      </c>
      <c r="E148" s="156">
        <v>24.5</v>
      </c>
      <c r="F148" s="156">
        <v>28</v>
      </c>
      <c r="G148" s="156">
        <v>32.5</v>
      </c>
      <c r="H148" s="157">
        <v>25.5</v>
      </c>
    </row>
    <row r="149" spans="1:8" ht="16.5" thickBot="1">
      <c r="A149" s="594"/>
      <c r="B149" s="595"/>
      <c r="C149" s="155" t="s">
        <v>607</v>
      </c>
      <c r="D149" s="156">
        <v>13</v>
      </c>
      <c r="E149" s="156">
        <v>18.3</v>
      </c>
      <c r="F149" s="156">
        <v>21.7</v>
      </c>
      <c r="G149" s="156" t="s">
        <v>477</v>
      </c>
      <c r="H149" s="157">
        <v>16</v>
      </c>
    </row>
    <row r="150" spans="1:8" ht="16.5" thickBot="1">
      <c r="A150" s="594"/>
      <c r="B150" s="595"/>
      <c r="C150" s="155" t="s">
        <v>608</v>
      </c>
      <c r="D150" s="156">
        <v>11.5</v>
      </c>
      <c r="E150" s="156">
        <v>13.8</v>
      </c>
      <c r="F150" s="156">
        <v>17.5</v>
      </c>
      <c r="G150" s="156">
        <v>40</v>
      </c>
      <c r="H150" s="157">
        <v>11.5</v>
      </c>
    </row>
    <row r="151" spans="1:8" ht="16.5" thickBot="1">
      <c r="A151" s="594"/>
      <c r="B151" s="595"/>
      <c r="C151" s="155" t="s">
        <v>609</v>
      </c>
      <c r="D151" s="156">
        <v>9.1999999999999993</v>
      </c>
      <c r="E151" s="156">
        <v>11</v>
      </c>
      <c r="F151" s="156">
        <v>14.6</v>
      </c>
      <c r="G151" s="156" t="s">
        <v>477</v>
      </c>
      <c r="H151" s="157">
        <v>10.4</v>
      </c>
    </row>
    <row r="152" spans="1:8" ht="16.5" thickBot="1">
      <c r="A152" s="594"/>
      <c r="B152" s="595"/>
      <c r="C152" s="155" t="s">
        <v>610</v>
      </c>
      <c r="D152" s="156">
        <v>8.6999999999999993</v>
      </c>
      <c r="E152" s="156">
        <v>6.7</v>
      </c>
      <c r="F152" s="156">
        <v>12</v>
      </c>
      <c r="G152" s="156" t="s">
        <v>477</v>
      </c>
      <c r="H152" s="157">
        <v>8.6999999999999993</v>
      </c>
    </row>
    <row r="153" spans="1:8" ht="16.5" thickBot="1">
      <c r="A153" s="596"/>
      <c r="B153" s="597"/>
      <c r="C153" s="158" t="s">
        <v>611</v>
      </c>
      <c r="D153" s="157">
        <v>11.5</v>
      </c>
      <c r="E153" s="157">
        <v>19.7</v>
      </c>
      <c r="F153" s="157">
        <v>25.5</v>
      </c>
      <c r="G153" s="157">
        <v>32.5</v>
      </c>
      <c r="H153" s="157">
        <v>16</v>
      </c>
    </row>
    <row r="154" spans="1:8" ht="16.5" thickBot="1">
      <c r="A154" s="592" t="s">
        <v>632</v>
      </c>
      <c r="B154" s="593"/>
      <c r="C154" s="155" t="s">
        <v>605</v>
      </c>
      <c r="D154" s="156">
        <v>14</v>
      </c>
      <c r="E154" s="156">
        <v>41</v>
      </c>
      <c r="F154" s="156">
        <v>55</v>
      </c>
      <c r="G154" s="156">
        <v>37</v>
      </c>
      <c r="H154" s="157">
        <v>49</v>
      </c>
    </row>
    <row r="155" spans="1:8" ht="16.5" thickBot="1">
      <c r="A155" s="594"/>
      <c r="B155" s="595"/>
      <c r="C155" s="155" t="s">
        <v>606</v>
      </c>
      <c r="D155" s="156">
        <v>11</v>
      </c>
      <c r="E155" s="156">
        <v>21</v>
      </c>
      <c r="F155" s="156">
        <v>30</v>
      </c>
      <c r="G155" s="156">
        <v>19</v>
      </c>
      <c r="H155" s="157">
        <v>28</v>
      </c>
    </row>
    <row r="156" spans="1:8" ht="16.5" thickBot="1">
      <c r="A156" s="594"/>
      <c r="B156" s="595"/>
      <c r="C156" s="155" t="s">
        <v>607</v>
      </c>
      <c r="D156" s="156">
        <v>10</v>
      </c>
      <c r="E156" s="156">
        <v>13.7</v>
      </c>
      <c r="F156" s="156">
        <v>21.7</v>
      </c>
      <c r="G156" s="156">
        <v>12.7</v>
      </c>
      <c r="H156" s="157">
        <v>21</v>
      </c>
    </row>
    <row r="157" spans="1:8" ht="16.5" thickBot="1">
      <c r="A157" s="594"/>
      <c r="B157" s="595"/>
      <c r="C157" s="155" t="s">
        <v>608</v>
      </c>
      <c r="D157" s="156">
        <v>8.5</v>
      </c>
      <c r="E157" s="156">
        <v>10.3</v>
      </c>
      <c r="F157" s="156">
        <v>16.3</v>
      </c>
      <c r="G157" s="156">
        <v>11.5</v>
      </c>
      <c r="H157" s="157">
        <v>16.3</v>
      </c>
    </row>
    <row r="158" spans="1:8" ht="16.5" thickBot="1">
      <c r="A158" s="594"/>
      <c r="B158" s="595"/>
      <c r="C158" s="155" t="s">
        <v>609</v>
      </c>
      <c r="D158" s="156">
        <v>7.4</v>
      </c>
      <c r="E158" s="156">
        <v>8.4</v>
      </c>
      <c r="F158" s="156">
        <v>13</v>
      </c>
      <c r="G158" s="156">
        <v>7.6</v>
      </c>
      <c r="H158" s="157">
        <v>13</v>
      </c>
    </row>
    <row r="159" spans="1:8" ht="16.5" thickBot="1">
      <c r="A159" s="594"/>
      <c r="B159" s="595"/>
      <c r="C159" s="155" t="s">
        <v>610</v>
      </c>
      <c r="D159" s="156">
        <v>7.2</v>
      </c>
      <c r="E159" s="156">
        <v>8.3000000000000007</v>
      </c>
      <c r="F159" s="156">
        <v>12</v>
      </c>
      <c r="G159" s="156">
        <v>9.1999999999999993</v>
      </c>
      <c r="H159" s="157">
        <v>10.8</v>
      </c>
    </row>
    <row r="160" spans="1:8" ht="16.5" thickBot="1">
      <c r="A160" s="596"/>
      <c r="B160" s="597"/>
      <c r="C160" s="158" t="s">
        <v>611</v>
      </c>
      <c r="D160" s="157">
        <v>11</v>
      </c>
      <c r="E160" s="157">
        <v>20</v>
      </c>
      <c r="F160" s="157">
        <v>23</v>
      </c>
      <c r="G160" s="157">
        <v>18.5</v>
      </c>
      <c r="H160" s="157">
        <v>21.7</v>
      </c>
    </row>
    <row r="161" spans="1:8" ht="16.5" thickBot="1">
      <c r="A161" s="598" t="s">
        <v>633</v>
      </c>
      <c r="B161" s="599"/>
      <c r="C161" s="158" t="s">
        <v>605</v>
      </c>
      <c r="D161" s="157">
        <v>19</v>
      </c>
      <c r="E161" s="157">
        <v>41</v>
      </c>
      <c r="F161" s="157">
        <v>39</v>
      </c>
      <c r="G161" s="157">
        <v>28</v>
      </c>
      <c r="H161" s="157">
        <v>32</v>
      </c>
    </row>
    <row r="162" spans="1:8" ht="16.5" thickBot="1">
      <c r="A162" s="600"/>
      <c r="B162" s="601"/>
      <c r="C162" s="158" t="s">
        <v>606</v>
      </c>
      <c r="D162" s="157">
        <v>15</v>
      </c>
      <c r="E162" s="157">
        <v>21</v>
      </c>
      <c r="F162" s="157">
        <v>22</v>
      </c>
      <c r="G162" s="157">
        <v>18.5</v>
      </c>
      <c r="H162" s="157">
        <v>18.5</v>
      </c>
    </row>
    <row r="163" spans="1:8" ht="16.5" thickBot="1">
      <c r="A163" s="600"/>
      <c r="B163" s="601"/>
      <c r="C163" s="158" t="s">
        <v>607</v>
      </c>
      <c r="D163" s="157">
        <v>11</v>
      </c>
      <c r="E163" s="157">
        <v>15</v>
      </c>
      <c r="F163" s="157">
        <v>16</v>
      </c>
      <c r="G163" s="157">
        <v>12.7</v>
      </c>
      <c r="H163" s="157">
        <v>13.3</v>
      </c>
    </row>
    <row r="164" spans="1:8" ht="16.5" thickBot="1">
      <c r="A164" s="600"/>
      <c r="B164" s="601"/>
      <c r="C164" s="158" t="s">
        <v>608</v>
      </c>
      <c r="D164" s="157">
        <v>9</v>
      </c>
      <c r="E164" s="157">
        <v>11.3</v>
      </c>
      <c r="F164" s="157">
        <v>13.3</v>
      </c>
      <c r="G164" s="157">
        <v>9.5</v>
      </c>
      <c r="H164" s="157">
        <v>11</v>
      </c>
    </row>
    <row r="165" spans="1:8" ht="16.5" thickBot="1">
      <c r="A165" s="600"/>
      <c r="B165" s="601"/>
      <c r="C165" s="158" t="s">
        <v>609</v>
      </c>
      <c r="D165" s="157">
        <v>7.8</v>
      </c>
      <c r="E165" s="157">
        <v>10</v>
      </c>
      <c r="F165" s="157">
        <v>12.4</v>
      </c>
      <c r="G165" s="157">
        <v>7.6</v>
      </c>
      <c r="H165" s="157">
        <v>10.4</v>
      </c>
    </row>
    <row r="166" spans="1:8" ht="16.5" thickBot="1">
      <c r="A166" s="600"/>
      <c r="B166" s="601"/>
      <c r="C166" s="158" t="s">
        <v>610</v>
      </c>
      <c r="D166" s="157">
        <v>7.2</v>
      </c>
      <c r="E166" s="157">
        <v>8</v>
      </c>
      <c r="F166" s="157">
        <v>11.2</v>
      </c>
      <c r="G166" s="157">
        <v>9.1999999999999993</v>
      </c>
      <c r="H166" s="157">
        <v>9</v>
      </c>
    </row>
    <row r="167" spans="1:8" ht="16.5" thickBot="1">
      <c r="A167" s="602"/>
      <c r="B167" s="603"/>
      <c r="C167" s="158" t="s">
        <v>601</v>
      </c>
      <c r="D167" s="157">
        <v>11.5</v>
      </c>
      <c r="E167" s="157">
        <v>15.3</v>
      </c>
      <c r="F167" s="157">
        <v>18</v>
      </c>
      <c r="G167" s="157">
        <v>18</v>
      </c>
      <c r="H167" s="157">
        <v>15</v>
      </c>
    </row>
    <row r="168" spans="1:8" ht="15.75">
      <c r="A168" s="159"/>
    </row>
    <row r="169" spans="1:8" ht="15.75" customHeight="1">
      <c r="A169" s="591" t="s">
        <v>634</v>
      </c>
      <c r="B169" s="591"/>
      <c r="C169" s="591"/>
      <c r="D169" s="591"/>
    </row>
    <row r="170" spans="1:8" ht="31.5" customHeight="1">
      <c r="A170" s="160" t="s">
        <v>635</v>
      </c>
      <c r="B170" s="604" t="s">
        <v>636</v>
      </c>
      <c r="C170" s="604"/>
      <c r="D170" s="604"/>
      <c r="E170" s="604"/>
      <c r="F170" s="604"/>
      <c r="G170" s="604"/>
    </row>
    <row r="171" spans="1:8" ht="15.75">
      <c r="A171" s="160"/>
    </row>
    <row r="172" spans="1:8" ht="15.75" customHeight="1">
      <c r="A172" s="591" t="s">
        <v>637</v>
      </c>
      <c r="B172" s="591"/>
      <c r="C172" s="591"/>
      <c r="D172" s="591"/>
    </row>
    <row r="173" spans="1:8" ht="15.75">
      <c r="A173" s="160"/>
      <c r="B173" s="160"/>
      <c r="C173" s="160"/>
      <c r="D173" s="160"/>
    </row>
    <row r="174" spans="1:8" ht="15.75">
      <c r="A174" s="591"/>
      <c r="B174" s="591"/>
      <c r="C174" s="591"/>
      <c r="D174" s="591"/>
    </row>
    <row r="175" spans="1:8" ht="15.75">
      <c r="A175" s="160"/>
      <c r="B175" s="160"/>
      <c r="C175" s="160"/>
      <c r="D175" s="160"/>
    </row>
    <row r="176" spans="1:8" ht="15.75" customHeight="1">
      <c r="A176" s="591" t="s">
        <v>504</v>
      </c>
      <c r="B176" s="591"/>
      <c r="C176" s="591"/>
      <c r="D176" s="591"/>
    </row>
    <row r="177" spans="1:4" ht="15.75" customHeight="1">
      <c r="A177" s="591" t="s">
        <v>638</v>
      </c>
      <c r="B177" s="591"/>
      <c r="C177" s="591"/>
      <c r="D177" s="591"/>
    </row>
    <row r="178" spans="1:4" ht="15.75" customHeight="1">
      <c r="A178" s="591" t="s">
        <v>639</v>
      </c>
      <c r="B178" s="591"/>
      <c r="C178" s="591"/>
      <c r="D178" s="591"/>
    </row>
    <row r="179" spans="1:4" ht="15.75" customHeight="1">
      <c r="A179" s="591" t="s">
        <v>640</v>
      </c>
      <c r="B179" s="591"/>
      <c r="C179" s="591"/>
      <c r="D179" s="591"/>
    </row>
    <row r="180" spans="1:4" ht="15.75" customHeight="1">
      <c r="A180" s="591" t="s">
        <v>641</v>
      </c>
      <c r="B180" s="591"/>
      <c r="C180" s="591"/>
      <c r="D180" s="591"/>
    </row>
    <row r="181" spans="1:4" ht="15.75" customHeight="1">
      <c r="A181" s="591" t="s">
        <v>642</v>
      </c>
      <c r="B181" s="591"/>
      <c r="C181" s="591"/>
      <c r="D181" s="591"/>
    </row>
    <row r="182" spans="1:4" ht="15.75">
      <c r="A182" s="160"/>
    </row>
    <row r="183" spans="1:4" ht="15.75" customHeight="1">
      <c r="A183" s="591" t="s">
        <v>643</v>
      </c>
      <c r="B183" s="591"/>
      <c r="C183" s="591"/>
      <c r="D183" s="591"/>
    </row>
    <row r="184" spans="1:4" ht="15.75" customHeight="1">
      <c r="A184" s="591" t="s">
        <v>644</v>
      </c>
      <c r="B184" s="591"/>
      <c r="C184" s="591"/>
      <c r="D184" s="591"/>
    </row>
  </sheetData>
  <mergeCells count="44">
    <mergeCell ref="A21:B27"/>
    <mergeCell ref="A1:F1"/>
    <mergeCell ref="A2:C3"/>
    <mergeCell ref="D2:H2"/>
    <mergeCell ref="D3:H3"/>
    <mergeCell ref="A4:C4"/>
    <mergeCell ref="D4:H4"/>
    <mergeCell ref="A5:C5"/>
    <mergeCell ref="A6:B6"/>
    <mergeCell ref="D6:H6"/>
    <mergeCell ref="A7:B13"/>
    <mergeCell ref="A14:B20"/>
    <mergeCell ref="A105:B111"/>
    <mergeCell ref="A28:B34"/>
    <mergeCell ref="A35:B41"/>
    <mergeCell ref="A42:B48"/>
    <mergeCell ref="A49:B55"/>
    <mergeCell ref="A56:B62"/>
    <mergeCell ref="A63:B69"/>
    <mergeCell ref="A70:B76"/>
    <mergeCell ref="A77:B83"/>
    <mergeCell ref="A84:B90"/>
    <mergeCell ref="A91:B97"/>
    <mergeCell ref="A98:B104"/>
    <mergeCell ref="A174:D174"/>
    <mergeCell ref="A112:B118"/>
    <mergeCell ref="A119:B125"/>
    <mergeCell ref="A126:B132"/>
    <mergeCell ref="A133:B139"/>
    <mergeCell ref="A140:B146"/>
    <mergeCell ref="A147:B153"/>
    <mergeCell ref="A154:B160"/>
    <mergeCell ref="A161:B167"/>
    <mergeCell ref="A169:D169"/>
    <mergeCell ref="B170:G170"/>
    <mergeCell ref="A172:D172"/>
    <mergeCell ref="A183:D183"/>
    <mergeCell ref="A184:D184"/>
    <mergeCell ref="A176:D176"/>
    <mergeCell ref="A177:D177"/>
    <mergeCell ref="A178:D178"/>
    <mergeCell ref="A179:D179"/>
    <mergeCell ref="A180:D180"/>
    <mergeCell ref="A181:D181"/>
  </mergeCells>
  <phoneticPr fontId="3" type="noConversion"/>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P107"/>
  <sheetViews>
    <sheetView zoomScale="85" workbookViewId="0">
      <selection activeCell="A15" sqref="A15"/>
    </sheetView>
  </sheetViews>
  <sheetFormatPr defaultRowHeight="15"/>
  <cols>
    <col min="1" max="1" width="42.5703125" customWidth="1"/>
    <col min="2" max="2" width="12.28515625" customWidth="1"/>
    <col min="3" max="3" width="9.42578125" customWidth="1"/>
    <col min="4" max="4" width="10" customWidth="1"/>
  </cols>
  <sheetData>
    <row r="1" spans="1:49" s="103" customFormat="1" ht="30" customHeight="1">
      <c r="A1" s="623" t="s">
        <v>557</v>
      </c>
      <c r="B1" s="623"/>
      <c r="C1" s="623"/>
      <c r="D1" s="623"/>
      <c r="E1" s="623"/>
      <c r="F1" s="623"/>
      <c r="G1" s="623"/>
      <c r="H1" s="623"/>
      <c r="I1" s="623"/>
      <c r="J1" s="623"/>
      <c r="K1" s="623"/>
      <c r="L1" s="623"/>
      <c r="M1" s="623"/>
      <c r="N1" s="623"/>
      <c r="O1" s="623"/>
      <c r="P1" s="623"/>
      <c r="Q1" s="623"/>
      <c r="R1" s="623"/>
    </row>
    <row r="2" spans="1:49">
      <c r="A2" s="60" t="s">
        <v>580</v>
      </c>
      <c r="B2" s="68" t="s">
        <v>106</v>
      </c>
      <c r="C2" s="69" t="s">
        <v>107</v>
      </c>
      <c r="D2" s="69"/>
    </row>
    <row r="3" spans="1:49" s="103" customFormat="1">
      <c r="A3" s="60" t="s">
        <v>583</v>
      </c>
      <c r="B3" s="103" t="s">
        <v>567</v>
      </c>
    </row>
    <row r="4" spans="1:49">
      <c r="B4" s="103" t="s">
        <v>568</v>
      </c>
    </row>
    <row r="5" spans="1:49" s="103" customFormat="1">
      <c r="B5" s="103" t="s">
        <v>569</v>
      </c>
    </row>
    <row r="7" spans="1:49" s="183" customFormat="1">
      <c r="A7" s="183" t="s">
        <v>581</v>
      </c>
      <c r="B7" s="183" t="s">
        <v>101</v>
      </c>
      <c r="C7" s="183">
        <v>2005</v>
      </c>
      <c r="D7" s="183">
        <v>2006</v>
      </c>
      <c r="E7" s="183">
        <v>2007</v>
      </c>
      <c r="F7" s="183">
        <v>2008</v>
      </c>
      <c r="G7" s="183">
        <v>2009</v>
      </c>
      <c r="H7" s="183">
        <v>2010</v>
      </c>
      <c r="I7" s="183">
        <v>2011</v>
      </c>
      <c r="J7" s="183">
        <v>2012</v>
      </c>
      <c r="K7" s="183">
        <v>2013</v>
      </c>
      <c r="L7" s="183">
        <v>2014</v>
      </c>
      <c r="M7" s="183">
        <v>2015</v>
      </c>
      <c r="N7" s="183">
        <v>2016</v>
      </c>
      <c r="O7" s="183">
        <v>2017</v>
      </c>
      <c r="P7" s="183">
        <v>2018</v>
      </c>
      <c r="Q7" s="183">
        <v>2019</v>
      </c>
      <c r="R7" s="183">
        <v>2020</v>
      </c>
      <c r="S7" s="183">
        <v>2021</v>
      </c>
      <c r="T7" s="183">
        <v>2022</v>
      </c>
      <c r="U7" s="183">
        <v>2023</v>
      </c>
      <c r="V7" s="183">
        <v>2024</v>
      </c>
      <c r="W7" s="183">
        <v>2025</v>
      </c>
      <c r="X7" s="183">
        <v>2026</v>
      </c>
      <c r="Y7" s="183">
        <v>2027</v>
      </c>
      <c r="Z7" s="183">
        <v>2028</v>
      </c>
      <c r="AA7" s="183">
        <v>2029</v>
      </c>
      <c r="AB7" s="183">
        <v>2030</v>
      </c>
      <c r="AC7" s="183">
        <v>2031</v>
      </c>
      <c r="AD7" s="183">
        <v>2032</v>
      </c>
      <c r="AE7" s="183">
        <v>2033</v>
      </c>
      <c r="AF7" s="183">
        <v>2034</v>
      </c>
      <c r="AG7" s="183">
        <v>2035</v>
      </c>
      <c r="AH7" s="183">
        <v>2036</v>
      </c>
      <c r="AI7" s="183">
        <v>2037</v>
      </c>
      <c r="AJ7" s="183">
        <v>2038</v>
      </c>
      <c r="AK7" s="183">
        <v>2039</v>
      </c>
      <c r="AL7" s="183">
        <v>2040</v>
      </c>
      <c r="AM7" s="183">
        <v>2041</v>
      </c>
      <c r="AN7" s="183">
        <v>2042</v>
      </c>
      <c r="AO7" s="183">
        <v>2043</v>
      </c>
      <c r="AP7" s="183">
        <v>2044</v>
      </c>
      <c r="AQ7" s="183">
        <v>2045</v>
      </c>
      <c r="AR7" s="183">
        <v>2046</v>
      </c>
      <c r="AS7" s="183">
        <v>2047</v>
      </c>
      <c r="AT7" s="183">
        <v>2048</v>
      </c>
      <c r="AU7" s="183">
        <v>2049</v>
      </c>
      <c r="AV7" s="183">
        <v>2050</v>
      </c>
      <c r="AW7" s="183">
        <v>2051</v>
      </c>
    </row>
    <row r="8" spans="1:49">
      <c r="A8" s="59" t="s">
        <v>102</v>
      </c>
      <c r="B8" t="s">
        <v>103</v>
      </c>
      <c r="C8" s="70">
        <v>6813.2</v>
      </c>
      <c r="D8" s="70">
        <v>6857.1</v>
      </c>
      <c r="E8" s="70">
        <v>6916.3</v>
      </c>
      <c r="F8" s="70">
        <v>6957.8</v>
      </c>
      <c r="G8" s="70">
        <v>6972.8</v>
      </c>
      <c r="H8" s="70">
        <v>7024.2</v>
      </c>
      <c r="I8" s="70">
        <v>7071.6</v>
      </c>
      <c r="J8" s="70">
        <v>7150.1</v>
      </c>
      <c r="K8" s="70">
        <v>7178.9</v>
      </c>
      <c r="L8" s="70">
        <v>7229.5</v>
      </c>
      <c r="M8" s="70">
        <v>7291.3</v>
      </c>
      <c r="N8" s="70">
        <v>7336.6</v>
      </c>
      <c r="O8" s="70">
        <v>7391.7</v>
      </c>
      <c r="P8" s="70">
        <v>7451</v>
      </c>
      <c r="Q8" s="71">
        <v>7502.6</v>
      </c>
      <c r="R8" s="71">
        <v>7558.1</v>
      </c>
      <c r="S8" s="71">
        <v>7608.4</v>
      </c>
      <c r="T8" s="71">
        <v>7657.7</v>
      </c>
      <c r="U8" s="71">
        <v>7705.4</v>
      </c>
      <c r="V8" s="71">
        <v>7748.4</v>
      </c>
      <c r="W8" s="71">
        <v>7788.7</v>
      </c>
      <c r="X8" s="71">
        <v>7825.2</v>
      </c>
      <c r="Y8" s="71">
        <v>7859.6</v>
      </c>
      <c r="Z8" s="71">
        <v>7895.2</v>
      </c>
      <c r="AA8" s="71">
        <v>7930.5</v>
      </c>
      <c r="AB8" s="71">
        <v>7963.8</v>
      </c>
      <c r="AC8" s="71">
        <v>7996.2</v>
      </c>
      <c r="AD8" s="71">
        <v>8028</v>
      </c>
      <c r="AE8" s="71">
        <v>8060</v>
      </c>
      <c r="AF8" s="71">
        <v>8090.2</v>
      </c>
      <c r="AG8" s="71">
        <v>8117.2</v>
      </c>
      <c r="AH8" s="71">
        <v>8141.7</v>
      </c>
      <c r="AI8" s="71">
        <v>8163.5</v>
      </c>
      <c r="AJ8" s="71">
        <v>8182</v>
      </c>
      <c r="AK8" s="71">
        <v>8196.2000000000007</v>
      </c>
      <c r="AL8" s="71">
        <v>8207</v>
      </c>
      <c r="AM8" s="71">
        <v>8213.7999999999993</v>
      </c>
      <c r="AN8" s="71">
        <v>8217.1</v>
      </c>
      <c r="AO8" s="71">
        <v>8218.5</v>
      </c>
      <c r="AP8" s="71">
        <v>8217.6</v>
      </c>
      <c r="AQ8" s="71">
        <v>8213.7000000000007</v>
      </c>
      <c r="AR8" s="71">
        <v>8207.2000000000007</v>
      </c>
      <c r="AS8" s="71">
        <v>8197.1</v>
      </c>
      <c r="AT8" s="71">
        <v>8185</v>
      </c>
      <c r="AU8" s="71">
        <v>8170</v>
      </c>
      <c r="AV8" s="71">
        <v>8152.3</v>
      </c>
    </row>
    <row r="9" spans="1:49">
      <c r="A9" s="59" t="s">
        <v>104</v>
      </c>
      <c r="B9" t="s">
        <v>703</v>
      </c>
      <c r="C9" s="70">
        <v>196.28290661555027</v>
      </c>
      <c r="D9" s="70">
        <v>210.08695475935278</v>
      </c>
      <c r="E9" s="70">
        <v>223.66872639495065</v>
      </c>
      <c r="F9" s="70">
        <v>228.42826443840249</v>
      </c>
      <c r="G9" s="70">
        <v>222.81110013156828</v>
      </c>
      <c r="H9" s="70">
        <v>237.89024818360531</v>
      </c>
      <c r="I9" s="70">
        <v>249.34391970689373</v>
      </c>
      <c r="J9" s="70">
        <v>253.58353381643323</v>
      </c>
      <c r="K9" s="70">
        <v>261.4483987932918</v>
      </c>
      <c r="L9" s="70">
        <v>268.67069284922229</v>
      </c>
      <c r="M9" s="70">
        <v>275.08613446344197</v>
      </c>
      <c r="N9" s="70">
        <v>281.03603654829504</v>
      </c>
      <c r="O9" s="70">
        <v>291.69109227205433</v>
      </c>
      <c r="P9" s="70">
        <v>301.90028050157622</v>
      </c>
      <c r="Q9" s="61">
        <v>310.65538863612193</v>
      </c>
      <c r="R9" s="71">
        <v>319.97505029520562</v>
      </c>
      <c r="S9" s="61">
        <v>329.89427685435697</v>
      </c>
      <c r="T9" s="61">
        <v>340.120999436842</v>
      </c>
      <c r="U9" s="61">
        <v>350.66475041938406</v>
      </c>
      <c r="V9" s="61">
        <v>359.7489652122822</v>
      </c>
      <c r="W9" s="71">
        <v>369.9529423926142</v>
      </c>
      <c r="X9" s="61">
        <v>380.0592250894515</v>
      </c>
      <c r="Y9" s="61">
        <v>390.01400505105994</v>
      </c>
      <c r="Z9" s="61">
        <v>399.87872419310224</v>
      </c>
      <c r="AA9" s="61">
        <v>409.75022916782473</v>
      </c>
      <c r="AB9" s="71">
        <v>419.87452636513262</v>
      </c>
      <c r="AC9" s="61">
        <v>429.77617383383767</v>
      </c>
      <c r="AD9" s="61">
        <v>439.69592854728762</v>
      </c>
      <c r="AE9" s="61">
        <v>449.65422421977564</v>
      </c>
      <c r="AF9" s="61">
        <v>459.63325896187598</v>
      </c>
      <c r="AG9" s="71">
        <v>469.59812324072118</v>
      </c>
      <c r="AH9" s="61">
        <v>479.52012607155848</v>
      </c>
      <c r="AI9" s="61">
        <v>489.48684381360727</v>
      </c>
      <c r="AJ9" s="61">
        <v>499.44979875905119</v>
      </c>
      <c r="AK9" s="61">
        <v>509.40312551934039</v>
      </c>
      <c r="AL9" s="71">
        <v>519.35232043612632</v>
      </c>
      <c r="AM9" s="61">
        <v>529.30668356665046</v>
      </c>
      <c r="AN9" s="61">
        <v>539.26807077138801</v>
      </c>
      <c r="AO9" s="61">
        <v>549.22040555720741</v>
      </c>
      <c r="AP9" s="61">
        <v>559.17362405603853</v>
      </c>
      <c r="AQ9" s="71">
        <v>569.12918517627259</v>
      </c>
      <c r="AR9" s="61">
        <v>579.08546292275059</v>
      </c>
      <c r="AS9" s="61">
        <v>589.04028452444982</v>
      </c>
      <c r="AT9" s="61">
        <v>598.99401903290345</v>
      </c>
      <c r="AU9" s="61">
        <v>608.94959619795554</v>
      </c>
      <c r="AV9" s="71">
        <v>618.90494703984587</v>
      </c>
    </row>
    <row r="10" spans="1:49">
      <c r="A10" s="59" t="s">
        <v>105</v>
      </c>
      <c r="B10" t="s">
        <v>706</v>
      </c>
      <c r="C10" s="61">
        <f>C9/C8*1000</f>
        <v>28.809209566070319</v>
      </c>
      <c r="D10" s="61">
        <f>D9/D8*1000</f>
        <v>30.637872389108043</v>
      </c>
      <c r="E10" s="61">
        <f t="shared" ref="E10:W10" si="0">E9/E8*1000</f>
        <v>32.339361565425243</v>
      </c>
      <c r="F10" s="61">
        <f t="shared" si="0"/>
        <v>32.830530403058795</v>
      </c>
      <c r="G10" s="61">
        <f t="shared" si="0"/>
        <v>31.954322529194627</v>
      </c>
      <c r="H10" s="61">
        <f t="shared" si="0"/>
        <v>33.86723729159268</v>
      </c>
      <c r="I10" s="61">
        <f t="shared" si="0"/>
        <v>35.259901536695189</v>
      </c>
      <c r="J10" s="61">
        <f t="shared" si="0"/>
        <v>35.465732481564345</v>
      </c>
      <c r="K10" s="61">
        <f t="shared" si="0"/>
        <v>36.419005529160707</v>
      </c>
      <c r="L10" s="61">
        <f t="shared" si="0"/>
        <v>37.163108492872574</v>
      </c>
      <c r="M10" s="61">
        <f t="shared" si="0"/>
        <v>37.727995619908931</v>
      </c>
      <c r="N10" s="61">
        <f t="shared" si="0"/>
        <v>38.306032296744412</v>
      </c>
      <c r="O10" s="61">
        <f t="shared" si="0"/>
        <v>39.461976578061119</v>
      </c>
      <c r="P10" s="61">
        <f t="shared" si="0"/>
        <v>40.518088914451248</v>
      </c>
      <c r="Q10" s="61">
        <f t="shared" si="0"/>
        <v>41.406364278533033</v>
      </c>
      <c r="R10" s="61">
        <f t="shared" si="0"/>
        <v>42.335381947209697</v>
      </c>
      <c r="S10" s="61">
        <f t="shared" si="0"/>
        <v>43.359218344771172</v>
      </c>
      <c r="T10" s="61">
        <f t="shared" si="0"/>
        <v>44.415555511033602</v>
      </c>
      <c r="U10" s="61">
        <f t="shared" si="0"/>
        <v>45.50896130238327</v>
      </c>
      <c r="V10" s="61">
        <f t="shared" si="0"/>
        <v>46.428806619725648</v>
      </c>
      <c r="W10" s="61">
        <f t="shared" si="0"/>
        <v>47.498676594632506</v>
      </c>
      <c r="X10" s="61">
        <f t="shared" ref="X10:AV10" si="1">X9/X8*1000</f>
        <v>48.568627650341398</v>
      </c>
      <c r="Y10" s="61">
        <f t="shared" si="1"/>
        <v>49.622627748366313</v>
      </c>
      <c r="Z10" s="61">
        <f t="shared" si="1"/>
        <v>50.648333695549482</v>
      </c>
      <c r="AA10" s="61">
        <f t="shared" si="1"/>
        <v>51.667641279594569</v>
      </c>
      <c r="AB10" s="61">
        <f t="shared" si="1"/>
        <v>52.722886858677093</v>
      </c>
      <c r="AC10" s="61">
        <f t="shared" si="1"/>
        <v>53.747551816342472</v>
      </c>
      <c r="AD10" s="61">
        <f t="shared" si="1"/>
        <v>54.770295035785708</v>
      </c>
      <c r="AE10" s="61">
        <f t="shared" si="1"/>
        <v>55.788365287813356</v>
      </c>
      <c r="AF10" s="61">
        <f t="shared" si="1"/>
        <v>56.813584208286073</v>
      </c>
      <c r="AG10" s="61">
        <f t="shared" si="1"/>
        <v>57.852230232188589</v>
      </c>
      <c r="AH10" s="61">
        <f t="shared" si="1"/>
        <v>58.896806081231006</v>
      </c>
      <c r="AI10" s="61">
        <f t="shared" si="1"/>
        <v>59.960414505249865</v>
      </c>
      <c r="AJ10" s="61">
        <f t="shared" si="1"/>
        <v>61.04250779259975</v>
      </c>
      <c r="AK10" s="61">
        <f t="shared" si="1"/>
        <v>62.151134125489904</v>
      </c>
      <c r="AL10" s="61">
        <f t="shared" si="1"/>
        <v>63.281627931780953</v>
      </c>
      <c r="AM10" s="61">
        <f t="shared" si="1"/>
        <v>64.44114582369312</v>
      </c>
      <c r="AN10" s="61">
        <f t="shared" si="1"/>
        <v>65.627541440579762</v>
      </c>
      <c r="AO10" s="61">
        <f t="shared" si="1"/>
        <v>66.827329264124529</v>
      </c>
      <c r="AP10" s="61">
        <f t="shared" si="1"/>
        <v>68.045855731118394</v>
      </c>
      <c r="AQ10" s="61">
        <f t="shared" si="1"/>
        <v>69.290232803276538</v>
      </c>
      <c r="AR10" s="61">
        <f t="shared" si="1"/>
        <v>70.55822484193763</v>
      </c>
      <c r="AS10" s="61">
        <f t="shared" si="1"/>
        <v>71.859594798703171</v>
      </c>
      <c r="AT10" s="61">
        <f t="shared" si="1"/>
        <v>73.181920468283863</v>
      </c>
      <c r="AU10" s="61">
        <f t="shared" si="1"/>
        <v>74.534834295955392</v>
      </c>
      <c r="AV10" s="61">
        <f t="shared" si="1"/>
        <v>75.917832641076245</v>
      </c>
    </row>
    <row r="11" spans="1:49">
      <c r="A11" s="59" t="s">
        <v>822</v>
      </c>
      <c r="B11" s="103" t="s">
        <v>108</v>
      </c>
      <c r="C11" s="102">
        <f>Household_Histo!C27/1000</f>
        <v>2.1970999999999998</v>
      </c>
      <c r="D11" s="102">
        <f>Household_Histo!C28/1000</f>
        <v>2.2208999999999999</v>
      </c>
      <c r="E11" s="102">
        <f>Household_Histo!C29/1000</f>
        <v>2.2499000000000002</v>
      </c>
      <c r="F11" s="102">
        <f>Household_Histo!C30/1000</f>
        <v>2.2791000000000001</v>
      </c>
      <c r="G11" s="102">
        <f>Household_Histo!C31/1000</f>
        <v>2.2971999999999997</v>
      </c>
      <c r="H11" s="102">
        <f>Household_Histo!C32/1000</f>
        <v>2.3250999999999999</v>
      </c>
      <c r="I11" s="102">
        <f>Household_Histo!C33/1000</f>
        <v>2.3593000000000002</v>
      </c>
      <c r="J11" s="102">
        <f>Household_Histo!C34/1000</f>
        <v>2.3861999999999997</v>
      </c>
      <c r="K11" s="102">
        <f>Household_Histo!C35/1000</f>
        <v>2.4073000000000002</v>
      </c>
      <c r="L11" s="102">
        <f>Household_Histo!C36/1000</f>
        <v>2.4323999999999999</v>
      </c>
      <c r="M11" s="102">
        <f>Household_Histo!C37/1000</f>
        <v>2.4710999999999999</v>
      </c>
      <c r="N11" s="102">
        <f>Household_Histo!C38/1000</f>
        <v>2.4988999999999999</v>
      </c>
      <c r="O11" s="102">
        <f>Household_Histo!C39/1000</f>
        <v>2.5347</v>
      </c>
      <c r="P11" s="116">
        <f t="shared" ref="P11:AO11" si="2">TREND($V$33:$V$34,$U$33:$U$34,P7)</f>
        <v>2.5493407407407389</v>
      </c>
      <c r="Q11" s="116">
        <f t="shared" si="2"/>
        <v>2.5639814814814805</v>
      </c>
      <c r="R11" s="116">
        <f t="shared" si="2"/>
        <v>2.5786222222222221</v>
      </c>
      <c r="S11" s="116">
        <f t="shared" si="2"/>
        <v>2.5932629629629638</v>
      </c>
      <c r="T11" s="116">
        <f t="shared" si="2"/>
        <v>2.6079037037037018</v>
      </c>
      <c r="U11" s="116">
        <f t="shared" si="2"/>
        <v>2.6225444444444435</v>
      </c>
      <c r="V11" s="116">
        <f t="shared" si="2"/>
        <v>2.6371851851851851</v>
      </c>
      <c r="W11" s="116">
        <f t="shared" si="2"/>
        <v>2.6518259259259267</v>
      </c>
      <c r="X11" s="116">
        <f t="shared" si="2"/>
        <v>2.6664666666666648</v>
      </c>
      <c r="Y11" s="116">
        <f t="shared" si="2"/>
        <v>2.6811074074074064</v>
      </c>
      <c r="Z11" s="116">
        <f t="shared" si="2"/>
        <v>2.695748148148148</v>
      </c>
      <c r="AA11" s="116">
        <f t="shared" si="2"/>
        <v>2.7103888888888896</v>
      </c>
      <c r="AB11" s="116">
        <f t="shared" si="2"/>
        <v>2.7250296296296277</v>
      </c>
      <c r="AC11" s="116">
        <f t="shared" si="2"/>
        <v>2.7396703703703693</v>
      </c>
      <c r="AD11" s="116">
        <f t="shared" si="2"/>
        <v>2.7543111111111109</v>
      </c>
      <c r="AE11" s="116">
        <f t="shared" si="2"/>
        <v>2.7689518518518526</v>
      </c>
      <c r="AF11" s="116">
        <f t="shared" si="2"/>
        <v>2.7835925925925906</v>
      </c>
      <c r="AG11" s="116">
        <f t="shared" si="2"/>
        <v>2.7982333333333322</v>
      </c>
      <c r="AH11" s="116">
        <f t="shared" si="2"/>
        <v>2.8128740740740739</v>
      </c>
      <c r="AI11" s="116">
        <f t="shared" si="2"/>
        <v>2.8275148148148155</v>
      </c>
      <c r="AJ11" s="116">
        <f t="shared" si="2"/>
        <v>2.8421555555555535</v>
      </c>
      <c r="AK11" s="116">
        <f t="shared" si="2"/>
        <v>2.8567962962962952</v>
      </c>
      <c r="AL11" s="116">
        <f t="shared" si="2"/>
        <v>2.8714370370370368</v>
      </c>
      <c r="AM11" s="116">
        <f t="shared" si="2"/>
        <v>2.8860777777777784</v>
      </c>
      <c r="AN11" s="116">
        <f t="shared" si="2"/>
        <v>2.9007185185185165</v>
      </c>
      <c r="AO11" s="116">
        <f t="shared" si="2"/>
        <v>2.9153592592592581</v>
      </c>
      <c r="AP11" s="101">
        <v>2.93</v>
      </c>
      <c r="AQ11" s="116">
        <f>TREND($V$34:$V$35,$U$34:$U$35,AQ7)</f>
        <v>2.9260000000000002</v>
      </c>
      <c r="AR11" s="116">
        <f>TREND($V$34:$V$35,$U$34:$U$35,AR7)</f>
        <v>2.9219999999999988</v>
      </c>
      <c r="AS11" s="116">
        <f>TREND($V$34:$V$35,$U$34:$U$35,AS7)</f>
        <v>2.9179999999999993</v>
      </c>
      <c r="AT11" s="116">
        <f>TREND($V$34:$V$35,$U$34:$U$35,AT7)</f>
        <v>2.9139999999999997</v>
      </c>
      <c r="AU11" s="101">
        <v>2.91</v>
      </c>
      <c r="AV11" s="116">
        <f>TREND($V$34:$V$35,$U$34:$U$35,AV7)</f>
        <v>2.9060000000000006</v>
      </c>
    </row>
    <row r="12" spans="1:49" s="103" customFormat="1">
      <c r="A12" s="59" t="s">
        <v>823</v>
      </c>
      <c r="B12" s="103" t="s">
        <v>108</v>
      </c>
      <c r="C12" s="102">
        <f t="shared" ref="C12:O12" si="3">C11</f>
        <v>2.1970999999999998</v>
      </c>
      <c r="D12" s="102">
        <f t="shared" si="3"/>
        <v>2.2208999999999999</v>
      </c>
      <c r="E12" s="102">
        <f t="shared" si="3"/>
        <v>2.2499000000000002</v>
      </c>
      <c r="F12" s="102">
        <f t="shared" si="3"/>
        <v>2.2791000000000001</v>
      </c>
      <c r="G12" s="102">
        <f t="shared" si="3"/>
        <v>2.2971999999999997</v>
      </c>
      <c r="H12" s="102">
        <f t="shared" si="3"/>
        <v>2.3250999999999999</v>
      </c>
      <c r="I12" s="102">
        <f t="shared" si="3"/>
        <v>2.3593000000000002</v>
      </c>
      <c r="J12" s="102">
        <f t="shared" si="3"/>
        <v>2.3861999999999997</v>
      </c>
      <c r="K12" s="102">
        <f t="shared" si="3"/>
        <v>2.4073000000000002</v>
      </c>
      <c r="L12" s="102">
        <f t="shared" si="3"/>
        <v>2.4323999999999999</v>
      </c>
      <c r="M12" s="102">
        <f t="shared" si="3"/>
        <v>2.4710999999999999</v>
      </c>
      <c r="N12" s="102">
        <f t="shared" si="3"/>
        <v>2.4988999999999999</v>
      </c>
      <c r="O12" s="102">
        <f t="shared" si="3"/>
        <v>2.5347</v>
      </c>
      <c r="P12" s="116">
        <f t="shared" ref="P12:AV12" si="4">-0.00040693*P7*P7+1.6681351*P7-1706.5786</f>
        <v>2.5672264799998175</v>
      </c>
      <c r="Q12" s="116">
        <f t="shared" si="4"/>
        <v>2.5925851700001203</v>
      </c>
      <c r="R12" s="116">
        <f t="shared" si="4"/>
        <v>2.6171299999996336</v>
      </c>
      <c r="S12" s="116">
        <f t="shared" si="4"/>
        <v>2.6408609699999488</v>
      </c>
      <c r="T12" s="116">
        <f t="shared" si="4"/>
        <v>2.6637780799997017</v>
      </c>
      <c r="U12" s="116">
        <f t="shared" si="4"/>
        <v>2.6858813300000293</v>
      </c>
      <c r="V12" s="116">
        <f t="shared" si="4"/>
        <v>2.7071707200000219</v>
      </c>
      <c r="W12" s="116">
        <f t="shared" si="4"/>
        <v>2.7276462499996796</v>
      </c>
      <c r="X12" s="116">
        <f t="shared" si="4"/>
        <v>2.7473079200001393</v>
      </c>
      <c r="Y12" s="116">
        <f t="shared" si="4"/>
        <v>2.7661557299998094</v>
      </c>
      <c r="Z12" s="116">
        <f t="shared" si="4"/>
        <v>2.7841896800000541</v>
      </c>
      <c r="AA12" s="116">
        <f t="shared" si="4"/>
        <v>2.8014097699997365</v>
      </c>
      <c r="AB12" s="116">
        <f t="shared" si="4"/>
        <v>2.8178159999999934</v>
      </c>
      <c r="AC12" s="116">
        <f t="shared" si="4"/>
        <v>2.8334083699996881</v>
      </c>
      <c r="AD12" s="116">
        <f t="shared" si="4"/>
        <v>2.8481868799999575</v>
      </c>
      <c r="AE12" s="116">
        <f t="shared" si="4"/>
        <v>2.8621515299998919</v>
      </c>
      <c r="AF12" s="116">
        <f t="shared" si="4"/>
        <v>2.8753023199999461</v>
      </c>
      <c r="AG12" s="116">
        <f t="shared" si="4"/>
        <v>2.8876392500001202</v>
      </c>
      <c r="AH12" s="116">
        <f t="shared" si="4"/>
        <v>2.8991623199997321</v>
      </c>
      <c r="AI12" s="116">
        <f t="shared" si="4"/>
        <v>2.9098715299999185</v>
      </c>
      <c r="AJ12" s="116">
        <f t="shared" si="4"/>
        <v>2.91976687999977</v>
      </c>
      <c r="AK12" s="116">
        <f t="shared" si="4"/>
        <v>2.9288483699999688</v>
      </c>
      <c r="AL12" s="116">
        <f t="shared" si="4"/>
        <v>2.93711600000006</v>
      </c>
      <c r="AM12" s="116">
        <f t="shared" si="4"/>
        <v>2.9445697699998163</v>
      </c>
      <c r="AN12" s="116">
        <f t="shared" si="4"/>
        <v>2.9512096800001473</v>
      </c>
      <c r="AO12" s="116">
        <f t="shared" si="4"/>
        <v>2.9570357299999159</v>
      </c>
      <c r="AP12" s="116">
        <f t="shared" si="4"/>
        <v>2.9620479200000318</v>
      </c>
      <c r="AQ12" s="116">
        <f t="shared" si="4"/>
        <v>2.9662462499995854</v>
      </c>
      <c r="AR12" s="116">
        <f t="shared" si="4"/>
        <v>2.969630719999941</v>
      </c>
      <c r="AS12" s="116">
        <f t="shared" si="4"/>
        <v>2.9722013299997343</v>
      </c>
      <c r="AT12" s="116">
        <f t="shared" si="4"/>
        <v>2.9739580799998748</v>
      </c>
      <c r="AU12" s="116">
        <f t="shared" si="4"/>
        <v>2.9749009699999078</v>
      </c>
      <c r="AV12" s="116">
        <f t="shared" si="4"/>
        <v>2.9750299999996059</v>
      </c>
      <c r="AW12" s="101">
        <f>Household_Pred!B21/10^6</f>
        <v>2.9495</v>
      </c>
    </row>
    <row r="13" spans="1:49">
      <c r="A13" s="59" t="s">
        <v>691</v>
      </c>
      <c r="B13" s="103" t="s">
        <v>692</v>
      </c>
      <c r="F13" t="s">
        <v>694</v>
      </c>
    </row>
    <row r="14" spans="1:49">
      <c r="A14" s="59" t="s">
        <v>720</v>
      </c>
      <c r="B14" t="s">
        <v>512</v>
      </c>
      <c r="C14" s="116">
        <f t="shared" ref="C14:AV14" si="5">TREND($AA$48:$AA$50,$T$48:$T$50,C7)</f>
        <v>3.1823114754098398</v>
      </c>
      <c r="D14" s="116">
        <f t="shared" si="5"/>
        <v>3.1695081967213135</v>
      </c>
      <c r="E14" s="116">
        <f t="shared" si="5"/>
        <v>3.1567049180327906</v>
      </c>
      <c r="F14" s="116">
        <f t="shared" si="5"/>
        <v>3.1439016393442643</v>
      </c>
      <c r="G14" s="116">
        <f t="shared" si="5"/>
        <v>3.1310983606557414</v>
      </c>
      <c r="H14" s="102">
        <f t="shared" si="5"/>
        <v>3.1182950819672151</v>
      </c>
      <c r="I14" s="116">
        <f t="shared" si="5"/>
        <v>3.1054918032786922</v>
      </c>
      <c r="J14" s="116">
        <f t="shared" si="5"/>
        <v>3.0926885245901659</v>
      </c>
      <c r="K14" s="116">
        <f t="shared" si="5"/>
        <v>3.079885245901643</v>
      </c>
      <c r="L14" s="116">
        <f t="shared" si="5"/>
        <v>3.0670819672131167</v>
      </c>
      <c r="M14" s="116">
        <f t="shared" si="5"/>
        <v>3.0542786885245938</v>
      </c>
      <c r="N14" s="116">
        <f t="shared" si="5"/>
        <v>3.0414754098360675</v>
      </c>
      <c r="O14" s="116">
        <f t="shared" si="5"/>
        <v>3.0286721311475446</v>
      </c>
      <c r="P14" s="116">
        <f t="shared" si="5"/>
        <v>3.0158688524590183</v>
      </c>
      <c r="Q14" s="116">
        <f t="shared" si="5"/>
        <v>3.0030655737704954</v>
      </c>
      <c r="R14" s="116">
        <f t="shared" si="5"/>
        <v>2.9902622950819691</v>
      </c>
      <c r="S14" s="116">
        <f t="shared" si="5"/>
        <v>2.9774590163934462</v>
      </c>
      <c r="T14" s="116">
        <f t="shared" si="5"/>
        <v>2.9646557377049199</v>
      </c>
      <c r="U14" s="116">
        <f t="shared" si="5"/>
        <v>2.951852459016397</v>
      </c>
      <c r="V14" s="116">
        <f t="shared" si="5"/>
        <v>2.9390491803278707</v>
      </c>
      <c r="W14" s="116">
        <f t="shared" si="5"/>
        <v>2.9262459016393478</v>
      </c>
      <c r="X14" s="116">
        <f t="shared" si="5"/>
        <v>2.9134426229508215</v>
      </c>
      <c r="Y14" s="116">
        <f t="shared" si="5"/>
        <v>2.9006393442622986</v>
      </c>
      <c r="Z14" s="116">
        <f t="shared" si="5"/>
        <v>2.8878360655737723</v>
      </c>
      <c r="AA14" s="116">
        <f t="shared" si="5"/>
        <v>2.8750327868852494</v>
      </c>
      <c r="AB14" s="116">
        <f t="shared" si="5"/>
        <v>2.8622295081967231</v>
      </c>
      <c r="AC14" s="116">
        <f t="shared" si="5"/>
        <v>2.8494262295082002</v>
      </c>
      <c r="AD14" s="116">
        <f t="shared" si="5"/>
        <v>2.8366229508196739</v>
      </c>
      <c r="AE14" s="116">
        <f t="shared" si="5"/>
        <v>2.823819672131151</v>
      </c>
      <c r="AF14" s="116">
        <f t="shared" si="5"/>
        <v>2.8110163934426247</v>
      </c>
      <c r="AG14" s="116">
        <f t="shared" si="5"/>
        <v>2.7982131147541018</v>
      </c>
      <c r="AH14" s="116">
        <f t="shared" si="5"/>
        <v>2.7854098360655755</v>
      </c>
      <c r="AI14" s="116">
        <f t="shared" si="5"/>
        <v>2.7726065573770526</v>
      </c>
      <c r="AJ14" s="116">
        <f t="shared" si="5"/>
        <v>2.7598032786885263</v>
      </c>
      <c r="AK14" s="116">
        <f t="shared" si="5"/>
        <v>2.7470000000000034</v>
      </c>
      <c r="AL14" s="116">
        <f t="shared" si="5"/>
        <v>2.7341967213114771</v>
      </c>
      <c r="AM14" s="116">
        <f t="shared" si="5"/>
        <v>2.7213934426229542</v>
      </c>
      <c r="AN14" s="116">
        <f t="shared" si="5"/>
        <v>2.7085901639344279</v>
      </c>
      <c r="AO14" s="116">
        <f t="shared" si="5"/>
        <v>2.695786885245905</v>
      </c>
      <c r="AP14" s="116">
        <f t="shared" si="5"/>
        <v>2.6829836065573787</v>
      </c>
      <c r="AQ14" s="116">
        <f t="shared" si="5"/>
        <v>2.6701803278688558</v>
      </c>
      <c r="AR14" s="116">
        <f t="shared" si="5"/>
        <v>2.6573770491803295</v>
      </c>
      <c r="AS14" s="116">
        <f t="shared" si="5"/>
        <v>2.6445737704918066</v>
      </c>
      <c r="AT14" s="116">
        <f t="shared" si="5"/>
        <v>2.6317704918032803</v>
      </c>
      <c r="AU14" s="116">
        <f t="shared" si="5"/>
        <v>2.6189672131147539</v>
      </c>
      <c r="AV14" s="116">
        <f t="shared" si="5"/>
        <v>2.6061639344262311</v>
      </c>
    </row>
    <row r="15" spans="1:49" s="103" customFormat="1">
      <c r="A15" s="59" t="s">
        <v>719</v>
      </c>
      <c r="B15" s="103" t="s">
        <v>716</v>
      </c>
      <c r="C15" s="116">
        <f>C8/C11/1000</f>
        <v>3.1009967684675259</v>
      </c>
      <c r="D15" s="116">
        <f t="shared" ref="D15:AV15" si="6">D8/D11/1000</f>
        <v>3.0875320815885456</v>
      </c>
      <c r="E15" s="116">
        <f t="shared" si="6"/>
        <v>3.0740477354549087</v>
      </c>
      <c r="F15" s="116">
        <f t="shared" si="6"/>
        <v>3.0528717476196743</v>
      </c>
      <c r="G15" s="116">
        <f t="shared" si="6"/>
        <v>3.0353473794184227</v>
      </c>
      <c r="H15" s="116">
        <f t="shared" si="6"/>
        <v>3.0210313534901725</v>
      </c>
      <c r="I15" s="116">
        <f t="shared" si="6"/>
        <v>2.9973297164413175</v>
      </c>
      <c r="J15" s="116">
        <f t="shared" si="6"/>
        <v>2.9964378509764482</v>
      </c>
      <c r="K15" s="116">
        <f t="shared" si="6"/>
        <v>2.9821376646034974</v>
      </c>
      <c r="L15" s="116">
        <f t="shared" si="6"/>
        <v>2.9721674066765336</v>
      </c>
      <c r="M15" s="116">
        <f t="shared" si="6"/>
        <v>2.9506292744122051</v>
      </c>
      <c r="N15" s="116">
        <f t="shared" si="6"/>
        <v>2.9359318099963989</v>
      </c>
      <c r="O15" s="116">
        <f t="shared" si="6"/>
        <v>2.9162031009586937</v>
      </c>
      <c r="P15" s="116">
        <f t="shared" si="6"/>
        <v>2.9227164030787933</v>
      </c>
      <c r="Q15" s="116">
        <f t="shared" si="6"/>
        <v>2.9261521794084735</v>
      </c>
      <c r="R15" s="116">
        <f t="shared" si="6"/>
        <v>2.9310613764456477</v>
      </c>
      <c r="S15" s="116">
        <f t="shared" si="6"/>
        <v>2.9339099461424962</v>
      </c>
      <c r="T15" s="116">
        <f t="shared" si="6"/>
        <v>2.9363430824246541</v>
      </c>
      <c r="U15" s="116">
        <f t="shared" si="6"/>
        <v>2.938138957500986</v>
      </c>
      <c r="V15" s="116">
        <f t="shared" si="6"/>
        <v>2.9381326891747652</v>
      </c>
      <c r="W15" s="116">
        <f t="shared" si="6"/>
        <v>2.9371083236847282</v>
      </c>
      <c r="X15" s="116">
        <f t="shared" si="6"/>
        <v>2.9346701002575215</v>
      </c>
      <c r="Y15" s="116">
        <f t="shared" si="6"/>
        <v>2.9314752472375303</v>
      </c>
      <c r="Z15" s="116">
        <f t="shared" si="6"/>
        <v>2.9287602424668755</v>
      </c>
      <c r="AA15" s="116">
        <f t="shared" si="6"/>
        <v>2.9259638838215092</v>
      </c>
      <c r="AB15" s="116">
        <f t="shared" si="6"/>
        <v>2.9224636361412335</v>
      </c>
      <c r="AC15" s="116">
        <f t="shared" si="6"/>
        <v>2.9186722922871242</v>
      </c>
      <c r="AD15" s="116">
        <f t="shared" si="6"/>
        <v>2.9147034144452335</v>
      </c>
      <c r="AE15" s="116">
        <f t="shared" si="6"/>
        <v>2.9108487367194695</v>
      </c>
      <c r="AF15" s="116">
        <f t="shared" si="6"/>
        <v>2.9063879612012204</v>
      </c>
      <c r="AG15" s="116">
        <f t="shared" si="6"/>
        <v>2.9008302857755499</v>
      </c>
      <c r="AH15" s="116">
        <f t="shared" si="6"/>
        <v>2.894441694010081</v>
      </c>
      <c r="AI15" s="116">
        <f t="shared" si="6"/>
        <v>2.8871643597505456</v>
      </c>
      <c r="AJ15" s="116">
        <f t="shared" si="6"/>
        <v>2.8788009101073539</v>
      </c>
      <c r="AK15" s="116">
        <f t="shared" si="6"/>
        <v>2.8690180012575617</v>
      </c>
      <c r="AL15" s="116">
        <f t="shared" si="6"/>
        <v>2.8581507775175163</v>
      </c>
      <c r="AM15" s="116">
        <f t="shared" si="6"/>
        <v>2.8460078460963927</v>
      </c>
      <c r="AN15" s="116">
        <f t="shared" si="6"/>
        <v>2.832780894644241</v>
      </c>
      <c r="AO15" s="116">
        <f t="shared" si="6"/>
        <v>2.8190350722292039</v>
      </c>
      <c r="AP15" s="116">
        <f t="shared" si="6"/>
        <v>2.8046416382252559</v>
      </c>
      <c r="AQ15" s="116">
        <f t="shared" si="6"/>
        <v>2.8071428571428574</v>
      </c>
      <c r="AR15" s="116">
        <f t="shared" si="6"/>
        <v>2.8087611225188245</v>
      </c>
      <c r="AS15" s="116">
        <f t="shared" si="6"/>
        <v>2.8091501028101447</v>
      </c>
      <c r="AT15" s="116">
        <f t="shared" si="6"/>
        <v>2.8088538091969806</v>
      </c>
      <c r="AU15" s="116">
        <f t="shared" si="6"/>
        <v>2.8075601374570445</v>
      </c>
      <c r="AV15" s="116">
        <f t="shared" si="6"/>
        <v>2.8053337921541632</v>
      </c>
    </row>
    <row r="16" spans="1:49" s="103" customFormat="1">
      <c r="A16" s="59" t="s">
        <v>718</v>
      </c>
      <c r="B16" s="103" t="s">
        <v>717</v>
      </c>
      <c r="C16" s="116">
        <f t="shared" ref="C16:AV16" si="7">C8/C12/1000</f>
        <v>3.1009967684675259</v>
      </c>
      <c r="D16" s="116">
        <f t="shared" si="7"/>
        <v>3.0875320815885456</v>
      </c>
      <c r="E16" s="116">
        <f t="shared" si="7"/>
        <v>3.0740477354549087</v>
      </c>
      <c r="F16" s="116">
        <f t="shared" si="7"/>
        <v>3.0528717476196743</v>
      </c>
      <c r="G16" s="116">
        <f t="shared" si="7"/>
        <v>3.0353473794184227</v>
      </c>
      <c r="H16" s="116">
        <f t="shared" si="7"/>
        <v>3.0210313534901725</v>
      </c>
      <c r="I16" s="116">
        <f t="shared" si="7"/>
        <v>2.9973297164413175</v>
      </c>
      <c r="J16" s="116">
        <f t="shared" si="7"/>
        <v>2.9964378509764482</v>
      </c>
      <c r="K16" s="116">
        <f t="shared" si="7"/>
        <v>2.9821376646034974</v>
      </c>
      <c r="L16" s="116">
        <f t="shared" si="7"/>
        <v>2.9721674066765336</v>
      </c>
      <c r="M16" s="116">
        <f t="shared" si="7"/>
        <v>2.9506292744122051</v>
      </c>
      <c r="N16" s="116">
        <f t="shared" si="7"/>
        <v>2.9359318099963989</v>
      </c>
      <c r="O16" s="116">
        <f t="shared" si="7"/>
        <v>2.9162031009586937</v>
      </c>
      <c r="P16" s="116">
        <f t="shared" si="7"/>
        <v>2.9023539831984477</v>
      </c>
      <c r="Q16" s="116">
        <f t="shared" si="7"/>
        <v>2.8938682851447659</v>
      </c>
      <c r="R16" s="116">
        <f t="shared" si="7"/>
        <v>2.8879344931283732</v>
      </c>
      <c r="S16" s="116">
        <f t="shared" si="7"/>
        <v>2.8810301210215346</v>
      </c>
      <c r="T16" s="116">
        <f t="shared" si="7"/>
        <v>2.8747514883074858</v>
      </c>
      <c r="U16" s="116">
        <f t="shared" si="7"/>
        <v>2.8688534798370693</v>
      </c>
      <c r="V16" s="116">
        <f t="shared" si="7"/>
        <v>2.8621763462335088</v>
      </c>
      <c r="W16" s="116">
        <f t="shared" si="7"/>
        <v>2.855465586859335</v>
      </c>
      <c r="X16" s="116">
        <f t="shared" si="7"/>
        <v>2.8483155976195063</v>
      </c>
      <c r="Y16" s="116">
        <f t="shared" si="7"/>
        <v>2.8413440048802103</v>
      </c>
      <c r="Z16" s="116">
        <f t="shared" si="7"/>
        <v>2.8357263360015925</v>
      </c>
      <c r="AA16" s="116">
        <f t="shared" si="7"/>
        <v>2.8308961027150077</v>
      </c>
      <c r="AB16" s="116">
        <f t="shared" si="7"/>
        <v>2.8262313791958094</v>
      </c>
      <c r="AC16" s="116">
        <f t="shared" si="7"/>
        <v>2.8221134957686593</v>
      </c>
      <c r="AD16" s="116">
        <f t="shared" si="7"/>
        <v>2.8186352715732332</v>
      </c>
      <c r="AE16" s="116">
        <f t="shared" si="7"/>
        <v>2.8160633409930971</v>
      </c>
      <c r="AF16" s="116">
        <f t="shared" si="7"/>
        <v>2.8136867360786435</v>
      </c>
      <c r="AG16" s="116">
        <f t="shared" si="7"/>
        <v>2.811015953602813</v>
      </c>
      <c r="AH16" s="116">
        <f t="shared" si="7"/>
        <v>2.8082939488537342</v>
      </c>
      <c r="AI16" s="116">
        <f t="shared" si="7"/>
        <v>2.8054503148461092</v>
      </c>
      <c r="AJ16" s="116">
        <f t="shared" si="7"/>
        <v>2.8022785161535375</v>
      </c>
      <c r="AK16" s="116">
        <f t="shared" si="7"/>
        <v>2.798437803729692</v>
      </c>
      <c r="AL16" s="116">
        <f t="shared" si="7"/>
        <v>2.7942376126785025</v>
      </c>
      <c r="AM16" s="116">
        <f t="shared" si="7"/>
        <v>2.7894737233550124</v>
      </c>
      <c r="AN16" s="116">
        <f t="shared" si="7"/>
        <v>2.7843158877140812</v>
      </c>
      <c r="AO16" s="116">
        <f t="shared" si="7"/>
        <v>2.7793035831867456</v>
      </c>
      <c r="AP16" s="116">
        <f t="shared" si="7"/>
        <v>2.7742967777509531</v>
      </c>
      <c r="AQ16" s="116">
        <f t="shared" si="7"/>
        <v>2.7690553338250825</v>
      </c>
      <c r="AR16" s="116">
        <f t="shared" si="7"/>
        <v>2.7637106340279787</v>
      </c>
      <c r="AS16" s="116">
        <f t="shared" si="7"/>
        <v>2.7579221896118096</v>
      </c>
      <c r="AT16" s="116">
        <f t="shared" si="7"/>
        <v>2.7522244025713851</v>
      </c>
      <c r="AU16" s="116">
        <f t="shared" si="7"/>
        <v>2.7463099048975246</v>
      </c>
      <c r="AV16" s="116">
        <f t="shared" si="7"/>
        <v>2.7402412748782634</v>
      </c>
    </row>
    <row r="17" spans="1:48" s="103" customFormat="1">
      <c r="A17" s="59" t="s">
        <v>820</v>
      </c>
      <c r="B17" s="103" t="s">
        <v>525</v>
      </c>
      <c r="C17" s="116">
        <f t="shared" ref="C17:AV17" si="8">C11*$R$105</f>
        <v>95.573849999999993</v>
      </c>
      <c r="D17" s="116">
        <f t="shared" si="8"/>
        <v>96.60915</v>
      </c>
      <c r="E17" s="116">
        <f t="shared" si="8"/>
        <v>97.870650000000012</v>
      </c>
      <c r="F17" s="116">
        <f t="shared" si="8"/>
        <v>99.14085</v>
      </c>
      <c r="G17" s="116">
        <f t="shared" si="8"/>
        <v>99.92819999999999</v>
      </c>
      <c r="H17" s="116">
        <f t="shared" si="8"/>
        <v>101.14184999999999</v>
      </c>
      <c r="I17" s="116">
        <f t="shared" si="8"/>
        <v>102.62955000000001</v>
      </c>
      <c r="J17" s="116">
        <f t="shared" si="8"/>
        <v>103.79969999999999</v>
      </c>
      <c r="K17" s="116">
        <f t="shared" si="8"/>
        <v>104.71755</v>
      </c>
      <c r="L17" s="116">
        <f t="shared" si="8"/>
        <v>105.8094</v>
      </c>
      <c r="M17" s="116">
        <f t="shared" si="8"/>
        <v>107.49284999999999</v>
      </c>
      <c r="N17" s="116">
        <f t="shared" si="8"/>
        <v>108.70214999999999</v>
      </c>
      <c r="O17" s="116">
        <f t="shared" si="8"/>
        <v>110.25945</v>
      </c>
      <c r="P17" s="116">
        <f t="shared" si="8"/>
        <v>110.89632222222214</v>
      </c>
      <c r="Q17" s="116">
        <f t="shared" si="8"/>
        <v>111.5331944444444</v>
      </c>
      <c r="R17" s="116">
        <f t="shared" si="8"/>
        <v>112.17006666666666</v>
      </c>
      <c r="S17" s="116">
        <f t="shared" si="8"/>
        <v>112.80693888888892</v>
      </c>
      <c r="T17" s="116">
        <f t="shared" si="8"/>
        <v>113.44381111111103</v>
      </c>
      <c r="U17" s="116">
        <f t="shared" si="8"/>
        <v>114.0806833333333</v>
      </c>
      <c r="V17" s="116">
        <f t="shared" si="8"/>
        <v>114.71755555555555</v>
      </c>
      <c r="W17" s="116">
        <f t="shared" si="8"/>
        <v>115.35442777777781</v>
      </c>
      <c r="X17" s="116">
        <f t="shared" si="8"/>
        <v>115.99129999999991</v>
      </c>
      <c r="Y17" s="116">
        <f t="shared" si="8"/>
        <v>116.62817222222218</v>
      </c>
      <c r="Z17" s="116">
        <f t="shared" si="8"/>
        <v>117.26504444444444</v>
      </c>
      <c r="AA17" s="116">
        <f t="shared" si="8"/>
        <v>117.90191666666669</v>
      </c>
      <c r="AB17" s="116">
        <f t="shared" si="8"/>
        <v>118.5387888888888</v>
      </c>
      <c r="AC17" s="116">
        <f t="shared" si="8"/>
        <v>119.17566111111107</v>
      </c>
      <c r="AD17" s="116">
        <f t="shared" si="8"/>
        <v>119.81253333333332</v>
      </c>
      <c r="AE17" s="116">
        <f t="shared" si="8"/>
        <v>120.44940555555559</v>
      </c>
      <c r="AF17" s="116">
        <f t="shared" si="8"/>
        <v>121.0862777777777</v>
      </c>
      <c r="AG17" s="116">
        <f t="shared" si="8"/>
        <v>121.72314999999995</v>
      </c>
      <c r="AH17" s="116">
        <f t="shared" si="8"/>
        <v>122.36002222222221</v>
      </c>
      <c r="AI17" s="116">
        <f t="shared" si="8"/>
        <v>122.99689444444448</v>
      </c>
      <c r="AJ17" s="116">
        <f t="shared" si="8"/>
        <v>123.63376666666657</v>
      </c>
      <c r="AK17" s="116">
        <f t="shared" si="8"/>
        <v>124.27063888888884</v>
      </c>
      <c r="AL17" s="116">
        <f t="shared" si="8"/>
        <v>124.90751111111111</v>
      </c>
      <c r="AM17" s="116">
        <f t="shared" si="8"/>
        <v>125.54438333333336</v>
      </c>
      <c r="AN17" s="116">
        <f t="shared" si="8"/>
        <v>126.18125555555547</v>
      </c>
      <c r="AO17" s="116">
        <f t="shared" si="8"/>
        <v>126.81812777777773</v>
      </c>
      <c r="AP17" s="116">
        <f t="shared" si="8"/>
        <v>127.45500000000001</v>
      </c>
      <c r="AQ17" s="116">
        <f t="shared" si="8"/>
        <v>127.28100000000001</v>
      </c>
      <c r="AR17" s="116">
        <f t="shared" si="8"/>
        <v>127.10699999999994</v>
      </c>
      <c r="AS17" s="116">
        <f t="shared" si="8"/>
        <v>126.93299999999996</v>
      </c>
      <c r="AT17" s="116">
        <f t="shared" si="8"/>
        <v>126.75899999999999</v>
      </c>
      <c r="AU17" s="116">
        <f t="shared" si="8"/>
        <v>126.58500000000001</v>
      </c>
      <c r="AV17" s="116">
        <f t="shared" si="8"/>
        <v>126.41100000000003</v>
      </c>
    </row>
    <row r="18" spans="1:48" s="103" customFormat="1">
      <c r="A18" s="59" t="s">
        <v>821</v>
      </c>
      <c r="B18" s="103" t="s">
        <v>525</v>
      </c>
      <c r="C18" s="116">
        <f t="shared" ref="C18:AV18" si="9">C8*$R$106/1000</f>
        <v>102.19799999999999</v>
      </c>
      <c r="D18" s="116">
        <f t="shared" si="9"/>
        <v>102.8565</v>
      </c>
      <c r="E18" s="116">
        <f t="shared" si="9"/>
        <v>103.7445</v>
      </c>
      <c r="F18" s="116">
        <f t="shared" si="9"/>
        <v>104.367</v>
      </c>
      <c r="G18" s="116">
        <f t="shared" si="9"/>
        <v>104.592</v>
      </c>
      <c r="H18" s="116">
        <f t="shared" si="9"/>
        <v>105.363</v>
      </c>
      <c r="I18" s="116">
        <f t="shared" si="9"/>
        <v>106.074</v>
      </c>
      <c r="J18" s="116">
        <f t="shared" si="9"/>
        <v>107.25149999999999</v>
      </c>
      <c r="K18" s="116">
        <f t="shared" si="9"/>
        <v>107.6835</v>
      </c>
      <c r="L18" s="116">
        <f t="shared" si="9"/>
        <v>108.4425</v>
      </c>
      <c r="M18" s="116">
        <f t="shared" si="9"/>
        <v>109.3695</v>
      </c>
      <c r="N18" s="116">
        <f t="shared" si="9"/>
        <v>110.04900000000001</v>
      </c>
      <c r="O18" s="116">
        <f t="shared" si="9"/>
        <v>110.8755</v>
      </c>
      <c r="P18" s="116">
        <f t="shared" si="9"/>
        <v>111.765</v>
      </c>
      <c r="Q18" s="116">
        <f t="shared" si="9"/>
        <v>112.539</v>
      </c>
      <c r="R18" s="116">
        <f t="shared" si="9"/>
        <v>113.3715</v>
      </c>
      <c r="S18" s="116">
        <f t="shared" si="9"/>
        <v>114.126</v>
      </c>
      <c r="T18" s="116">
        <f t="shared" si="9"/>
        <v>114.8655</v>
      </c>
      <c r="U18" s="116">
        <f t="shared" si="9"/>
        <v>115.581</v>
      </c>
      <c r="V18" s="116">
        <f t="shared" si="9"/>
        <v>116.226</v>
      </c>
      <c r="W18" s="116">
        <f t="shared" si="9"/>
        <v>116.8305</v>
      </c>
      <c r="X18" s="116">
        <f t="shared" si="9"/>
        <v>117.378</v>
      </c>
      <c r="Y18" s="116">
        <f t="shared" si="9"/>
        <v>117.89400000000001</v>
      </c>
      <c r="Z18" s="116">
        <f t="shared" si="9"/>
        <v>118.428</v>
      </c>
      <c r="AA18" s="116">
        <f t="shared" si="9"/>
        <v>118.9575</v>
      </c>
      <c r="AB18" s="116">
        <f t="shared" si="9"/>
        <v>119.45699999999999</v>
      </c>
      <c r="AC18" s="116">
        <f t="shared" si="9"/>
        <v>119.943</v>
      </c>
      <c r="AD18" s="116">
        <f t="shared" si="9"/>
        <v>120.42</v>
      </c>
      <c r="AE18" s="116">
        <f t="shared" si="9"/>
        <v>120.9</v>
      </c>
      <c r="AF18" s="116">
        <f t="shared" si="9"/>
        <v>121.35299999999999</v>
      </c>
      <c r="AG18" s="116">
        <f t="shared" si="9"/>
        <v>121.758</v>
      </c>
      <c r="AH18" s="116">
        <f t="shared" si="9"/>
        <v>122.1255</v>
      </c>
      <c r="AI18" s="116">
        <f t="shared" si="9"/>
        <v>122.4525</v>
      </c>
      <c r="AJ18" s="116">
        <f t="shared" si="9"/>
        <v>122.73</v>
      </c>
      <c r="AK18" s="116">
        <f t="shared" si="9"/>
        <v>122.94300000000001</v>
      </c>
      <c r="AL18" s="116">
        <f t="shared" si="9"/>
        <v>123.105</v>
      </c>
      <c r="AM18" s="116">
        <f t="shared" si="9"/>
        <v>123.20699999999998</v>
      </c>
      <c r="AN18" s="116">
        <f t="shared" si="9"/>
        <v>123.2565</v>
      </c>
      <c r="AO18" s="116">
        <f t="shared" si="9"/>
        <v>123.2775</v>
      </c>
      <c r="AP18" s="116">
        <f t="shared" si="9"/>
        <v>123.264</v>
      </c>
      <c r="AQ18" s="116">
        <f t="shared" si="9"/>
        <v>123.20550000000001</v>
      </c>
      <c r="AR18" s="116">
        <f t="shared" si="9"/>
        <v>123.10800000000002</v>
      </c>
      <c r="AS18" s="116">
        <f t="shared" si="9"/>
        <v>122.95650000000001</v>
      </c>
      <c r="AT18" s="116">
        <f t="shared" si="9"/>
        <v>122.77500000000001</v>
      </c>
      <c r="AU18" s="116">
        <f t="shared" si="9"/>
        <v>122.55</v>
      </c>
      <c r="AV18" s="116">
        <f t="shared" si="9"/>
        <v>122.28449999999999</v>
      </c>
    </row>
    <row r="19" spans="1:48">
      <c r="A19" s="59" t="s">
        <v>518</v>
      </c>
      <c r="B19" t="s">
        <v>519</v>
      </c>
      <c r="C19" s="106">
        <f>N74</f>
        <v>42.557142857142935</v>
      </c>
      <c r="D19" s="106">
        <f t="shared" ref="D19:AV19" si="10">O74</f>
        <v>43.285714285714448</v>
      </c>
      <c r="E19" s="106">
        <f t="shared" si="10"/>
        <v>44.014285714285734</v>
      </c>
      <c r="F19" s="106">
        <f t="shared" si="10"/>
        <v>44.742857142857247</v>
      </c>
      <c r="G19" s="106">
        <f t="shared" si="10"/>
        <v>45.471428571428532</v>
      </c>
      <c r="H19" s="70">
        <f t="shared" si="10"/>
        <v>46.200000000000045</v>
      </c>
      <c r="I19" s="106">
        <f t="shared" si="10"/>
        <v>46.370000000000005</v>
      </c>
      <c r="J19" s="106">
        <f t="shared" si="10"/>
        <v>46.539999999999964</v>
      </c>
      <c r="K19" s="106">
        <f t="shared" si="10"/>
        <v>46.70999999999998</v>
      </c>
      <c r="L19" s="106">
        <f t="shared" si="10"/>
        <v>46.879999999999995</v>
      </c>
      <c r="M19" s="106">
        <f t="shared" si="10"/>
        <v>47.050000000000011</v>
      </c>
      <c r="N19" s="106">
        <f t="shared" si="10"/>
        <v>47.21999999999997</v>
      </c>
      <c r="O19" s="106">
        <f t="shared" si="10"/>
        <v>47.389999999999986</v>
      </c>
      <c r="P19" s="106">
        <f t="shared" si="10"/>
        <v>47.56</v>
      </c>
      <c r="Q19" s="106">
        <f t="shared" si="10"/>
        <v>47.729999999999961</v>
      </c>
      <c r="R19" s="71">
        <f t="shared" si="10"/>
        <v>47.899999999999977</v>
      </c>
      <c r="S19" s="106">
        <f t="shared" si="10"/>
        <v>48.269999999999982</v>
      </c>
      <c r="T19" s="106">
        <f t="shared" si="10"/>
        <v>48.639999999999986</v>
      </c>
      <c r="U19" s="106">
        <f t="shared" si="10"/>
        <v>49.009999999999991</v>
      </c>
      <c r="V19" s="106">
        <f t="shared" si="10"/>
        <v>49.379999999999995</v>
      </c>
      <c r="W19" s="106">
        <f t="shared" si="10"/>
        <v>49.75</v>
      </c>
      <c r="X19" s="106">
        <f t="shared" si="10"/>
        <v>50.120000000000005</v>
      </c>
      <c r="Y19" s="106">
        <f t="shared" si="10"/>
        <v>50.490000000000009</v>
      </c>
      <c r="Z19" s="106">
        <f t="shared" si="10"/>
        <v>50.860000000000014</v>
      </c>
      <c r="AA19" s="106">
        <f t="shared" si="10"/>
        <v>51.230000000000018</v>
      </c>
      <c r="AB19" s="71">
        <f t="shared" si="10"/>
        <v>51.600000000000023</v>
      </c>
      <c r="AC19" s="106">
        <f t="shared" si="10"/>
        <v>51.970000000000027</v>
      </c>
      <c r="AD19" s="106">
        <f t="shared" si="10"/>
        <v>52.340000000000032</v>
      </c>
      <c r="AE19" s="106">
        <f t="shared" si="10"/>
        <v>52.710000000000036</v>
      </c>
      <c r="AF19" s="106">
        <f t="shared" si="10"/>
        <v>53.080000000000041</v>
      </c>
      <c r="AG19" s="106">
        <f t="shared" si="10"/>
        <v>53.450000000000045</v>
      </c>
      <c r="AH19" s="106">
        <f t="shared" si="10"/>
        <v>53.819999999999936</v>
      </c>
      <c r="AI19" s="106">
        <f t="shared" si="10"/>
        <v>54.189999999999941</v>
      </c>
      <c r="AJ19" s="106">
        <f t="shared" si="10"/>
        <v>54.559999999999945</v>
      </c>
      <c r="AK19" s="106">
        <f t="shared" si="10"/>
        <v>54.92999999999995</v>
      </c>
      <c r="AL19" s="106">
        <f t="shared" si="10"/>
        <v>55.299999999999955</v>
      </c>
      <c r="AM19" s="106">
        <f t="shared" si="10"/>
        <v>55.669999999999959</v>
      </c>
      <c r="AN19" s="106">
        <f t="shared" si="10"/>
        <v>56.039999999999964</v>
      </c>
      <c r="AO19" s="106">
        <f t="shared" si="10"/>
        <v>56.409999999999968</v>
      </c>
      <c r="AP19" s="106">
        <f t="shared" si="10"/>
        <v>56.779999999999973</v>
      </c>
      <c r="AQ19" s="106">
        <f t="shared" si="10"/>
        <v>57.149999999999977</v>
      </c>
      <c r="AR19" s="106">
        <f t="shared" si="10"/>
        <v>57.519999999999982</v>
      </c>
      <c r="AS19" s="106">
        <f t="shared" si="10"/>
        <v>57.889999999999986</v>
      </c>
      <c r="AT19" s="106">
        <f t="shared" si="10"/>
        <v>58.259999999999991</v>
      </c>
      <c r="AU19" s="106">
        <f t="shared" si="10"/>
        <v>58.629999999999995</v>
      </c>
      <c r="AV19" s="106">
        <f t="shared" si="10"/>
        <v>59</v>
      </c>
    </row>
    <row r="21" spans="1:48" s="60" customFormat="1">
      <c r="A21" s="60" t="s">
        <v>582</v>
      </c>
      <c r="B21" s="60" t="s">
        <v>101</v>
      </c>
      <c r="C21" s="60">
        <v>2005</v>
      </c>
      <c r="D21" s="60">
        <v>2006</v>
      </c>
      <c r="E21" s="60">
        <v>2007</v>
      </c>
      <c r="F21" s="60">
        <v>2008</v>
      </c>
      <c r="G21" s="60">
        <v>2009</v>
      </c>
      <c r="H21" s="60">
        <v>2010</v>
      </c>
      <c r="I21" s="60">
        <v>2011</v>
      </c>
      <c r="J21" s="60">
        <v>2012</v>
      </c>
      <c r="K21" s="60">
        <v>2013</v>
      </c>
      <c r="L21" s="60">
        <v>2014</v>
      </c>
      <c r="M21" s="60">
        <v>2015</v>
      </c>
      <c r="N21" s="60">
        <v>2016</v>
      </c>
      <c r="O21" s="60">
        <v>2017</v>
      </c>
      <c r="P21" s="60">
        <v>2018</v>
      </c>
      <c r="Q21" s="60">
        <v>2019</v>
      </c>
      <c r="R21" s="60">
        <v>2020</v>
      </c>
      <c r="S21" s="60">
        <v>2021</v>
      </c>
      <c r="T21" s="60">
        <v>2022</v>
      </c>
      <c r="U21" s="60">
        <v>2023</v>
      </c>
      <c r="V21" s="60">
        <v>2024</v>
      </c>
      <c r="W21" s="60">
        <v>2025</v>
      </c>
      <c r="X21" s="60">
        <v>2026</v>
      </c>
      <c r="Y21" s="60">
        <v>2027</v>
      </c>
      <c r="Z21" s="60">
        <v>2028</v>
      </c>
      <c r="AA21" s="60">
        <v>2029</v>
      </c>
      <c r="AB21" s="60">
        <v>2030</v>
      </c>
      <c r="AC21" s="60">
        <v>2031</v>
      </c>
      <c r="AD21" s="60">
        <v>2032</v>
      </c>
      <c r="AE21" s="60">
        <v>2033</v>
      </c>
      <c r="AF21" s="60">
        <v>2034</v>
      </c>
      <c r="AG21" s="60">
        <v>2035</v>
      </c>
      <c r="AH21" s="60">
        <v>2036</v>
      </c>
      <c r="AI21" s="60">
        <v>2037</v>
      </c>
      <c r="AJ21" s="60">
        <v>2038</v>
      </c>
      <c r="AK21" s="60">
        <v>2039</v>
      </c>
      <c r="AL21" s="60">
        <v>2040</v>
      </c>
      <c r="AM21" s="60">
        <v>2041</v>
      </c>
      <c r="AN21" s="60">
        <v>2042</v>
      </c>
      <c r="AO21" s="60">
        <v>2043</v>
      </c>
      <c r="AP21" s="60">
        <v>2044</v>
      </c>
      <c r="AQ21" s="60">
        <v>2045</v>
      </c>
      <c r="AR21" s="60">
        <v>2046</v>
      </c>
      <c r="AS21" s="60">
        <v>2047</v>
      </c>
      <c r="AT21" s="60">
        <v>2048</v>
      </c>
      <c r="AU21" s="60">
        <v>2049</v>
      </c>
      <c r="AV21" s="60">
        <v>2050</v>
      </c>
    </row>
    <row r="22" spans="1:48">
      <c r="A22" s="59" t="s">
        <v>530</v>
      </c>
      <c r="B22" s="119" t="s">
        <v>531</v>
      </c>
      <c r="D22" s="68">
        <v>53982</v>
      </c>
      <c r="E22" s="68">
        <v>54717</v>
      </c>
      <c r="F22" s="68">
        <v>55849</v>
      </c>
      <c r="G22" s="68">
        <v>57731</v>
      </c>
      <c r="H22" s="68">
        <v>58396</v>
      </c>
      <c r="I22" s="68">
        <v>58826</v>
      </c>
      <c r="J22" s="68">
        <v>59932</v>
      </c>
      <c r="K22" s="68">
        <v>58394</v>
      </c>
      <c r="L22" s="68">
        <v>61910</v>
      </c>
      <c r="M22" s="68">
        <v>60214</v>
      </c>
      <c r="N22" s="68">
        <v>61439</v>
      </c>
    </row>
    <row r="23" spans="1:48">
      <c r="A23" s="59" t="s">
        <v>529</v>
      </c>
      <c r="B23" s="59" t="s">
        <v>531</v>
      </c>
      <c r="D23" s="68">
        <v>111884</v>
      </c>
      <c r="E23" s="68">
        <v>113914</v>
      </c>
      <c r="F23" s="68">
        <v>113753</v>
      </c>
      <c r="G23" s="68">
        <v>114297</v>
      </c>
      <c r="H23" s="68">
        <v>116391</v>
      </c>
      <c r="I23" s="68">
        <v>118558</v>
      </c>
      <c r="J23" s="68">
        <v>120970</v>
      </c>
      <c r="K23" s="68">
        <v>121215</v>
      </c>
      <c r="L23" s="68">
        <v>122711</v>
      </c>
      <c r="M23" s="68">
        <v>123674</v>
      </c>
      <c r="N23" s="68">
        <v>123969</v>
      </c>
    </row>
    <row r="27" spans="1:48" s="117" customFormat="1">
      <c r="A27" s="126" t="s">
        <v>584</v>
      </c>
    </row>
    <row r="31" spans="1:48">
      <c r="U31" t="s">
        <v>526</v>
      </c>
    </row>
    <row r="32" spans="1:48">
      <c r="U32" t="s">
        <v>528</v>
      </c>
      <c r="V32" t="s">
        <v>527</v>
      </c>
    </row>
    <row r="33" spans="20:27">
      <c r="U33" s="103">
        <v>2017</v>
      </c>
      <c r="V33" s="68">
        <v>2.5347</v>
      </c>
    </row>
    <row r="34" spans="20:27">
      <c r="U34">
        <v>2044</v>
      </c>
      <c r="V34" s="72">
        <v>2.93</v>
      </c>
    </row>
    <row r="35" spans="20:27">
      <c r="U35">
        <v>2049</v>
      </c>
      <c r="V35" s="72">
        <v>2.91</v>
      </c>
    </row>
    <row r="46" spans="20:27">
      <c r="T46" t="s">
        <v>507</v>
      </c>
      <c r="Z46" t="s">
        <v>509</v>
      </c>
    </row>
    <row r="47" spans="20:27">
      <c r="U47">
        <v>1</v>
      </c>
      <c r="V47">
        <v>2</v>
      </c>
      <c r="W47">
        <v>3</v>
      </c>
      <c r="X47">
        <v>4</v>
      </c>
      <c r="Y47" t="s">
        <v>508</v>
      </c>
      <c r="Z47">
        <v>7</v>
      </c>
      <c r="AA47" t="s">
        <v>510</v>
      </c>
    </row>
    <row r="48" spans="20:27">
      <c r="T48">
        <v>2014</v>
      </c>
      <c r="U48" s="115">
        <v>0.17299999999999999</v>
      </c>
      <c r="V48" s="115">
        <v>0.26300000000000001</v>
      </c>
      <c r="W48" s="115">
        <v>0.24399999999999999</v>
      </c>
      <c r="X48" s="115">
        <v>0.20100000000000001</v>
      </c>
      <c r="Y48" s="115">
        <v>0.11899999999999999</v>
      </c>
      <c r="Z48" s="115">
        <f>Y48</f>
        <v>0.11899999999999999</v>
      </c>
      <c r="AA48">
        <f>U$47*U48+V$47*V48+W$47*W48+X$47*X48+Z$47*Z48</f>
        <v>3.0680000000000005</v>
      </c>
    </row>
    <row r="49" spans="13:68">
      <c r="T49">
        <v>2019</v>
      </c>
      <c r="U49" s="115">
        <v>0.18099999999999999</v>
      </c>
      <c r="V49" s="115">
        <v>0.27400000000000002</v>
      </c>
      <c r="W49" s="115">
        <v>0.24399999999999999</v>
      </c>
      <c r="X49" s="115">
        <v>0.189</v>
      </c>
      <c r="Y49" s="115">
        <v>0.112</v>
      </c>
      <c r="Z49" s="115">
        <f>Y49</f>
        <v>0.112</v>
      </c>
      <c r="AA49" s="103">
        <f>U$47*U49+V$47*V49+W$47*W49+X$47*X49+Z$47*Z49</f>
        <v>3.0010000000000003</v>
      </c>
    </row>
    <row r="50" spans="13:68">
      <c r="T50">
        <v>2023</v>
      </c>
      <c r="U50" s="115">
        <v>0.186</v>
      </c>
      <c r="V50" s="115">
        <v>0.28599999999999998</v>
      </c>
      <c r="W50" s="115">
        <v>0.24099999999999999</v>
      </c>
      <c r="X50" s="115">
        <v>0.17899999999999999</v>
      </c>
      <c r="Y50" s="115">
        <v>0.108</v>
      </c>
      <c r="Z50" s="115">
        <f>Y50</f>
        <v>0.108</v>
      </c>
      <c r="AA50" s="103">
        <f>U$47*U50+V$47*V50+W$47*W50+X$47*X50+Z$47*Z50</f>
        <v>2.9530000000000003</v>
      </c>
    </row>
    <row r="52" spans="13:68">
      <c r="T52" t="s">
        <v>511</v>
      </c>
    </row>
    <row r="53" spans="13:68">
      <c r="W53" s="103">
        <v>2005</v>
      </c>
      <c r="X53" s="103">
        <v>2006</v>
      </c>
      <c r="Y53" s="103">
        <v>2007</v>
      </c>
      <c r="Z53" s="103">
        <v>2008</v>
      </c>
      <c r="AA53" s="103">
        <v>2009</v>
      </c>
      <c r="AB53" s="103">
        <v>2010</v>
      </c>
      <c r="AC53" s="103">
        <v>2011</v>
      </c>
      <c r="AD53" s="103">
        <v>2012</v>
      </c>
      <c r="AE53" s="103">
        <v>2013</v>
      </c>
      <c r="AF53" s="103">
        <v>2014</v>
      </c>
      <c r="AG53" s="103">
        <v>2015</v>
      </c>
      <c r="AH53" s="103">
        <v>2016</v>
      </c>
      <c r="AI53" s="103">
        <v>2017</v>
      </c>
      <c r="AJ53" s="103">
        <v>2018</v>
      </c>
      <c r="AK53" s="103">
        <v>2019</v>
      </c>
      <c r="AL53" s="103">
        <v>2020</v>
      </c>
      <c r="AM53" s="103">
        <v>2021</v>
      </c>
      <c r="AN53" s="103">
        <v>2022</v>
      </c>
      <c r="AO53" s="103">
        <v>2023</v>
      </c>
      <c r="AP53" s="103">
        <v>2024</v>
      </c>
      <c r="AQ53" s="103">
        <v>2025</v>
      </c>
      <c r="AR53" s="103">
        <v>2026</v>
      </c>
      <c r="AS53" s="103">
        <v>2027</v>
      </c>
      <c r="AT53" s="103">
        <v>2028</v>
      </c>
      <c r="AU53" s="103">
        <v>2029</v>
      </c>
      <c r="AV53" s="103">
        <v>2030</v>
      </c>
      <c r="AW53" s="103">
        <v>2031</v>
      </c>
      <c r="AX53" s="103">
        <v>2032</v>
      </c>
      <c r="AY53" s="103">
        <v>2033</v>
      </c>
      <c r="AZ53" s="103">
        <v>2034</v>
      </c>
      <c r="BA53" s="103">
        <v>2035</v>
      </c>
      <c r="BB53" s="103">
        <v>2036</v>
      </c>
      <c r="BC53" s="103">
        <v>2037</v>
      </c>
      <c r="BD53" s="103">
        <v>2038</v>
      </c>
      <c r="BE53" s="103">
        <v>2039</v>
      </c>
      <c r="BF53" s="103">
        <v>2040</v>
      </c>
      <c r="BG53" s="103">
        <v>2041</v>
      </c>
      <c r="BH53" s="103">
        <v>2042</v>
      </c>
      <c r="BI53" s="103">
        <v>2043</v>
      </c>
      <c r="BJ53" s="103">
        <v>2044</v>
      </c>
      <c r="BK53" s="103">
        <v>2045</v>
      </c>
      <c r="BL53" s="103">
        <v>2046</v>
      </c>
      <c r="BM53" s="103">
        <v>2047</v>
      </c>
      <c r="BN53" s="103">
        <v>2048</v>
      </c>
      <c r="BO53" s="103">
        <v>2049</v>
      </c>
      <c r="BP53" s="103">
        <v>2050</v>
      </c>
    </row>
    <row r="54" spans="13:68">
      <c r="U54" s="103"/>
      <c r="W54" s="103">
        <f t="shared" ref="W54:BP54" si="11">TREND($AA$48:$AA$50,$T$48:$T$50,W53)</f>
        <v>3.1823114754098398</v>
      </c>
      <c r="X54" s="103">
        <f t="shared" si="11"/>
        <v>3.1695081967213135</v>
      </c>
      <c r="Y54" s="103">
        <f t="shared" si="11"/>
        <v>3.1567049180327906</v>
      </c>
      <c r="Z54" s="103">
        <f t="shared" si="11"/>
        <v>3.1439016393442643</v>
      </c>
      <c r="AA54" s="103">
        <f t="shared" si="11"/>
        <v>3.1310983606557414</v>
      </c>
      <c r="AB54" s="103">
        <f t="shared" si="11"/>
        <v>3.1182950819672151</v>
      </c>
      <c r="AC54" s="103">
        <f t="shared" si="11"/>
        <v>3.1054918032786922</v>
      </c>
      <c r="AD54" s="103">
        <f t="shared" si="11"/>
        <v>3.0926885245901659</v>
      </c>
      <c r="AE54" s="103">
        <f t="shared" si="11"/>
        <v>3.079885245901643</v>
      </c>
      <c r="AF54" s="103">
        <f t="shared" si="11"/>
        <v>3.0670819672131167</v>
      </c>
      <c r="AG54" s="103">
        <f t="shared" si="11"/>
        <v>3.0542786885245938</v>
      </c>
      <c r="AH54" s="103">
        <f t="shared" si="11"/>
        <v>3.0414754098360675</v>
      </c>
      <c r="AI54" s="103">
        <f t="shared" si="11"/>
        <v>3.0286721311475446</v>
      </c>
      <c r="AJ54" s="103">
        <f t="shared" si="11"/>
        <v>3.0158688524590183</v>
      </c>
      <c r="AK54" s="103">
        <f t="shared" si="11"/>
        <v>3.0030655737704954</v>
      </c>
      <c r="AL54" s="103">
        <f t="shared" si="11"/>
        <v>2.9902622950819691</v>
      </c>
      <c r="AM54" s="103">
        <f t="shared" si="11"/>
        <v>2.9774590163934462</v>
      </c>
      <c r="AN54" s="103">
        <f t="shared" si="11"/>
        <v>2.9646557377049199</v>
      </c>
      <c r="AO54" s="103">
        <f t="shared" si="11"/>
        <v>2.951852459016397</v>
      </c>
      <c r="AP54" s="103">
        <f t="shared" si="11"/>
        <v>2.9390491803278707</v>
      </c>
      <c r="AQ54" s="103">
        <f t="shared" si="11"/>
        <v>2.9262459016393478</v>
      </c>
      <c r="AR54" s="103">
        <f t="shared" si="11"/>
        <v>2.9134426229508215</v>
      </c>
      <c r="AS54" s="103">
        <f t="shared" si="11"/>
        <v>2.9006393442622986</v>
      </c>
      <c r="AT54" s="103">
        <f t="shared" si="11"/>
        <v>2.8878360655737723</v>
      </c>
      <c r="AU54" s="103">
        <f t="shared" si="11"/>
        <v>2.8750327868852494</v>
      </c>
      <c r="AV54" s="103">
        <f t="shared" si="11"/>
        <v>2.8622295081967231</v>
      </c>
      <c r="AW54" s="103">
        <f t="shared" si="11"/>
        <v>2.8494262295082002</v>
      </c>
      <c r="AX54" s="103">
        <f t="shared" si="11"/>
        <v>2.8366229508196739</v>
      </c>
      <c r="AY54" s="103">
        <f t="shared" si="11"/>
        <v>2.823819672131151</v>
      </c>
      <c r="AZ54" s="103">
        <f t="shared" si="11"/>
        <v>2.8110163934426247</v>
      </c>
      <c r="BA54" s="103">
        <f t="shared" si="11"/>
        <v>2.7982131147541018</v>
      </c>
      <c r="BB54" s="103">
        <f t="shared" si="11"/>
        <v>2.7854098360655755</v>
      </c>
      <c r="BC54" s="103">
        <f t="shared" si="11"/>
        <v>2.7726065573770526</v>
      </c>
      <c r="BD54" s="103">
        <f t="shared" si="11"/>
        <v>2.7598032786885263</v>
      </c>
      <c r="BE54" s="103">
        <f t="shared" si="11"/>
        <v>2.7470000000000034</v>
      </c>
      <c r="BF54" s="103">
        <f t="shared" si="11"/>
        <v>2.7341967213114771</v>
      </c>
      <c r="BG54" s="103">
        <f t="shared" si="11"/>
        <v>2.7213934426229542</v>
      </c>
      <c r="BH54" s="103">
        <f t="shared" si="11"/>
        <v>2.7085901639344279</v>
      </c>
      <c r="BI54" s="103">
        <f t="shared" si="11"/>
        <v>2.695786885245905</v>
      </c>
      <c r="BJ54" s="103">
        <f t="shared" si="11"/>
        <v>2.6829836065573787</v>
      </c>
      <c r="BK54" s="103">
        <f t="shared" si="11"/>
        <v>2.6701803278688558</v>
      </c>
      <c r="BL54" s="103">
        <f t="shared" si="11"/>
        <v>2.6573770491803295</v>
      </c>
      <c r="BM54" s="103">
        <f t="shared" si="11"/>
        <v>2.6445737704918066</v>
      </c>
      <c r="BN54" s="103">
        <f t="shared" si="11"/>
        <v>2.6317704918032803</v>
      </c>
      <c r="BO54" s="103">
        <f t="shared" si="11"/>
        <v>2.6189672131147539</v>
      </c>
      <c r="BP54" s="103">
        <f t="shared" si="11"/>
        <v>2.6061639344262311</v>
      </c>
    </row>
    <row r="55" spans="13:68">
      <c r="T55" s="103"/>
      <c r="U55" s="103"/>
    </row>
    <row r="56" spans="13:68" s="112" customFormat="1"/>
    <row r="57" spans="13:68">
      <c r="T57" s="103"/>
      <c r="U57" s="103"/>
    </row>
    <row r="58" spans="13:68">
      <c r="T58" s="103"/>
      <c r="U58" s="103"/>
    </row>
    <row r="59" spans="13:68">
      <c r="M59" t="s">
        <v>513</v>
      </c>
      <c r="T59" s="103"/>
      <c r="U59" s="103"/>
    </row>
    <row r="60" spans="13:68">
      <c r="T60" s="103"/>
      <c r="U60" s="103"/>
    </row>
    <row r="61" spans="13:68">
      <c r="M61" t="s">
        <v>515</v>
      </c>
      <c r="N61" t="s">
        <v>514</v>
      </c>
      <c r="T61" s="103"/>
      <c r="U61" s="103"/>
    </row>
    <row r="62" spans="13:68">
      <c r="M62">
        <v>2003</v>
      </c>
      <c r="N62">
        <v>41.1</v>
      </c>
      <c r="T62" s="103"/>
      <c r="U62" s="103"/>
    </row>
    <row r="63" spans="13:68">
      <c r="M63">
        <v>2010</v>
      </c>
      <c r="N63">
        <v>46.2</v>
      </c>
      <c r="T63" s="103"/>
      <c r="U63" s="103"/>
    </row>
    <row r="64" spans="13:68">
      <c r="M64">
        <v>2020</v>
      </c>
      <c r="N64">
        <v>47.9</v>
      </c>
      <c r="T64" s="103"/>
      <c r="U64" s="103"/>
    </row>
    <row r="65" spans="12:59">
      <c r="M65">
        <v>2030</v>
      </c>
      <c r="N65">
        <v>51.6</v>
      </c>
      <c r="T65" s="103"/>
      <c r="U65" s="103"/>
    </row>
    <row r="66" spans="12:59">
      <c r="T66" s="103"/>
      <c r="U66" s="103"/>
    </row>
    <row r="67" spans="12:59">
      <c r="T67" s="103"/>
      <c r="U67" s="103"/>
    </row>
    <row r="68" spans="12:59">
      <c r="T68" s="103"/>
      <c r="U68" s="103"/>
    </row>
    <row r="69" spans="12:59">
      <c r="T69" s="103"/>
      <c r="U69" s="103"/>
    </row>
    <row r="70" spans="12:59">
      <c r="T70" s="103"/>
      <c r="U70" s="103"/>
    </row>
    <row r="71" spans="12:59">
      <c r="T71" s="103"/>
      <c r="U71" s="103"/>
    </row>
    <row r="72" spans="12:59">
      <c r="M72" t="s">
        <v>516</v>
      </c>
      <c r="T72" s="103"/>
      <c r="U72" s="103"/>
    </row>
    <row r="73" spans="12:59">
      <c r="N73" s="103">
        <v>2005</v>
      </c>
      <c r="O73" s="103">
        <v>2006</v>
      </c>
      <c r="P73" s="103">
        <v>2007</v>
      </c>
      <c r="Q73" s="103">
        <v>2008</v>
      </c>
      <c r="R73" s="103">
        <v>2009</v>
      </c>
      <c r="S73" s="103">
        <v>2010</v>
      </c>
      <c r="T73" s="103">
        <v>2011</v>
      </c>
      <c r="U73" s="103">
        <v>2012</v>
      </c>
      <c r="V73" s="103">
        <v>2013</v>
      </c>
      <c r="W73" s="103">
        <v>2014</v>
      </c>
      <c r="X73" s="103">
        <v>2015</v>
      </c>
      <c r="Y73" s="103">
        <v>2016</v>
      </c>
      <c r="Z73" s="103">
        <v>2017</v>
      </c>
      <c r="AA73" s="103">
        <v>2018</v>
      </c>
      <c r="AB73" s="103">
        <v>2019</v>
      </c>
      <c r="AC73" s="103">
        <v>2020</v>
      </c>
      <c r="AD73" s="103">
        <v>2021</v>
      </c>
      <c r="AE73" s="103">
        <v>2022</v>
      </c>
      <c r="AF73" s="103">
        <v>2023</v>
      </c>
      <c r="AG73" s="103">
        <v>2024</v>
      </c>
      <c r="AH73" s="103">
        <v>2025</v>
      </c>
      <c r="AI73" s="103">
        <v>2026</v>
      </c>
      <c r="AJ73" s="103">
        <v>2027</v>
      </c>
      <c r="AK73" s="103">
        <v>2028</v>
      </c>
      <c r="AL73" s="103">
        <v>2029</v>
      </c>
      <c r="AM73" s="103">
        <v>2030</v>
      </c>
      <c r="AN73" s="103">
        <v>2031</v>
      </c>
      <c r="AO73" s="103">
        <v>2032</v>
      </c>
      <c r="AP73" s="103">
        <v>2033</v>
      </c>
      <c r="AQ73" s="103">
        <v>2034</v>
      </c>
      <c r="AR73" s="103">
        <v>2035</v>
      </c>
      <c r="AS73" s="103">
        <v>2036</v>
      </c>
      <c r="AT73" s="103">
        <v>2037</v>
      </c>
      <c r="AU73" s="103">
        <v>2038</v>
      </c>
      <c r="AV73" s="103">
        <v>2039</v>
      </c>
      <c r="AW73" s="103">
        <v>2040</v>
      </c>
      <c r="AX73" s="103">
        <v>2041</v>
      </c>
      <c r="AY73" s="103">
        <v>2042</v>
      </c>
      <c r="AZ73" s="103">
        <v>2043</v>
      </c>
      <c r="BA73" s="103">
        <v>2044</v>
      </c>
      <c r="BB73" s="103">
        <v>2045</v>
      </c>
      <c r="BC73" s="103">
        <v>2046</v>
      </c>
      <c r="BD73" s="103">
        <v>2047</v>
      </c>
      <c r="BE73" s="103">
        <v>2048</v>
      </c>
      <c r="BF73" s="103">
        <v>2049</v>
      </c>
      <c r="BG73" s="103">
        <v>2050</v>
      </c>
    </row>
    <row r="74" spans="12:59">
      <c r="L74" s="103" t="s">
        <v>514</v>
      </c>
      <c r="M74" t="s">
        <v>517</v>
      </c>
      <c r="N74">
        <f t="shared" ref="N74:S74" si="12">TREND($N$62:$N$63,$M$62:$M$63,N73)</f>
        <v>42.557142857142935</v>
      </c>
      <c r="O74" s="103">
        <f t="shared" si="12"/>
        <v>43.285714285714448</v>
      </c>
      <c r="P74" s="103">
        <f t="shared" si="12"/>
        <v>44.014285714285734</v>
      </c>
      <c r="Q74" s="103">
        <f t="shared" si="12"/>
        <v>44.742857142857247</v>
      </c>
      <c r="R74" s="103">
        <f t="shared" si="12"/>
        <v>45.471428571428532</v>
      </c>
      <c r="S74" s="103">
        <f t="shared" si="12"/>
        <v>46.200000000000045</v>
      </c>
      <c r="T74" s="103">
        <f>TREND($N$63:$N$64,$M$63:$M$64,T73)</f>
        <v>46.370000000000005</v>
      </c>
      <c r="U74" s="103">
        <f t="shared" ref="U74:Z74" si="13">TREND($N$63:$N$64,$M$63:$M$64,U73)</f>
        <v>46.539999999999964</v>
      </c>
      <c r="V74" s="103">
        <f t="shared" si="13"/>
        <v>46.70999999999998</v>
      </c>
      <c r="W74" s="103">
        <f t="shared" si="13"/>
        <v>46.879999999999995</v>
      </c>
      <c r="X74" s="103">
        <f t="shared" si="13"/>
        <v>47.050000000000011</v>
      </c>
      <c r="Y74" s="103">
        <f t="shared" si="13"/>
        <v>47.21999999999997</v>
      </c>
      <c r="Z74" s="103">
        <f t="shared" si="13"/>
        <v>47.389999999999986</v>
      </c>
      <c r="AA74" s="103">
        <f>TREND($N$63:$N$64,$M$63:$M$64,AA73)</f>
        <v>47.56</v>
      </c>
      <c r="AB74" s="103">
        <f>TREND($N$63:$N$64,$M$63:$M$64,AB73)</f>
        <v>47.729999999999961</v>
      </c>
      <c r="AC74" s="103">
        <f>TREND($N$63:$N$64,$M$63:$M$64,AC73)</f>
        <v>47.899999999999977</v>
      </c>
      <c r="AD74" s="103">
        <f>TREND($N$64:$N$65,$M$64:$M$65,AD73)</f>
        <v>48.269999999999982</v>
      </c>
      <c r="AE74" s="103">
        <f t="shared" ref="AE74:BG74" si="14">TREND($N$64:$N$65,$M$64:$M$65,AE73)</f>
        <v>48.639999999999986</v>
      </c>
      <c r="AF74" s="103">
        <f t="shared" si="14"/>
        <v>49.009999999999991</v>
      </c>
      <c r="AG74" s="103">
        <f t="shared" si="14"/>
        <v>49.379999999999995</v>
      </c>
      <c r="AH74" s="103">
        <f t="shared" si="14"/>
        <v>49.75</v>
      </c>
      <c r="AI74" s="103">
        <f t="shared" si="14"/>
        <v>50.120000000000005</v>
      </c>
      <c r="AJ74" s="103">
        <f t="shared" si="14"/>
        <v>50.490000000000009</v>
      </c>
      <c r="AK74" s="103">
        <f t="shared" si="14"/>
        <v>50.860000000000014</v>
      </c>
      <c r="AL74" s="103">
        <f t="shared" si="14"/>
        <v>51.230000000000018</v>
      </c>
      <c r="AM74" s="103">
        <f t="shared" si="14"/>
        <v>51.600000000000023</v>
      </c>
      <c r="AN74" s="103">
        <f t="shared" si="14"/>
        <v>51.970000000000027</v>
      </c>
      <c r="AO74" s="103">
        <f t="shared" si="14"/>
        <v>52.340000000000032</v>
      </c>
      <c r="AP74" s="103">
        <f t="shared" si="14"/>
        <v>52.710000000000036</v>
      </c>
      <c r="AQ74" s="103">
        <f t="shared" si="14"/>
        <v>53.080000000000041</v>
      </c>
      <c r="AR74" s="103">
        <f t="shared" si="14"/>
        <v>53.450000000000045</v>
      </c>
      <c r="AS74" s="103">
        <f t="shared" si="14"/>
        <v>53.819999999999936</v>
      </c>
      <c r="AT74" s="103">
        <f t="shared" si="14"/>
        <v>54.189999999999941</v>
      </c>
      <c r="AU74" s="103">
        <f t="shared" si="14"/>
        <v>54.559999999999945</v>
      </c>
      <c r="AV74" s="103">
        <f t="shared" si="14"/>
        <v>54.92999999999995</v>
      </c>
      <c r="AW74" s="103">
        <f t="shared" si="14"/>
        <v>55.299999999999955</v>
      </c>
      <c r="AX74" s="103">
        <f t="shared" si="14"/>
        <v>55.669999999999959</v>
      </c>
      <c r="AY74" s="103">
        <f t="shared" si="14"/>
        <v>56.039999999999964</v>
      </c>
      <c r="AZ74" s="103">
        <f t="shared" si="14"/>
        <v>56.409999999999968</v>
      </c>
      <c r="BA74" s="103">
        <f t="shared" si="14"/>
        <v>56.779999999999973</v>
      </c>
      <c r="BB74" s="103">
        <f t="shared" si="14"/>
        <v>57.149999999999977</v>
      </c>
      <c r="BC74" s="103">
        <f t="shared" si="14"/>
        <v>57.519999999999982</v>
      </c>
      <c r="BD74" s="103">
        <f t="shared" si="14"/>
        <v>57.889999999999986</v>
      </c>
      <c r="BE74" s="103">
        <f t="shared" si="14"/>
        <v>58.259999999999991</v>
      </c>
      <c r="BF74" s="103">
        <f t="shared" si="14"/>
        <v>58.629999999999995</v>
      </c>
      <c r="BG74" s="103">
        <f t="shared" si="14"/>
        <v>59</v>
      </c>
    </row>
    <row r="75" spans="12:59">
      <c r="T75" s="103"/>
      <c r="U75" s="103"/>
    </row>
    <row r="76" spans="12:59">
      <c r="T76" s="103"/>
      <c r="U76" s="103"/>
    </row>
    <row r="77" spans="12:59">
      <c r="T77" s="103"/>
      <c r="U77" s="103"/>
    </row>
    <row r="78" spans="12:59">
      <c r="T78" s="103"/>
      <c r="U78" s="103"/>
    </row>
    <row r="79" spans="12:59">
      <c r="T79" s="103"/>
      <c r="U79" s="103"/>
    </row>
    <row r="80" spans="12:59">
      <c r="T80" s="103"/>
      <c r="U80" s="103"/>
    </row>
    <row r="81" spans="20:21">
      <c r="T81" s="103"/>
      <c r="U81" s="103"/>
    </row>
    <row r="82" spans="20:21">
      <c r="T82" s="103"/>
      <c r="U82" s="103"/>
    </row>
    <row r="83" spans="20:21">
      <c r="T83" s="103"/>
      <c r="U83" s="103"/>
    </row>
    <row r="84" spans="20:21">
      <c r="T84" s="103"/>
      <c r="U84" s="103"/>
    </row>
    <row r="85" spans="20:21">
      <c r="T85" s="103"/>
      <c r="U85" s="103"/>
    </row>
    <row r="86" spans="20:21">
      <c r="T86" s="103"/>
      <c r="U86" s="103"/>
    </row>
    <row r="87" spans="20:21" s="112" customFormat="1"/>
    <row r="88" spans="20:21">
      <c r="T88" s="103"/>
      <c r="U88" s="103"/>
    </row>
    <row r="89" spans="20:21">
      <c r="T89" s="103"/>
      <c r="U89" s="103"/>
    </row>
    <row r="90" spans="20:21">
      <c r="T90" s="103"/>
      <c r="U90" s="103"/>
    </row>
    <row r="91" spans="20:21">
      <c r="T91" s="103"/>
      <c r="U91" s="103"/>
    </row>
    <row r="92" spans="20:21">
      <c r="T92" s="103"/>
      <c r="U92" s="103"/>
    </row>
    <row r="93" spans="20:21">
      <c r="T93" s="103"/>
      <c r="U93" s="103"/>
    </row>
    <row r="94" spans="20:21">
      <c r="T94" s="103"/>
      <c r="U94" s="103"/>
    </row>
    <row r="95" spans="20:21">
      <c r="T95" s="103"/>
      <c r="U95" s="103"/>
    </row>
    <row r="96" spans="20:21">
      <c r="T96" s="103"/>
      <c r="U96" s="103"/>
    </row>
    <row r="97" spans="15:21">
      <c r="T97" s="103"/>
      <c r="U97" s="103"/>
    </row>
    <row r="98" spans="15:21">
      <c r="T98" s="103"/>
      <c r="U98" s="103"/>
    </row>
    <row r="104" spans="15:21">
      <c r="O104" t="s">
        <v>522</v>
      </c>
      <c r="R104" t="s">
        <v>592</v>
      </c>
    </row>
    <row r="105" spans="15:21">
      <c r="O105" t="s">
        <v>523</v>
      </c>
      <c r="R105">
        <v>43.5</v>
      </c>
    </row>
    <row r="106" spans="15:21">
      <c r="O106" s="103" t="s">
        <v>524</v>
      </c>
      <c r="R106">
        <v>15</v>
      </c>
    </row>
    <row r="107" spans="15:21">
      <c r="O107" t="s">
        <v>645</v>
      </c>
      <c r="R107">
        <f>FloorAreaPer!H167</f>
        <v>15</v>
      </c>
    </row>
  </sheetData>
  <mergeCells count="1">
    <mergeCell ref="A1:R1"/>
  </mergeCells>
  <phoneticPr fontId="3" type="noConversion"/>
  <pageMargins left="0.7" right="0.7" top="0.75" bottom="0.75" header="0.3" footer="0.3"/>
  <pageSetup paperSize="9"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tabColor theme="4" tint="0.79998168889431442"/>
  </sheetPr>
  <dimension ref="A1:AP85"/>
  <sheetViews>
    <sheetView showGridLines="0" zoomScale="81" zoomScaleNormal="100" zoomScaleSheetLayoutView="100" workbookViewId="0">
      <pane xSplit="1" ySplit="1" topLeftCell="B2" activePane="bottomRight" state="frozen"/>
      <selection activeCell="B6" sqref="B6"/>
      <selection pane="topRight" activeCell="B6" sqref="B6"/>
      <selection pane="bottomLeft" activeCell="B6" sqref="B6"/>
      <selection pane="bottomRight" activeCell="G49" sqref="G49"/>
    </sheetView>
  </sheetViews>
  <sheetFormatPr defaultColWidth="9.28515625" defaultRowHeight="15" outlineLevelRow="1" outlineLevelCol="1"/>
  <cols>
    <col min="1" max="1" width="20.42578125" style="237" customWidth="1"/>
    <col min="2" max="2" width="12.28515625" style="236" customWidth="1"/>
    <col min="3" max="3" width="19.5703125" style="236" customWidth="1"/>
    <col min="4" max="4" width="12.5703125" style="236" customWidth="1"/>
    <col min="5" max="5" width="12.28515625" style="236" customWidth="1"/>
    <col min="6" max="6" width="12" style="236" customWidth="1"/>
    <col min="7" max="7" width="16.28515625" style="237" customWidth="1"/>
    <col min="8" max="8" width="16.7109375" style="237" customWidth="1"/>
    <col min="9" max="9" width="17.28515625" style="237" customWidth="1"/>
    <col min="10" max="10" width="13.7109375" style="237" customWidth="1"/>
    <col min="11" max="11" width="10.5703125" style="237" customWidth="1"/>
    <col min="12" max="12" width="11.42578125" style="237" customWidth="1"/>
    <col min="13" max="14" width="10.42578125" style="237" customWidth="1"/>
    <col min="15" max="15" width="12.42578125" style="237" customWidth="1"/>
    <col min="16" max="16" width="9.42578125" style="237" customWidth="1"/>
    <col min="17" max="17" width="9.7109375" style="237" customWidth="1"/>
    <col min="18" max="18" width="15.7109375" style="237" customWidth="1"/>
    <col min="19" max="19" width="9.42578125" style="237" customWidth="1"/>
    <col min="20" max="20" width="14.5703125" style="237" customWidth="1" outlineLevel="1"/>
    <col min="21" max="21" width="12.7109375" style="237" customWidth="1" outlineLevel="1"/>
    <col min="22" max="24" width="12.7109375" style="237" customWidth="1"/>
    <col min="25" max="25" width="28.42578125" style="237" customWidth="1"/>
    <col min="26" max="26" width="12.28515625" style="236" bestFit="1" customWidth="1"/>
    <col min="27" max="27" width="12.42578125" style="236" bestFit="1" customWidth="1"/>
    <col min="28" max="28" width="17.42578125" style="236" bestFit="1" customWidth="1"/>
    <col min="29" max="29" width="11.5703125" style="236" customWidth="1"/>
    <col min="30" max="30" width="14.7109375" style="236" bestFit="1" customWidth="1"/>
    <col min="31" max="33" width="13.5703125" style="236" customWidth="1"/>
    <col min="34" max="34" width="12.42578125" style="236" bestFit="1" customWidth="1"/>
    <col min="35" max="35" width="12.5703125" style="236" bestFit="1" customWidth="1"/>
    <col min="36" max="36" width="9.28515625" style="236" bestFit="1" customWidth="1"/>
    <col min="37" max="37" width="10.42578125" style="236" bestFit="1" customWidth="1"/>
    <col min="38" max="38" width="9.7109375" style="236" customWidth="1"/>
    <col min="39" max="39" width="10.28515625" style="236" bestFit="1" customWidth="1"/>
    <col min="40" max="40" width="20.5703125" style="236" customWidth="1"/>
    <col min="41" max="16384" width="9.28515625" style="237"/>
  </cols>
  <sheetData>
    <row r="1" spans="1:40" ht="31.5" customHeight="1">
      <c r="A1" s="235" t="s">
        <v>844</v>
      </c>
      <c r="B1" s="235"/>
      <c r="D1" s="237"/>
      <c r="E1" s="238" t="s">
        <v>845</v>
      </c>
      <c r="F1" s="239">
        <f>+[2]FRAMEWORK!$B$2</f>
        <v>43599</v>
      </c>
      <c r="G1" s="238" t="s">
        <v>846</v>
      </c>
      <c r="H1" s="239" t="str">
        <f>+[2]FRAMEWORK!$D$2</f>
        <v>Core higher population</v>
      </c>
      <c r="I1" s="240"/>
      <c r="J1" s="241" t="s">
        <v>847</v>
      </c>
      <c r="K1" s="242" t="s">
        <v>848</v>
      </c>
      <c r="L1" s="243" t="s">
        <v>849</v>
      </c>
      <c r="M1" s="244" t="s">
        <v>850</v>
      </c>
      <c r="N1" s="245" t="s">
        <v>851</v>
      </c>
      <c r="T1" s="235"/>
      <c r="U1" s="236"/>
      <c r="V1" s="246"/>
      <c r="X1" s="247" t="s">
        <v>852</v>
      </c>
      <c r="Y1" s="235" t="s">
        <v>844</v>
      </c>
      <c r="Z1" s="237"/>
      <c r="AA1" s="237"/>
      <c r="AB1" s="238" t="s">
        <v>845</v>
      </c>
      <c r="AC1" s="239">
        <f>+[2]FRAMEWORK!$B$2</f>
        <v>43599</v>
      </c>
      <c r="AD1" s="238" t="s">
        <v>846</v>
      </c>
      <c r="AE1" s="239" t="str">
        <f>+[2]FRAMEWORK!$D$2</f>
        <v>Core higher population</v>
      </c>
      <c r="AF1" s="248"/>
      <c r="AG1" s="249" t="s">
        <v>847</v>
      </c>
      <c r="AH1" s="250" t="s">
        <v>853</v>
      </c>
      <c r="AI1" s="251" t="s">
        <v>854</v>
      </c>
      <c r="AJ1" s="252"/>
      <c r="AN1" s="253" t="s">
        <v>855</v>
      </c>
    </row>
    <row r="2" spans="1:40" s="254" customFormat="1" ht="18.75" customHeight="1">
      <c r="A2" s="637" t="s">
        <v>856</v>
      </c>
      <c r="B2" s="639" t="s">
        <v>857</v>
      </c>
      <c r="C2" s="641" t="s">
        <v>858</v>
      </c>
      <c r="D2" s="643" t="s">
        <v>859</v>
      </c>
      <c r="E2" s="644"/>
      <c r="F2" s="644"/>
      <c r="G2" s="644"/>
      <c r="H2" s="644"/>
      <c r="I2" s="644"/>
      <c r="J2" s="645"/>
      <c r="K2" s="645"/>
      <c r="L2" s="646"/>
      <c r="M2" s="640" t="s">
        <v>860</v>
      </c>
      <c r="N2" s="645"/>
      <c r="O2" s="644"/>
      <c r="P2" s="644"/>
      <c r="Q2" s="647"/>
      <c r="R2" s="648" t="s">
        <v>861</v>
      </c>
      <c r="U2" s="255"/>
      <c r="V2" s="256" t="s">
        <v>862</v>
      </c>
      <c r="W2" s="236"/>
      <c r="X2" s="236"/>
      <c r="Y2" s="236"/>
      <c r="Z2" s="257"/>
      <c r="AA2" s="257"/>
      <c r="AB2" s="257"/>
      <c r="AC2" s="257"/>
      <c r="AD2" s="257"/>
      <c r="AE2" s="257"/>
      <c r="AF2" s="257"/>
      <c r="AG2" s="257"/>
      <c r="AH2" s="257"/>
      <c r="AI2" s="257"/>
      <c r="AJ2" s="257"/>
      <c r="AK2" s="257"/>
      <c r="AL2" s="257"/>
      <c r="AM2" s="257"/>
      <c r="AN2" s="257"/>
    </row>
    <row r="3" spans="1:40" s="185" customFormat="1" ht="45" customHeight="1">
      <c r="A3" s="638"/>
      <c r="B3" s="640"/>
      <c r="C3" s="642"/>
      <c r="D3" s="258" t="s">
        <v>863</v>
      </c>
      <c r="E3" s="258" t="s">
        <v>864</v>
      </c>
      <c r="F3" s="258" t="s">
        <v>865</v>
      </c>
      <c r="G3" s="258" t="s">
        <v>866</v>
      </c>
      <c r="H3" s="258" t="s">
        <v>867</v>
      </c>
      <c r="I3" s="258" t="s">
        <v>868</v>
      </c>
      <c r="J3" s="258" t="s">
        <v>869</v>
      </c>
      <c r="K3" s="258" t="s">
        <v>870</v>
      </c>
      <c r="L3" s="258" t="s">
        <v>738</v>
      </c>
      <c r="M3" s="258" t="s">
        <v>871</v>
      </c>
      <c r="N3" s="258" t="s">
        <v>864</v>
      </c>
      <c r="O3" s="258" t="s">
        <v>68</v>
      </c>
      <c r="P3" s="258" t="s">
        <v>870</v>
      </c>
      <c r="Q3" s="258" t="s">
        <v>872</v>
      </c>
      <c r="R3" s="649"/>
      <c r="S3" s="259"/>
      <c r="T3" s="259"/>
      <c r="U3" s="260"/>
      <c r="V3" s="237"/>
      <c r="W3" s="624" t="s">
        <v>873</v>
      </c>
      <c r="X3" s="625"/>
      <c r="Y3" s="261"/>
      <c r="Z3" s="236"/>
      <c r="AA3" s="236"/>
      <c r="AB3" s="236"/>
      <c r="AC3" s="236"/>
      <c r="AD3" s="236"/>
      <c r="AE3" s="236"/>
      <c r="AF3" s="236"/>
      <c r="AG3" s="236"/>
      <c r="AH3" s="236"/>
      <c r="AI3" s="236"/>
      <c r="AJ3" s="236"/>
      <c r="AK3" s="236"/>
      <c r="AL3" s="236"/>
      <c r="AM3" s="236"/>
      <c r="AN3" s="236"/>
    </row>
    <row r="4" spans="1:40" ht="15" customHeight="1">
      <c r="A4" s="262" t="s">
        <v>874</v>
      </c>
      <c r="B4" s="263"/>
      <c r="C4" s="264"/>
      <c r="D4" s="264"/>
      <c r="E4" s="264"/>
      <c r="F4" s="264"/>
      <c r="G4" s="264"/>
      <c r="H4" s="264"/>
      <c r="I4" s="264"/>
      <c r="J4" s="264"/>
      <c r="K4" s="264"/>
      <c r="L4" s="264"/>
      <c r="M4" s="264"/>
      <c r="N4" s="264"/>
      <c r="O4" s="264"/>
      <c r="P4" s="264"/>
      <c r="Q4" s="264"/>
      <c r="R4" s="265"/>
      <c r="U4" s="266"/>
      <c r="W4" s="267">
        <v>2016</v>
      </c>
      <c r="X4" s="268">
        <v>2050</v>
      </c>
      <c r="Y4" s="269"/>
    </row>
    <row r="5" spans="1:40">
      <c r="A5" s="270" t="s">
        <v>875</v>
      </c>
      <c r="B5" s="271">
        <f>'[2]Key parameters rpt'!O25</f>
        <v>0.4</v>
      </c>
      <c r="C5" s="272">
        <f>'[2]Key parameters rpt'!O27</f>
        <v>2174901.2425941145</v>
      </c>
      <c r="D5" s="273"/>
      <c r="E5" s="274">
        <f>'[2]Key parameters rpt'!O36</f>
        <v>0.55000000000000004</v>
      </c>
      <c r="F5" s="274">
        <f>'[2]Key parameters rpt'!$O$33</f>
        <v>0.1</v>
      </c>
      <c r="G5" s="275"/>
      <c r="H5" s="274">
        <f>'[2]Key parameters rpt'!$O$34</f>
        <v>0.5</v>
      </c>
      <c r="I5" s="274">
        <f>'[2]Key parameters rpt'!$O$35</f>
        <v>0.35</v>
      </c>
      <c r="J5" s="274">
        <f>'[2]Key parameters rpt'!$O$37</f>
        <v>0.08</v>
      </c>
      <c r="K5" s="276">
        <f>AVERAGE(E5:J5)</f>
        <v>0.316</v>
      </c>
      <c r="L5" s="277"/>
      <c r="M5" s="277"/>
      <c r="N5" s="278">
        <f>'[2]Key parameters rpt'!$O$36</f>
        <v>0.55000000000000004</v>
      </c>
      <c r="O5" s="278">
        <f>'[2]Key parameters rpt'!O34</f>
        <v>0.5</v>
      </c>
      <c r="P5" s="276">
        <f>AVERAGE(N5:O5)</f>
        <v>0.52500000000000002</v>
      </c>
      <c r="Q5" s="277"/>
      <c r="R5" s="279">
        <f>'[2]Key parameters rpt'!$O$41</f>
        <v>0</v>
      </c>
      <c r="U5" s="266"/>
      <c r="V5" s="280" t="s">
        <v>876</v>
      </c>
      <c r="W5" s="281">
        <f>Y30</f>
        <v>8318.1618261587591</v>
      </c>
      <c r="X5" s="281">
        <f>Y51</f>
        <v>138.12678197719634</v>
      </c>
      <c r="Y5" s="281"/>
    </row>
    <row r="6" spans="1:40">
      <c r="A6" s="270" t="s">
        <v>877</v>
      </c>
      <c r="B6" s="271">
        <f>'[2]Key parameters rpt'!O26</f>
        <v>0.6</v>
      </c>
      <c r="C6" s="272">
        <f>'[2]Key parameters rpt'!O28</f>
        <v>2121852.1582866181</v>
      </c>
      <c r="D6" s="277"/>
      <c r="E6" s="274">
        <f>'[2]Key parameters rpt'!O36</f>
        <v>0.55000000000000004</v>
      </c>
      <c r="F6" s="274">
        <f>'[2]Key parameters rpt'!$O$33</f>
        <v>0.1</v>
      </c>
      <c r="G6" s="275"/>
      <c r="H6" s="274">
        <f>'[2]Key parameters rpt'!$O$34</f>
        <v>0.5</v>
      </c>
      <c r="I6" s="274">
        <f>'[2]Key parameters rpt'!$O$35</f>
        <v>0.35</v>
      </c>
      <c r="J6" s="274">
        <f>'[2]Key parameters rpt'!$O$37</f>
        <v>0.08</v>
      </c>
      <c r="K6" s="276">
        <f>AVERAGE(E6:J6)</f>
        <v>0.316</v>
      </c>
      <c r="L6" s="276"/>
      <c r="M6" s="277"/>
      <c r="N6" s="278">
        <f>'[2]Key parameters rpt'!$O$36</f>
        <v>0.55000000000000004</v>
      </c>
      <c r="O6" s="278">
        <f>'[2]Key parameters rpt'!O35</f>
        <v>0.35</v>
      </c>
      <c r="P6" s="276">
        <f>AVERAGE(N6:O6)</f>
        <v>0.45</v>
      </c>
      <c r="Q6" s="277"/>
      <c r="R6" s="279">
        <f>'[2]Key parameters rpt'!$O$41</f>
        <v>0</v>
      </c>
      <c r="U6" s="266"/>
      <c r="V6" s="280" t="s">
        <v>727</v>
      </c>
      <c r="W6" s="281">
        <f>Y33</f>
        <v>18461.146452432065</v>
      </c>
      <c r="X6" s="281">
        <f>Y54</f>
        <v>209.22299843245273</v>
      </c>
      <c r="Y6" s="281"/>
    </row>
    <row r="7" spans="1:40">
      <c r="A7" s="262" t="s">
        <v>727</v>
      </c>
      <c r="B7" s="282"/>
      <c r="C7" s="272">
        <f>'[2]Key parameters rpt'!O30</f>
        <v>5.9026996398998897</v>
      </c>
      <c r="D7" s="277"/>
      <c r="E7" s="274">
        <f>'[2]Key parameters rpt'!O36</f>
        <v>0.55000000000000004</v>
      </c>
      <c r="F7" s="274">
        <f>'[2]Key parameters rpt'!$O$33</f>
        <v>0.1</v>
      </c>
      <c r="G7" s="275"/>
      <c r="H7" s="274">
        <f>'[2]Key parameters rpt'!$O$34</f>
        <v>0.5</v>
      </c>
      <c r="I7" s="274">
        <f>'[2]Key parameters rpt'!$O$35</f>
        <v>0.35</v>
      </c>
      <c r="J7" s="274">
        <f>'[2]Key parameters rpt'!$O$37</f>
        <v>0.08</v>
      </c>
      <c r="K7" s="276">
        <f>AVERAGE(E7:J7)</f>
        <v>0.316</v>
      </c>
      <c r="L7" s="276"/>
      <c r="M7" s="277"/>
      <c r="N7" s="278">
        <f>'[2]Key parameters rpt'!$O$36</f>
        <v>0.55000000000000004</v>
      </c>
      <c r="O7" s="278">
        <f>'[2]Key parameters rpt'!O36</f>
        <v>0.55000000000000004</v>
      </c>
      <c r="P7" s="276">
        <f>AVERAGE(N7:O7)</f>
        <v>0.55000000000000004</v>
      </c>
      <c r="Q7" s="277"/>
      <c r="R7" s="279">
        <f>'[2]Key parameters rpt'!$O$41</f>
        <v>0</v>
      </c>
      <c r="U7" s="266"/>
      <c r="V7" s="280" t="s">
        <v>734</v>
      </c>
      <c r="W7" s="281">
        <f>Y41</f>
        <v>1783.1720574981559</v>
      </c>
      <c r="X7" s="281">
        <f>Y62</f>
        <v>28.11811987628359</v>
      </c>
      <c r="Y7" s="281"/>
    </row>
    <row r="8" spans="1:40" ht="15.75" thickBot="1">
      <c r="A8" s="283" t="s">
        <v>734</v>
      </c>
      <c r="B8" s="284"/>
      <c r="C8" s="285">
        <f>'[2]Key parameters rpt'!O31</f>
        <v>3.6728616334859097</v>
      </c>
      <c r="D8" s="286">
        <f>'[2]Key parameters rpt'!O38</f>
        <v>0.15</v>
      </c>
      <c r="E8" s="287"/>
      <c r="F8" s="288">
        <f>'[2]Key parameters rpt'!$O$33</f>
        <v>0.1</v>
      </c>
      <c r="G8" s="287"/>
      <c r="H8" s="287"/>
      <c r="I8" s="288">
        <f>'[2]Key parameters rpt'!$O$35</f>
        <v>0.35</v>
      </c>
      <c r="J8" s="287"/>
      <c r="K8" s="289">
        <f>AVERAGE(E8:J8)</f>
        <v>0.22499999999999998</v>
      </c>
      <c r="L8" s="290"/>
      <c r="M8" s="288">
        <f>'[2]Key parameters rpt'!$O$37</f>
        <v>0.08</v>
      </c>
      <c r="N8" s="287"/>
      <c r="O8" s="287"/>
      <c r="P8" s="290">
        <f>AVERAGE(M8:O8)</f>
        <v>0.08</v>
      </c>
      <c r="Q8" s="287"/>
      <c r="R8" s="291"/>
      <c r="U8" s="266"/>
      <c r="V8" s="237" t="s">
        <v>872</v>
      </c>
      <c r="W8" s="292">
        <f>SUM(W5:W7)</f>
        <v>28562.480336088982</v>
      </c>
      <c r="X8" s="292">
        <f>SUM(X5:X7)</f>
        <v>375.46790028593261</v>
      </c>
      <c r="Y8" s="293"/>
    </row>
    <row r="9" spans="1:40" s="294" customFormat="1" ht="12.75" customHeight="1" thickTop="1">
      <c r="B9" s="295"/>
      <c r="C9" s="296"/>
      <c r="D9" s="297"/>
      <c r="E9" s="295"/>
      <c r="F9" s="297"/>
      <c r="H9" s="295"/>
      <c r="I9" s="297"/>
      <c r="J9" s="295"/>
      <c r="K9" s="298"/>
      <c r="L9" s="299"/>
      <c r="M9" s="300"/>
      <c r="N9" s="295"/>
      <c r="O9" s="295"/>
      <c r="P9" s="301"/>
      <c r="Q9" s="295"/>
      <c r="R9" s="297"/>
      <c r="U9" s="302"/>
      <c r="V9" s="298"/>
      <c r="W9" s="303"/>
      <c r="Z9" s="304"/>
      <c r="AA9" s="304"/>
      <c r="AB9" s="304"/>
      <c r="AC9" s="304"/>
      <c r="AD9" s="304"/>
      <c r="AE9" s="304"/>
      <c r="AF9" s="304"/>
      <c r="AG9" s="304"/>
      <c r="AH9" s="304"/>
      <c r="AI9" s="304"/>
      <c r="AJ9" s="304"/>
      <c r="AK9" s="304"/>
      <c r="AL9" s="304"/>
      <c r="AM9" s="304"/>
      <c r="AN9" s="304"/>
    </row>
    <row r="10" spans="1:40" s="306" customFormat="1">
      <c r="A10" s="305" t="s">
        <v>878</v>
      </c>
      <c r="D10" s="298" t="s">
        <v>879</v>
      </c>
      <c r="E10" s="307"/>
      <c r="F10" s="308"/>
      <c r="G10" s="237" t="s">
        <v>880</v>
      </c>
      <c r="H10" s="307"/>
      <c r="I10" s="308"/>
      <c r="J10" s="307"/>
      <c r="K10" s="237"/>
      <c r="L10" s="309"/>
      <c r="M10" s="310"/>
      <c r="N10" s="307"/>
      <c r="O10" s="307"/>
      <c r="P10" s="311"/>
      <c r="Q10" s="307"/>
      <c r="R10" s="308"/>
      <c r="U10" s="312"/>
      <c r="V10" s="312"/>
      <c r="W10" s="312"/>
      <c r="X10" s="312"/>
      <c r="Y10" s="312"/>
      <c r="Z10" s="313"/>
      <c r="AA10" s="313"/>
      <c r="AB10" s="313"/>
      <c r="AC10" s="313"/>
      <c r="AD10" s="313"/>
      <c r="AE10" s="313"/>
      <c r="AF10" s="313"/>
      <c r="AG10" s="313"/>
      <c r="AH10" s="313"/>
      <c r="AI10" s="313"/>
      <c r="AJ10" s="313"/>
      <c r="AK10" s="313"/>
      <c r="AL10" s="313"/>
      <c r="AM10" s="313"/>
      <c r="AN10" s="313"/>
    </row>
    <row r="11" spans="1:40" s="306" customFormat="1">
      <c r="A11" s="237"/>
      <c r="D11" s="308"/>
      <c r="E11" s="307"/>
      <c r="F11" s="308"/>
      <c r="G11" s="308"/>
      <c r="H11" s="307"/>
      <c r="I11" s="308"/>
      <c r="J11" s="307"/>
      <c r="K11" s="314" t="s">
        <v>881</v>
      </c>
      <c r="L11" s="315"/>
      <c r="M11" s="316"/>
      <c r="N11" s="317">
        <v>2016</v>
      </c>
      <c r="O11" s="318">
        <v>2050</v>
      </c>
      <c r="P11" s="310"/>
      <c r="Q11" s="307"/>
      <c r="R11" s="308"/>
      <c r="U11" s="312"/>
      <c r="V11" s="312"/>
      <c r="W11" s="312"/>
      <c r="X11" s="312"/>
      <c r="Y11" s="312"/>
      <c r="Z11" s="313"/>
      <c r="AA11" s="313"/>
      <c r="AB11" s="313"/>
      <c r="AC11" s="313"/>
      <c r="AD11" s="313"/>
      <c r="AE11" s="313"/>
      <c r="AF11" s="313"/>
      <c r="AG11" s="313"/>
      <c r="AH11" s="313"/>
      <c r="AI11" s="313"/>
      <c r="AJ11" s="313"/>
      <c r="AK11" s="313"/>
      <c r="AL11" s="313"/>
      <c r="AM11" s="313"/>
      <c r="AN11" s="313"/>
    </row>
    <row r="12" spans="1:40" s="306" customFormat="1">
      <c r="D12" s="308"/>
      <c r="E12" s="307"/>
      <c r="F12" s="308"/>
      <c r="G12" s="308"/>
      <c r="H12" s="307"/>
      <c r="I12" s="308"/>
      <c r="J12" s="307"/>
      <c r="K12" s="319" t="s">
        <v>810</v>
      </c>
      <c r="L12" s="320" t="s">
        <v>882</v>
      </c>
      <c r="M12" s="321"/>
      <c r="N12" s="322">
        <f>[2]Electricity!$I$94</f>
        <v>0.59421285392666068</v>
      </c>
      <c r="O12" s="323">
        <f>[2]Electricity!$K$6</f>
        <v>8.765039029278613E-3</v>
      </c>
      <c r="P12" s="310"/>
      <c r="Q12" s="307"/>
      <c r="R12" s="308"/>
      <c r="U12" s="312"/>
      <c r="V12" s="312"/>
      <c r="W12" s="312"/>
      <c r="X12" s="312"/>
      <c r="Y12" s="312"/>
      <c r="Z12" s="313"/>
      <c r="AA12" s="313"/>
      <c r="AB12" s="313"/>
      <c r="AC12" s="313"/>
      <c r="AD12" s="313"/>
      <c r="AE12" s="313"/>
      <c r="AF12" s="313"/>
      <c r="AG12" s="313"/>
      <c r="AH12" s="313"/>
      <c r="AI12" s="313"/>
      <c r="AJ12" s="313"/>
      <c r="AK12" s="313"/>
      <c r="AL12" s="313"/>
      <c r="AM12" s="313"/>
      <c r="AN12" s="313"/>
    </row>
    <row r="13" spans="1:40" s="306" customFormat="1">
      <c r="D13" s="308"/>
      <c r="E13" s="307"/>
      <c r="F13" s="308"/>
      <c r="G13" s="308"/>
      <c r="H13" s="307"/>
      <c r="I13" s="308"/>
      <c r="J13" s="307"/>
      <c r="K13" s="319" t="s">
        <v>883</v>
      </c>
      <c r="L13" s="320" t="s">
        <v>884</v>
      </c>
      <c r="M13" s="321"/>
      <c r="N13" s="324">
        <v>65437.5</v>
      </c>
      <c r="O13" s="325">
        <v>65437.5</v>
      </c>
      <c r="P13" s="310"/>
      <c r="Q13" s="307"/>
      <c r="R13" s="308"/>
      <c r="U13" s="312"/>
      <c r="V13" s="312"/>
      <c r="W13" s="312"/>
      <c r="X13" s="312"/>
      <c r="Y13" s="312"/>
      <c r="Z13" s="313"/>
      <c r="AA13" s="313"/>
      <c r="AB13" s="313"/>
      <c r="AC13" s="313"/>
      <c r="AD13" s="313"/>
      <c r="AE13" s="313"/>
      <c r="AF13" s="313"/>
      <c r="AG13" s="313"/>
      <c r="AH13" s="313"/>
      <c r="AI13" s="313"/>
      <c r="AJ13" s="313"/>
      <c r="AK13" s="313"/>
      <c r="AL13" s="313"/>
      <c r="AM13" s="313"/>
      <c r="AN13" s="313"/>
    </row>
    <row r="14" spans="1:40" s="306" customFormat="1">
      <c r="A14" s="237"/>
      <c r="D14" s="308"/>
      <c r="E14" s="307"/>
      <c r="F14" s="308"/>
      <c r="G14" s="308"/>
      <c r="H14" s="307"/>
      <c r="I14" s="308"/>
      <c r="J14" s="307"/>
      <c r="K14" s="326"/>
      <c r="L14" s="321"/>
      <c r="M14" s="310"/>
      <c r="N14" s="307"/>
      <c r="O14" s="327"/>
      <c r="P14" s="310"/>
      <c r="Q14" s="307"/>
      <c r="R14" s="308"/>
      <c r="U14" s="312"/>
      <c r="V14" s="312"/>
      <c r="W14" s="312"/>
      <c r="X14" s="312"/>
      <c r="Y14" s="312"/>
      <c r="Z14" s="313"/>
      <c r="AA14" s="313"/>
      <c r="AB14" s="313"/>
      <c r="AC14" s="313"/>
      <c r="AD14" s="313"/>
      <c r="AE14" s="313"/>
      <c r="AF14" s="313"/>
      <c r="AG14" s="313"/>
      <c r="AH14" s="313"/>
      <c r="AI14" s="313"/>
      <c r="AJ14" s="313"/>
      <c r="AK14" s="313"/>
      <c r="AL14" s="313"/>
      <c r="AM14" s="313"/>
      <c r="AN14" s="313"/>
    </row>
    <row r="15" spans="1:40" s="306" customFormat="1">
      <c r="A15" s="237"/>
      <c r="D15" s="308"/>
      <c r="E15" s="307"/>
      <c r="F15" s="308"/>
      <c r="G15" s="308"/>
      <c r="H15" s="307"/>
      <c r="I15" s="308"/>
      <c r="J15" s="307"/>
      <c r="K15" s="328" t="s">
        <v>885</v>
      </c>
      <c r="L15" s="308"/>
      <c r="M15" s="310"/>
      <c r="N15" s="307"/>
      <c r="O15" s="327"/>
      <c r="P15" s="310"/>
      <c r="Q15" s="307"/>
      <c r="R15" s="308"/>
      <c r="U15" s="312"/>
      <c r="V15" s="312"/>
      <c r="W15" s="312"/>
      <c r="X15" s="312"/>
      <c r="Y15" s="312"/>
      <c r="Z15" s="313"/>
      <c r="AA15" s="313"/>
      <c r="AB15" s="313"/>
      <c r="AC15" s="313"/>
      <c r="AD15" s="313"/>
      <c r="AE15" s="313"/>
      <c r="AF15" s="313"/>
      <c r="AG15" s="313"/>
      <c r="AH15" s="313"/>
      <c r="AI15" s="313"/>
      <c r="AJ15" s="313"/>
      <c r="AK15" s="313"/>
      <c r="AL15" s="313"/>
      <c r="AM15" s="313"/>
      <c r="AN15" s="313"/>
    </row>
    <row r="16" spans="1:40" s="306" customFormat="1">
      <c r="A16" s="237"/>
      <c r="D16" s="308"/>
      <c r="E16" s="307"/>
      <c r="F16" s="308"/>
      <c r="G16" s="308"/>
      <c r="H16" s="307"/>
      <c r="I16" s="308"/>
      <c r="J16" s="307"/>
      <c r="K16" s="329" t="s">
        <v>886</v>
      </c>
      <c r="L16" s="330"/>
      <c r="M16" s="331"/>
      <c r="N16" s="332"/>
      <c r="O16" s="333"/>
      <c r="P16" s="310"/>
      <c r="Q16" s="307"/>
      <c r="R16" s="308"/>
      <c r="U16" s="312"/>
      <c r="V16" s="312"/>
      <c r="W16" s="312"/>
      <c r="X16" s="312"/>
      <c r="Y16" s="312"/>
      <c r="Z16" s="313"/>
      <c r="AA16" s="313"/>
      <c r="AB16" s="313"/>
      <c r="AC16" s="313"/>
      <c r="AD16" s="313"/>
      <c r="AE16" s="313"/>
      <c r="AF16" s="313"/>
      <c r="AG16" s="313"/>
      <c r="AH16" s="313"/>
      <c r="AI16" s="313"/>
      <c r="AJ16" s="313"/>
      <c r="AK16" s="313"/>
      <c r="AL16" s="313"/>
      <c r="AM16" s="313"/>
      <c r="AN16" s="313"/>
    </row>
    <row r="17" spans="1:42" s="306" customFormat="1">
      <c r="A17" s="237"/>
      <c r="D17" s="308"/>
      <c r="E17" s="307"/>
      <c r="F17" s="308"/>
      <c r="G17" s="308"/>
      <c r="H17" s="307"/>
      <c r="I17" s="308"/>
      <c r="J17" s="307"/>
      <c r="K17" s="310"/>
      <c r="M17" s="310"/>
      <c r="N17" s="307"/>
      <c r="O17" s="307"/>
      <c r="P17" s="310"/>
      <c r="Q17" s="307"/>
      <c r="R17" s="308"/>
      <c r="U17" s="312"/>
      <c r="V17" s="312"/>
      <c r="W17" s="312"/>
      <c r="X17" s="312"/>
      <c r="Y17" s="312"/>
      <c r="Z17" s="313"/>
      <c r="AA17" s="313"/>
      <c r="AB17" s="313"/>
      <c r="AC17" s="313"/>
      <c r="AD17" s="313"/>
      <c r="AE17" s="313"/>
      <c r="AF17" s="313"/>
      <c r="AG17" s="313"/>
      <c r="AH17" s="313"/>
      <c r="AI17" s="313"/>
      <c r="AJ17" s="313"/>
      <c r="AK17" s="313"/>
      <c r="AL17" s="313"/>
      <c r="AM17" s="313"/>
      <c r="AN17" s="313"/>
    </row>
    <row r="18" spans="1:42" s="306" customFormat="1">
      <c r="A18" s="334"/>
      <c r="B18" s="307"/>
      <c r="C18" s="335"/>
      <c r="D18" s="308"/>
      <c r="E18" s="307"/>
      <c r="F18" s="308"/>
      <c r="G18" s="308"/>
      <c r="H18" s="307"/>
      <c r="I18" s="308"/>
      <c r="J18" s="307"/>
      <c r="K18" s="310"/>
      <c r="L18" s="308"/>
      <c r="M18" s="310"/>
      <c r="N18" s="307"/>
      <c r="O18" s="307"/>
      <c r="P18" s="310"/>
      <c r="Q18" s="307"/>
      <c r="R18" s="308"/>
      <c r="U18" s="312"/>
      <c r="V18" s="312"/>
      <c r="W18" s="312"/>
      <c r="X18" s="312"/>
      <c r="Y18" s="312"/>
      <c r="Z18" s="313"/>
      <c r="AA18" s="313"/>
      <c r="AB18" s="313"/>
      <c r="AC18" s="313"/>
      <c r="AD18" s="313"/>
      <c r="AE18" s="313"/>
      <c r="AF18" s="313"/>
      <c r="AG18" s="313"/>
      <c r="AH18" s="313"/>
      <c r="AI18" s="313"/>
      <c r="AJ18" s="313"/>
      <c r="AK18" s="313"/>
      <c r="AL18" s="313"/>
      <c r="AM18" s="313"/>
      <c r="AN18" s="313"/>
    </row>
    <row r="19" spans="1:42" s="306" customFormat="1">
      <c r="A19" s="334"/>
      <c r="B19" s="307"/>
      <c r="C19" s="335"/>
      <c r="D19" s="308"/>
      <c r="E19" s="307"/>
      <c r="F19" s="308"/>
      <c r="G19" s="308"/>
      <c r="H19" s="307"/>
      <c r="I19" s="308"/>
      <c r="J19" s="307"/>
      <c r="K19" s="310"/>
      <c r="L19" s="308"/>
      <c r="M19" s="310"/>
      <c r="N19" s="307"/>
      <c r="O19" s="307"/>
      <c r="P19" s="310"/>
      <c r="Q19" s="307"/>
      <c r="R19" s="308"/>
      <c r="U19" s="312"/>
      <c r="V19" s="312"/>
      <c r="W19" s="312"/>
      <c r="X19" s="312"/>
      <c r="Y19" s="312"/>
      <c r="Z19" s="336" t="s">
        <v>887</v>
      </c>
      <c r="AA19" s="337"/>
      <c r="AB19" s="316"/>
      <c r="AC19" s="337"/>
      <c r="AD19" s="337"/>
      <c r="AE19" s="337"/>
      <c r="AF19" s="338"/>
      <c r="AG19" s="339"/>
      <c r="AH19" s="339"/>
      <c r="AI19" s="313"/>
      <c r="AJ19" s="313"/>
      <c r="AK19" s="313"/>
      <c r="AL19" s="313"/>
      <c r="AM19" s="313"/>
      <c r="AN19" s="313"/>
    </row>
    <row r="20" spans="1:42" s="306" customFormat="1">
      <c r="A20" s="334"/>
      <c r="B20" s="307"/>
      <c r="C20" s="335"/>
      <c r="D20" s="308"/>
      <c r="E20" s="307"/>
      <c r="F20" s="308"/>
      <c r="G20" s="308"/>
      <c r="H20" s="307"/>
      <c r="I20" s="308"/>
      <c r="J20" s="307"/>
      <c r="K20" s="310"/>
      <c r="L20" s="308"/>
      <c r="M20" s="310"/>
      <c r="N20" s="307"/>
      <c r="O20" s="307"/>
      <c r="P20" s="310"/>
      <c r="Q20" s="307"/>
      <c r="R20" s="308"/>
      <c r="U20" s="312"/>
      <c r="V20" s="312"/>
      <c r="W20" s="312"/>
      <c r="X20" s="312"/>
      <c r="Y20" s="312"/>
      <c r="Z20" s="340" t="s">
        <v>888</v>
      </c>
      <c r="AA20" s="341"/>
      <c r="AB20" s="321"/>
      <c r="AC20" s="341"/>
      <c r="AD20" s="341"/>
      <c r="AE20" s="341"/>
      <c r="AF20" s="342"/>
      <c r="AG20" s="343"/>
      <c r="AH20" s="343"/>
      <c r="AI20" s="313"/>
      <c r="AJ20" s="313"/>
      <c r="AK20" s="313"/>
      <c r="AL20" s="313"/>
      <c r="AM20" s="313"/>
      <c r="AN20" s="313"/>
    </row>
    <row r="21" spans="1:42" s="306" customFormat="1">
      <c r="A21" s="334"/>
      <c r="B21" s="307"/>
      <c r="C21" s="335"/>
      <c r="D21" s="308"/>
      <c r="E21" s="307"/>
      <c r="F21" s="308"/>
      <c r="G21" s="308"/>
      <c r="H21" s="307"/>
      <c r="I21" s="308"/>
      <c r="J21" s="307"/>
      <c r="K21" s="310"/>
      <c r="L21" s="308"/>
      <c r="M21" s="310"/>
      <c r="N21" s="307"/>
      <c r="O21" s="307"/>
      <c r="P21" s="310"/>
      <c r="Q21" s="307"/>
      <c r="R21" s="308"/>
      <c r="U21" s="312"/>
      <c r="V21" s="312"/>
      <c r="W21" s="312"/>
      <c r="X21" s="312"/>
      <c r="Y21" s="312"/>
      <c r="Z21" s="344" t="s">
        <v>889</v>
      </c>
      <c r="AA21" s="341"/>
      <c r="AB21" s="321"/>
      <c r="AC21" s="345"/>
      <c r="AD21" s="345"/>
      <c r="AE21" s="321"/>
      <c r="AF21" s="342"/>
      <c r="AG21" s="346"/>
      <c r="AH21" s="343"/>
      <c r="AI21" s="313"/>
      <c r="AJ21" s="313"/>
      <c r="AK21" s="313"/>
      <c r="AL21" s="313"/>
      <c r="AM21" s="313"/>
      <c r="AN21" s="313"/>
    </row>
    <row r="22" spans="1:42" s="306" customFormat="1" ht="45">
      <c r="A22" s="334"/>
      <c r="B22" s="307"/>
      <c r="C22" s="335"/>
      <c r="D22" s="308"/>
      <c r="E22" s="307"/>
      <c r="F22" s="308"/>
      <c r="G22" s="308"/>
      <c r="H22" s="307"/>
      <c r="I22" s="308"/>
      <c r="J22" s="307"/>
      <c r="K22" s="310"/>
      <c r="L22" s="308"/>
      <c r="M22" s="310"/>
      <c r="N22" s="307"/>
      <c r="O22" s="307"/>
      <c r="P22" s="310"/>
      <c r="Q22" s="307"/>
      <c r="R22" s="308"/>
      <c r="U22" s="312"/>
      <c r="V22" s="312"/>
      <c r="W22" s="312"/>
      <c r="X22" s="312"/>
      <c r="Z22" s="347"/>
      <c r="AA22" s="348"/>
      <c r="AB22" s="349"/>
      <c r="AC22" s="349" t="s">
        <v>890</v>
      </c>
      <c r="AD22" s="350" t="s">
        <v>866</v>
      </c>
      <c r="AE22" s="351" t="s">
        <v>891</v>
      </c>
      <c r="AF22" s="352" t="s">
        <v>738</v>
      </c>
      <c r="AG22" s="353" t="s">
        <v>892</v>
      </c>
      <c r="AH22" s="352" t="s">
        <v>893</v>
      </c>
      <c r="AI22" s="313"/>
      <c r="AJ22" s="313"/>
      <c r="AK22" s="313"/>
      <c r="AL22" s="313"/>
      <c r="AM22" s="313"/>
      <c r="AN22" s="313"/>
    </row>
    <row r="23" spans="1:42" s="306" customFormat="1">
      <c r="A23" s="334"/>
      <c r="B23" s="307"/>
      <c r="C23" s="335"/>
      <c r="D23" s="308"/>
      <c r="E23" s="307"/>
      <c r="F23" s="308"/>
      <c r="G23" s="308"/>
      <c r="H23" s="307"/>
      <c r="I23" s="308"/>
      <c r="J23" s="307"/>
      <c r="K23" s="310"/>
      <c r="L23" s="308"/>
      <c r="M23" s="310"/>
      <c r="N23" s="307"/>
      <c r="O23" s="307"/>
      <c r="P23" s="310"/>
      <c r="Q23" s="307"/>
      <c r="R23" s="308"/>
      <c r="U23" s="312"/>
      <c r="V23" s="312"/>
      <c r="W23" s="312"/>
      <c r="X23" s="312"/>
      <c r="Z23" s="340" t="s">
        <v>894</v>
      </c>
      <c r="AA23" s="321"/>
      <c r="AB23" s="321"/>
      <c r="AC23" s="321"/>
      <c r="AD23" s="354">
        <v>0.35</v>
      </c>
      <c r="AE23" s="354">
        <v>0.2</v>
      </c>
      <c r="AF23" s="355"/>
      <c r="AG23" s="338"/>
      <c r="AH23" s="343"/>
      <c r="AI23" s="313"/>
      <c r="AJ23" s="313"/>
      <c r="AK23" s="313"/>
      <c r="AL23" s="313"/>
      <c r="AM23" s="313"/>
      <c r="AN23" s="313"/>
    </row>
    <row r="24" spans="1:42" s="306" customFormat="1">
      <c r="A24" s="334"/>
      <c r="B24" s="307"/>
      <c r="C24" s="335"/>
      <c r="D24" s="308"/>
      <c r="E24" s="307"/>
      <c r="F24" s="308"/>
      <c r="G24" s="308"/>
      <c r="H24" s="307"/>
      <c r="I24" s="308"/>
      <c r="J24" s="307"/>
      <c r="K24" s="310"/>
      <c r="L24" s="308"/>
      <c r="M24" s="310"/>
      <c r="N24" s="307"/>
      <c r="O24" s="307"/>
      <c r="P24" s="310"/>
      <c r="Q24" s="307"/>
      <c r="R24" s="308"/>
      <c r="U24" s="312"/>
      <c r="V24" s="312"/>
      <c r="W24" s="312"/>
      <c r="X24" s="312"/>
      <c r="Z24" s="626" t="s">
        <v>895</v>
      </c>
      <c r="AA24" s="627"/>
      <c r="AB24" s="627"/>
      <c r="AC24" s="356">
        <f>AF24-AE24-AD24</f>
        <v>48.741484970894732</v>
      </c>
      <c r="AD24" s="357">
        <f>'[2]Key parameters rpt'!O39*1000000/1000000</f>
        <v>2.21</v>
      </c>
      <c r="AE24" s="357">
        <f>($C$54-'[2]Key parameters rpt'!O39*1000000)*('[2]Key parameters rpt'!O40)/1000000</f>
        <v>2.5653413142576174</v>
      </c>
      <c r="AF24" s="358">
        <f>C54/1000000</f>
        <v>53.516826285152348</v>
      </c>
      <c r="AG24" s="359">
        <f>C54*AC54*'[2]EF-1'!$R$5/1000000000000-(SUM(H54:J54))</f>
        <v>745.54649073521432</v>
      </c>
      <c r="AH24" s="360">
        <f>AG24/3.6</f>
        <v>207.09624742644843</v>
      </c>
      <c r="AI24" s="313"/>
      <c r="AJ24" s="313"/>
      <c r="AK24" s="313"/>
      <c r="AL24" s="313"/>
      <c r="AM24" s="313"/>
      <c r="AN24" s="313"/>
    </row>
    <row r="25" spans="1:42" s="306" customFormat="1">
      <c r="A25" s="334"/>
      <c r="B25" s="307"/>
      <c r="C25" s="335"/>
      <c r="D25" s="308"/>
      <c r="E25" s="307"/>
      <c r="F25" s="308"/>
      <c r="G25" s="308"/>
      <c r="H25" s="307"/>
      <c r="I25" s="308"/>
      <c r="J25" s="307"/>
      <c r="K25" s="310"/>
      <c r="L25" s="308"/>
      <c r="M25" s="310"/>
      <c r="N25" s="307"/>
      <c r="O25" s="307"/>
      <c r="P25" s="310"/>
      <c r="Q25" s="307"/>
      <c r="R25" s="308"/>
      <c r="U25" s="312"/>
      <c r="V25" s="312"/>
      <c r="W25" s="312"/>
      <c r="X25" s="312"/>
      <c r="AI25" s="313"/>
      <c r="AJ25" s="313"/>
      <c r="AK25" s="313"/>
      <c r="AL25" s="313"/>
      <c r="AM25" s="313"/>
      <c r="AN25" s="313"/>
    </row>
    <row r="26" spans="1:42" s="306" customFormat="1">
      <c r="A26" s="334"/>
      <c r="B26" s="307"/>
      <c r="C26" s="335"/>
      <c r="D26" s="308"/>
      <c r="E26" s="307"/>
      <c r="F26" s="308"/>
      <c r="G26" s="308"/>
      <c r="H26" s="307"/>
      <c r="I26" s="308"/>
      <c r="J26" s="307"/>
      <c r="K26" s="310"/>
      <c r="L26" s="308"/>
      <c r="M26" s="310"/>
      <c r="N26" s="307"/>
      <c r="O26" s="307"/>
      <c r="P26" s="310"/>
      <c r="Q26" s="307"/>
      <c r="R26" s="308"/>
      <c r="U26" s="312"/>
      <c r="V26" s="312"/>
      <c r="W26" s="312"/>
      <c r="X26" s="312"/>
      <c r="Z26" s="313"/>
      <c r="AA26" s="313"/>
      <c r="AB26" s="313"/>
      <c r="AD26" s="313"/>
      <c r="AE26" s="313"/>
      <c r="AF26" s="313"/>
      <c r="AG26" s="313"/>
      <c r="AH26" s="313"/>
      <c r="AI26" s="313"/>
      <c r="AJ26" s="313"/>
      <c r="AK26" s="313"/>
      <c r="AL26" s="313"/>
      <c r="AM26" s="313"/>
      <c r="AN26" s="313"/>
    </row>
    <row r="27" spans="1:42" s="259" customFormat="1" ht="15" customHeight="1">
      <c r="A27" s="628">
        <v>2016</v>
      </c>
      <c r="B27" s="631" t="s">
        <v>896</v>
      </c>
      <c r="C27" s="632"/>
      <c r="D27" s="632"/>
      <c r="E27" s="633"/>
      <c r="F27" s="361" t="s">
        <v>897</v>
      </c>
      <c r="G27" s="362"/>
      <c r="H27" s="362"/>
      <c r="I27" s="362"/>
      <c r="J27" s="362"/>
      <c r="K27" s="362"/>
      <c r="L27" s="362"/>
      <c r="M27" s="362"/>
      <c r="N27" s="362"/>
      <c r="O27" s="363"/>
      <c r="P27" s="361" t="s">
        <v>898</v>
      </c>
      <c r="Q27" s="362"/>
      <c r="R27" s="362"/>
      <c r="S27" s="362"/>
      <c r="T27" s="363"/>
      <c r="U27" s="364" t="s">
        <v>899</v>
      </c>
      <c r="V27" s="365"/>
      <c r="W27" s="361" t="s">
        <v>900</v>
      </c>
      <c r="X27" s="362"/>
      <c r="Y27" s="363"/>
      <c r="Z27" s="366">
        <v>2016</v>
      </c>
      <c r="AA27" s="367" t="s">
        <v>901</v>
      </c>
      <c r="AB27" s="368"/>
      <c r="AC27" s="368"/>
      <c r="AD27" s="368"/>
      <c r="AE27" s="369"/>
      <c r="AF27" s="368"/>
      <c r="AG27" s="368"/>
      <c r="AH27" s="368"/>
      <c r="AI27" s="368"/>
      <c r="AJ27" s="368"/>
      <c r="AK27" s="361" t="s">
        <v>902</v>
      </c>
      <c r="AL27" s="362"/>
      <c r="AM27" s="362"/>
      <c r="AN27" s="362"/>
      <c r="AO27" s="363"/>
      <c r="AP27" s="370" t="s">
        <v>903</v>
      </c>
    </row>
    <row r="28" spans="1:42" s="259" customFormat="1" ht="58.15" customHeight="1">
      <c r="A28" s="629"/>
      <c r="B28" s="371" t="s">
        <v>904</v>
      </c>
      <c r="C28" s="372" t="s">
        <v>905</v>
      </c>
      <c r="D28" s="372" t="s">
        <v>906</v>
      </c>
      <c r="E28" s="373" t="s">
        <v>907</v>
      </c>
      <c r="F28" s="374" t="s">
        <v>863</v>
      </c>
      <c r="G28" s="374" t="s">
        <v>864</v>
      </c>
      <c r="H28" s="374" t="s">
        <v>865</v>
      </c>
      <c r="I28" s="374" t="s">
        <v>866</v>
      </c>
      <c r="J28" s="375" t="s">
        <v>891</v>
      </c>
      <c r="K28" s="374" t="s">
        <v>867</v>
      </c>
      <c r="L28" s="374" t="s">
        <v>868</v>
      </c>
      <c r="M28" s="374" t="s">
        <v>869</v>
      </c>
      <c r="N28" s="374" t="s">
        <v>870</v>
      </c>
      <c r="O28" s="376" t="s">
        <v>738</v>
      </c>
      <c r="P28" s="377" t="s">
        <v>863</v>
      </c>
      <c r="Q28" s="374" t="s">
        <v>864</v>
      </c>
      <c r="R28" s="378" t="s">
        <v>908</v>
      </c>
      <c r="S28" s="374" t="s">
        <v>870</v>
      </c>
      <c r="T28" s="376" t="s">
        <v>738</v>
      </c>
      <c r="U28" s="379" t="s">
        <v>810</v>
      </c>
      <c r="V28" s="380" t="s">
        <v>883</v>
      </c>
      <c r="W28" s="381" t="s">
        <v>810</v>
      </c>
      <c r="X28" s="381" t="s">
        <v>883</v>
      </c>
      <c r="Y28" s="380" t="s">
        <v>872</v>
      </c>
      <c r="Z28" s="382"/>
      <c r="AA28" s="383" t="s">
        <v>863</v>
      </c>
      <c r="AB28" s="384" t="s">
        <v>864</v>
      </c>
      <c r="AC28" s="384" t="s">
        <v>865</v>
      </c>
      <c r="AD28" s="384" t="s">
        <v>866</v>
      </c>
      <c r="AE28" s="375" t="s">
        <v>891</v>
      </c>
      <c r="AF28" s="384" t="s">
        <v>867</v>
      </c>
      <c r="AG28" s="384" t="s">
        <v>868</v>
      </c>
      <c r="AH28" s="384" t="s">
        <v>869</v>
      </c>
      <c r="AI28" s="384" t="s">
        <v>870</v>
      </c>
      <c r="AJ28" s="385" t="s">
        <v>738</v>
      </c>
      <c r="AK28" s="377" t="s">
        <v>863</v>
      </c>
      <c r="AL28" s="374" t="s">
        <v>864</v>
      </c>
      <c r="AM28" s="374" t="s">
        <v>68</v>
      </c>
      <c r="AN28" s="374" t="s">
        <v>870</v>
      </c>
      <c r="AO28" s="373" t="s">
        <v>872</v>
      </c>
      <c r="AP28" s="386"/>
    </row>
    <row r="29" spans="1:42" s="254" customFormat="1" ht="43.5" customHeight="1">
      <c r="A29" s="630"/>
      <c r="B29" s="387"/>
      <c r="C29" s="388" t="s">
        <v>909</v>
      </c>
      <c r="D29" s="388" t="s">
        <v>910</v>
      </c>
      <c r="E29" s="389" t="s">
        <v>909</v>
      </c>
      <c r="F29" s="390" t="s">
        <v>911</v>
      </c>
      <c r="G29" s="390" t="s">
        <v>911</v>
      </c>
      <c r="H29" s="390" t="s">
        <v>911</v>
      </c>
      <c r="I29" s="390" t="s">
        <v>911</v>
      </c>
      <c r="J29" s="390" t="s">
        <v>911</v>
      </c>
      <c r="K29" s="390" t="s">
        <v>911</v>
      </c>
      <c r="L29" s="390" t="s">
        <v>911</v>
      </c>
      <c r="M29" s="390" t="s">
        <v>911</v>
      </c>
      <c r="N29" s="390" t="s">
        <v>911</v>
      </c>
      <c r="O29" s="391" t="s">
        <v>911</v>
      </c>
      <c r="P29" s="388" t="s">
        <v>911</v>
      </c>
      <c r="Q29" s="388" t="s">
        <v>911</v>
      </c>
      <c r="R29" s="388" t="s">
        <v>911</v>
      </c>
      <c r="S29" s="388" t="s">
        <v>911</v>
      </c>
      <c r="T29" s="389" t="s">
        <v>911</v>
      </c>
      <c r="U29" s="392" t="s">
        <v>882</v>
      </c>
      <c r="V29" s="393" t="s">
        <v>884</v>
      </c>
      <c r="W29" s="394" t="s">
        <v>912</v>
      </c>
      <c r="X29" s="394" t="s">
        <v>912</v>
      </c>
      <c r="Y29" s="393" t="s">
        <v>912</v>
      </c>
      <c r="Z29" s="395"/>
      <c r="AA29" s="388" t="s">
        <v>913</v>
      </c>
      <c r="AB29" s="388" t="s">
        <v>913</v>
      </c>
      <c r="AC29" s="388" t="s">
        <v>913</v>
      </c>
      <c r="AD29" s="388" t="s">
        <v>913</v>
      </c>
      <c r="AE29" s="388" t="s">
        <v>913</v>
      </c>
      <c r="AF29" s="388" t="s">
        <v>913</v>
      </c>
      <c r="AG29" s="388" t="s">
        <v>913</v>
      </c>
      <c r="AH29" s="388" t="s">
        <v>913</v>
      </c>
      <c r="AI29" s="388" t="s">
        <v>913</v>
      </c>
      <c r="AJ29" s="388" t="s">
        <v>913</v>
      </c>
      <c r="AK29" s="388" t="s">
        <v>913</v>
      </c>
      <c r="AL29" s="388" t="s">
        <v>913</v>
      </c>
      <c r="AM29" s="388" t="s">
        <v>913</v>
      </c>
      <c r="AN29" s="388" t="s">
        <v>913</v>
      </c>
      <c r="AO29" s="388" t="s">
        <v>913</v>
      </c>
      <c r="AP29" s="396" t="s">
        <v>914</v>
      </c>
    </row>
    <row r="30" spans="1:42">
      <c r="A30" s="280" t="s">
        <v>915</v>
      </c>
      <c r="B30" s="397">
        <f>SUM(B31:B32)</f>
        <v>2384228</v>
      </c>
      <c r="C30" s="398">
        <f>SUM(C31:C32)</f>
        <v>86277952</v>
      </c>
      <c r="D30" s="398">
        <f>'[2]Population and GDP'!E6/1000</f>
        <v>7116.8</v>
      </c>
      <c r="E30" s="399">
        <f>C30/D30/1000</f>
        <v>12.123138489208634</v>
      </c>
      <c r="F30" s="400"/>
      <c r="G30" s="401">
        <f>SUM(G31:G32)</f>
        <v>3926</v>
      </c>
      <c r="H30" s="401">
        <f>SUM(H31:H32)</f>
        <v>15237</v>
      </c>
      <c r="I30" s="401"/>
      <c r="J30" s="402"/>
      <c r="K30" s="401">
        <f>SUM(K31:K32)</f>
        <v>9329</v>
      </c>
      <c r="L30" s="401">
        <f>SUM(L31:L32)</f>
        <v>3879</v>
      </c>
      <c r="M30" s="401">
        <f>SUM(M31:M32)</f>
        <v>6590</v>
      </c>
      <c r="N30" s="401">
        <f>SUM(N31:N32)</f>
        <v>4160</v>
      </c>
      <c r="O30" s="403">
        <f>SUM(O31:O32)</f>
        <v>43121</v>
      </c>
      <c r="P30" s="404"/>
      <c r="Q30" s="405">
        <f>SUM(Q31:Q32)</f>
        <v>10684</v>
      </c>
      <c r="R30" s="405">
        <f>SUM(R31:R32)</f>
        <v>7633</v>
      </c>
      <c r="S30" s="405">
        <f>SUM(S31:S32)</f>
        <v>31</v>
      </c>
      <c r="T30" s="406">
        <f>SUM(T31:T32)</f>
        <v>18348</v>
      </c>
      <c r="U30" s="407">
        <f t="shared" ref="U30:U41" si="0">+$N$12</f>
        <v>0.59421285392666068</v>
      </c>
      <c r="V30" s="408">
        <f>+$N$13</f>
        <v>65437.5</v>
      </c>
      <c r="W30" s="405">
        <f>SUM(W31:W32)</f>
        <v>7117.5145761587592</v>
      </c>
      <c r="X30" s="409">
        <f>SUM(X31:X32)</f>
        <v>1200.64725</v>
      </c>
      <c r="Y30" s="410">
        <f>SUM(Y31:Y32)</f>
        <v>8318.1618261587591</v>
      </c>
      <c r="Z30" s="280" t="s">
        <v>915</v>
      </c>
      <c r="AA30" s="397"/>
      <c r="AB30" s="411"/>
      <c r="AC30" s="411"/>
      <c r="AD30" s="411"/>
      <c r="AE30" s="412"/>
      <c r="AF30" s="411"/>
      <c r="AG30" s="411"/>
      <c r="AH30" s="411"/>
      <c r="AI30" s="411"/>
      <c r="AJ30" s="411"/>
      <c r="AK30" s="371"/>
      <c r="AL30" s="372"/>
      <c r="AM30" s="372"/>
      <c r="AN30" s="372"/>
      <c r="AO30" s="373"/>
      <c r="AP30" s="413"/>
    </row>
    <row r="31" spans="1:42">
      <c r="A31" s="414" t="s">
        <v>916</v>
      </c>
      <c r="B31" s="415">
        <f>1174628+24000</f>
        <v>1198628</v>
      </c>
      <c r="C31" s="416">
        <f>50509004+1032000</f>
        <v>51541004</v>
      </c>
      <c r="D31" s="417">
        <v>0.54600000000000004</v>
      </c>
      <c r="E31" s="399">
        <f>C31/(D31*D30)/1000</f>
        <v>13.264029229912772</v>
      </c>
      <c r="F31" s="418"/>
      <c r="G31" s="324">
        <f>1882+311</f>
        <v>2193</v>
      </c>
      <c r="H31" s="324">
        <f>8197+1408</f>
        <v>9605</v>
      </c>
      <c r="I31" s="324"/>
      <c r="J31" s="419"/>
      <c r="K31" s="324">
        <f>1965+2848+357+375</f>
        <v>5545</v>
      </c>
      <c r="L31" s="324">
        <f>2107+318</f>
        <v>2425</v>
      </c>
      <c r="M31" s="324">
        <f>3229+350</f>
        <v>3579</v>
      </c>
      <c r="N31" s="324">
        <f>2166+272</f>
        <v>2438</v>
      </c>
      <c r="O31" s="420">
        <f t="shared" ref="O31:O40" si="1">SUM(G31:N31)</f>
        <v>25785</v>
      </c>
      <c r="P31" s="421"/>
      <c r="Q31" s="422">
        <f>4760+515</f>
        <v>5275</v>
      </c>
      <c r="R31" s="422">
        <f>3129+172</f>
        <v>3301</v>
      </c>
      <c r="S31" s="422">
        <v>1</v>
      </c>
      <c r="T31" s="420">
        <f>SUM(Q31:S31)</f>
        <v>8577</v>
      </c>
      <c r="U31" s="407">
        <f t="shared" si="0"/>
        <v>0.59421285392666068</v>
      </c>
      <c r="V31" s="408">
        <f t="shared" ref="V31:V41" si="2">+$N$13</f>
        <v>65437.5</v>
      </c>
      <c r="W31" s="423">
        <f>O31/3.6*1000000*U31/1000000</f>
        <v>4256.0495662497069</v>
      </c>
      <c r="X31" s="423">
        <f>T31*V31/1000000</f>
        <v>561.25743750000004</v>
      </c>
      <c r="Y31" s="410">
        <f>W31+X31</f>
        <v>4817.3070037497073</v>
      </c>
      <c r="Z31" s="414" t="s">
        <v>916</v>
      </c>
      <c r="AA31" s="397"/>
      <c r="AB31" s="411">
        <f>G31*1000000000000/'[2]EF-1'!$R$5/$B$31</f>
        <v>508.21995370262221</v>
      </c>
      <c r="AC31" s="411">
        <f>H31*1000000000000/'[2]EF-1'!$R$5/$B$31</f>
        <v>2225.9246034262133</v>
      </c>
      <c r="AD31" s="411">
        <f>I31*1000000000000/'[2]EF-1'!$R$5/$B$31</f>
        <v>0</v>
      </c>
      <c r="AE31" s="411">
        <f>J31*1000000000000/'[2]EF-1'!$R$5/$B$31</f>
        <v>0</v>
      </c>
      <c r="AF31" s="411">
        <f>K31*1000000000000/'[2]EF-1'!$R$5/$B$31</f>
        <v>1285.0340370638578</v>
      </c>
      <c r="AG31" s="411">
        <f>L31*1000000000000/'[2]EF-1'!$R$5/$B$31</f>
        <v>561.98512892332826</v>
      </c>
      <c r="AH31" s="411">
        <f>M31*1000000000000/'[2]EF-1'!$R$5/$B$31</f>
        <v>829.4205263573574</v>
      </c>
      <c r="AI31" s="411">
        <f>N31*1000000000000/'[2]EF-1'!$R$5/$B$31</f>
        <v>564.99783270724708</v>
      </c>
      <c r="AJ31" s="411">
        <f>SUM(AB31:AI31)</f>
        <v>5975.5820821806255</v>
      </c>
      <c r="AK31" s="424"/>
      <c r="AL31" s="411">
        <f>Q31*1000000000000/'[2]EF-1'!$R$5/$B$31</f>
        <v>1222.4624969363119</v>
      </c>
      <c r="AM31" s="411">
        <f>R31*1000000000000/'[2]EF-1'!$R$5/$B$31</f>
        <v>764.99501467047696</v>
      </c>
      <c r="AN31" s="411">
        <f>S31*1000000000000/'[2]EF-1'!$R$5/$B$31</f>
        <v>0.23174644491683638</v>
      </c>
      <c r="AO31" s="425">
        <f>SUM(AL31:AN31)</f>
        <v>1987.6892580517058</v>
      </c>
      <c r="AP31" s="426">
        <f>(G31+K31)/((G31+K31)+(Q31+R31))</f>
        <v>0.47431653794287115</v>
      </c>
    </row>
    <row r="32" spans="1:42">
      <c r="A32" s="414" t="s">
        <v>726</v>
      </c>
      <c r="B32" s="415">
        <f>1185.6*1000</f>
        <v>1185600</v>
      </c>
      <c r="C32" s="416">
        <v>34736948</v>
      </c>
      <c r="D32" s="417">
        <f>44.8%</f>
        <v>0.44799999999999995</v>
      </c>
      <c r="E32" s="399">
        <f>C32/(D32*D30)/1000</f>
        <v>10.895041360884507</v>
      </c>
      <c r="F32" s="418"/>
      <c r="G32" s="324">
        <v>1733</v>
      </c>
      <c r="H32" s="324">
        <v>5632</v>
      </c>
      <c r="I32" s="324"/>
      <c r="J32" s="419"/>
      <c r="K32" s="324">
        <v>3784</v>
      </c>
      <c r="L32" s="324">
        <v>1454</v>
      </c>
      <c r="M32" s="324">
        <v>3011</v>
      </c>
      <c r="N32" s="324">
        <v>1722</v>
      </c>
      <c r="O32" s="420">
        <f t="shared" si="1"/>
        <v>17336</v>
      </c>
      <c r="P32" s="421"/>
      <c r="Q32" s="422">
        <v>5409</v>
      </c>
      <c r="R32" s="422">
        <v>4332</v>
      </c>
      <c r="S32" s="422">
        <v>30</v>
      </c>
      <c r="T32" s="420">
        <f>SUM(Q32:S32)</f>
        <v>9771</v>
      </c>
      <c r="U32" s="407">
        <f t="shared" si="0"/>
        <v>0.59421285392666068</v>
      </c>
      <c r="V32" s="408">
        <f t="shared" si="2"/>
        <v>65437.5</v>
      </c>
      <c r="W32" s="423">
        <f>O32/3.6*1000000*U32/1000000</f>
        <v>2861.4650099090522</v>
      </c>
      <c r="X32" s="423">
        <f>T32*V32/1000000</f>
        <v>639.38981249999995</v>
      </c>
      <c r="Y32" s="410">
        <f>W32+X32</f>
        <v>3500.8548224090523</v>
      </c>
      <c r="Z32" s="414" t="s">
        <v>726</v>
      </c>
      <c r="AA32" s="397"/>
      <c r="AB32" s="411">
        <f>G32*1000000000000/'[2]EF-1'!$R$5/$B$31</f>
        <v>401.6165890408775</v>
      </c>
      <c r="AC32" s="411">
        <f>H32*1000000000000/'[2]EF-1'!$R$5/$B$31</f>
        <v>1305.1959777716227</v>
      </c>
      <c r="AD32" s="411">
        <f>I32*1000000000000/'[2]EF-1'!$R$5/$B$31</f>
        <v>0</v>
      </c>
      <c r="AE32" s="411">
        <f>J32*1000000000000/'[2]EF-1'!$R$5/$B$31</f>
        <v>0</v>
      </c>
      <c r="AF32" s="411">
        <f>K32*1000000000000/'[2]EF-1'!$R$5/$B$31</f>
        <v>876.92854756530892</v>
      </c>
      <c r="AG32" s="411">
        <f>L32*1000000000000/'[2]EF-1'!$R$5/$B$31</f>
        <v>336.95933090908011</v>
      </c>
      <c r="AH32" s="411">
        <f>M32*1000000000000/'[2]EF-1'!$R$5/$B$31</f>
        <v>697.78854564459436</v>
      </c>
      <c r="AI32" s="411">
        <f>N32*1000000000000/'[2]EF-1'!$R$5/$B$31</f>
        <v>399.06737814679224</v>
      </c>
      <c r="AJ32" s="411">
        <f>SUM(AB32:AI32)</f>
        <v>4017.5563690782756</v>
      </c>
      <c r="AK32" s="424"/>
      <c r="AL32" s="411">
        <f>Q32*1000000000000/'[2]EF-1'!$R$5/$B$31</f>
        <v>1253.516520555168</v>
      </c>
      <c r="AM32" s="411">
        <f>R32*1000000000000/'[2]EF-1'!$R$5/$B$31</f>
        <v>1003.9255993797352</v>
      </c>
      <c r="AN32" s="411">
        <f>S32*1000000000000/'[2]EF-1'!$R$5/$B$31</f>
        <v>6.9523933475050921</v>
      </c>
      <c r="AO32" s="425">
        <f t="shared" ref="AO32:AO40" si="3">SUM(AL32:AN32)</f>
        <v>2264.3945132824083</v>
      </c>
      <c r="AP32" s="426">
        <f>(G32+K32)/((G32+K32)+(Q32+R32))</f>
        <v>0.36158081006685017</v>
      </c>
    </row>
    <row r="33" spans="1:42">
      <c r="A33" s="280" t="s">
        <v>727</v>
      </c>
      <c r="B33" s="397"/>
      <c r="C33" s="427">
        <f>SUM('[2]Commerical demand'!D46:D51)</f>
        <v>47054400</v>
      </c>
      <c r="D33" s="398">
        <f>D30</f>
        <v>7116.8</v>
      </c>
      <c r="E33" s="399">
        <f>C33/D33/1000</f>
        <v>6.6117356115107917</v>
      </c>
      <c r="F33" s="428"/>
      <c r="G33" s="429">
        <f>SUM(G34:G40)</f>
        <v>4039</v>
      </c>
      <c r="H33" s="429">
        <f>SUM(H34:H40)</f>
        <v>30297</v>
      </c>
      <c r="I33" s="429">
        <f>SUM(I34:I40)</f>
        <v>0</v>
      </c>
      <c r="J33" s="419"/>
      <c r="K33" s="429">
        <f>SUM(K34:K40)</f>
        <v>5340</v>
      </c>
      <c r="L33" s="429">
        <f>SUM(L34:L40)</f>
        <v>15095</v>
      </c>
      <c r="M33" s="429">
        <f>SUM(M34:M40)</f>
        <v>4464</v>
      </c>
      <c r="N33" s="429">
        <f>SUM(N34:N40)</f>
        <v>44646</v>
      </c>
      <c r="O33" s="406">
        <f t="shared" si="1"/>
        <v>103881</v>
      </c>
      <c r="P33" s="430"/>
      <c r="Q33" s="422">
        <f>SUM(Q34:Q40)</f>
        <v>8319</v>
      </c>
      <c r="R33" s="422">
        <f>SUM(R34:R40)</f>
        <v>6240</v>
      </c>
      <c r="S33" s="422">
        <f>SUM(S34:S40)</f>
        <v>5531</v>
      </c>
      <c r="T33" s="420">
        <f>SUM(T34:T40)</f>
        <v>20090</v>
      </c>
      <c r="U33" s="407">
        <f t="shared" si="0"/>
        <v>0.59421285392666068</v>
      </c>
      <c r="V33" s="408">
        <f t="shared" si="2"/>
        <v>65437.5</v>
      </c>
      <c r="W33" s="405">
        <f>O33/3.6*1000000*U33/1000000</f>
        <v>17146.507077432067</v>
      </c>
      <c r="X33" s="423">
        <f>T33*V33/1000000</f>
        <v>1314.639375</v>
      </c>
      <c r="Y33" s="410">
        <f>W33+X33</f>
        <v>18461.146452432065</v>
      </c>
      <c r="Z33" s="280" t="s">
        <v>727</v>
      </c>
      <c r="AA33" s="431"/>
      <c r="AB33" s="432">
        <f>G33/$C$33*1000000000000*'[2]EF-1'!$R$6</f>
        <v>23.843560739153926</v>
      </c>
      <c r="AC33" s="432">
        <f>H33/$C$33*1000000000000*'[2]EF-1'!$R$6</f>
        <v>178.85327054076416</v>
      </c>
      <c r="AD33" s="432">
        <f t="shared" ref="AD33:AD41" si="4">AC33*(1-$AD$23)</f>
        <v>116.25462585149671</v>
      </c>
      <c r="AE33" s="432">
        <f t="shared" ref="AE33:AE41" si="5">AC33*(1-$AE$23)</f>
        <v>143.08261643261133</v>
      </c>
      <c r="AF33" s="432">
        <f>K33/$C$33*1000000000000*'[2]EF-1'!$R$6</f>
        <v>31.52379657021093</v>
      </c>
      <c r="AG33" s="432">
        <f>L33/$C$33*1000000000000*'[2]EF-1'!$R$6</f>
        <v>89.110806971410852</v>
      </c>
      <c r="AH33" s="432">
        <f>M33/$C$33*1000000000000*'[2]EF-1'!$R$6</f>
        <v>26.352477132850485</v>
      </c>
      <c r="AI33" s="432">
        <f>N33/$C$33*1000000000000*'[2]EF-1'!$R$6</f>
        <v>263.56019132465121</v>
      </c>
      <c r="AJ33" s="411">
        <f t="shared" ref="AJ33:AJ41" si="6">SUM(AB33:AI33)</f>
        <v>872.58134556314963</v>
      </c>
      <c r="AK33" s="433"/>
      <c r="AL33" s="434">
        <f>Q33/$C$33*1000000000000*'[2]EF-1'!$R$8</f>
        <v>4.9678365956126749</v>
      </c>
      <c r="AM33" s="434">
        <f>R33/$C$33*1000000000000*'[2]EF-1'!$R$8</f>
        <v>3.7263253223492119</v>
      </c>
      <c r="AN33" s="434">
        <f>S33/$C$33*1000000000000*'[2]EF-1'!$R$8</f>
        <v>3.3029335509476745</v>
      </c>
      <c r="AO33" s="425">
        <f t="shared" si="3"/>
        <v>11.997095468909562</v>
      </c>
      <c r="AP33" s="426">
        <f>(G33+K33)/((G33+K33)+(Q33+R33))</f>
        <v>0.3918038265519258</v>
      </c>
    </row>
    <row r="34" spans="1:42" ht="14.65" hidden="1" customHeight="1" outlineLevel="1">
      <c r="A34" s="414" t="s">
        <v>917</v>
      </c>
      <c r="B34" s="435"/>
      <c r="C34" s="427">
        <v>11838200</v>
      </c>
      <c r="D34" s="436">
        <f>$D$30</f>
        <v>7116.8</v>
      </c>
      <c r="E34" s="399">
        <f>C34/D34/1000</f>
        <v>1.6634161420863309</v>
      </c>
      <c r="F34" s="437"/>
      <c r="G34" s="324"/>
      <c r="H34" s="324">
        <v>7158</v>
      </c>
      <c r="I34" s="324"/>
      <c r="J34" s="419"/>
      <c r="K34" s="324">
        <v>0</v>
      </c>
      <c r="L34" s="324">
        <v>1862</v>
      </c>
      <c r="M34" s="324">
        <v>1646</v>
      </c>
      <c r="N34" s="324">
        <v>2517</v>
      </c>
      <c r="O34" s="406">
        <f t="shared" si="1"/>
        <v>13183</v>
      </c>
      <c r="P34" s="421"/>
      <c r="Q34" s="438"/>
      <c r="R34" s="438">
        <v>0</v>
      </c>
      <c r="S34" s="438">
        <v>0</v>
      </c>
      <c r="T34" s="406">
        <f t="shared" ref="T34:T41" si="7">SUM(P34:S34)</f>
        <v>0</v>
      </c>
      <c r="U34" s="407">
        <f t="shared" si="0"/>
        <v>0.59421285392666068</v>
      </c>
      <c r="V34" s="408">
        <f t="shared" si="2"/>
        <v>65437.5</v>
      </c>
      <c r="W34" s="266"/>
      <c r="X34" s="423"/>
      <c r="Y34" s="410"/>
      <c r="Z34" s="414" t="s">
        <v>917</v>
      </c>
      <c r="AA34" s="431"/>
      <c r="AB34" s="432"/>
      <c r="AC34" s="432"/>
      <c r="AD34" s="432">
        <f t="shared" si="4"/>
        <v>0</v>
      </c>
      <c r="AE34" s="432">
        <f t="shared" si="5"/>
        <v>0</v>
      </c>
      <c r="AF34" s="432"/>
      <c r="AG34" s="432"/>
      <c r="AH34" s="432"/>
      <c r="AI34" s="432"/>
      <c r="AJ34" s="411">
        <f t="shared" si="6"/>
        <v>0</v>
      </c>
      <c r="AK34" s="433"/>
      <c r="AL34" s="434"/>
      <c r="AM34" s="434"/>
      <c r="AN34" s="434"/>
      <c r="AO34" s="425">
        <f t="shared" si="3"/>
        <v>0</v>
      </c>
      <c r="AP34" s="426" t="e">
        <f t="shared" ref="AP34:AP40" si="8">(G34+K34)/((G34+K34)+(Q34+R34))</f>
        <v>#DIV/0!</v>
      </c>
    </row>
    <row r="35" spans="1:42" ht="14.65" hidden="1" customHeight="1" outlineLevel="1">
      <c r="A35" s="414" t="s">
        <v>728</v>
      </c>
      <c r="B35" s="435"/>
      <c r="C35" s="634">
        <v>11274200</v>
      </c>
      <c r="D35" s="635">
        <f>$D$30</f>
        <v>7116.8</v>
      </c>
      <c r="E35" s="636">
        <f>C35/D34/1000</f>
        <v>1.5841670413669064</v>
      </c>
      <c r="F35" s="437"/>
      <c r="G35" s="324">
        <v>4039</v>
      </c>
      <c r="H35" s="324">
        <v>5402</v>
      </c>
      <c r="I35" s="324"/>
      <c r="J35" s="419"/>
      <c r="K35" s="324">
        <v>1595</v>
      </c>
      <c r="L35" s="324">
        <v>819</v>
      </c>
      <c r="M35" s="324"/>
      <c r="N35" s="324">
        <v>474</v>
      </c>
      <c r="O35" s="406">
        <f t="shared" si="1"/>
        <v>12329</v>
      </c>
      <c r="P35" s="421"/>
      <c r="Q35" s="438">
        <v>8319</v>
      </c>
      <c r="R35" s="438">
        <v>459</v>
      </c>
      <c r="S35" s="438">
        <v>56</v>
      </c>
      <c r="T35" s="406">
        <f t="shared" si="7"/>
        <v>8834</v>
      </c>
      <c r="U35" s="407">
        <f t="shared" si="0"/>
        <v>0.59421285392666068</v>
      </c>
      <c r="V35" s="408">
        <f t="shared" si="2"/>
        <v>65437.5</v>
      </c>
      <c r="W35" s="266"/>
      <c r="X35" s="423"/>
      <c r="Y35" s="410"/>
      <c r="Z35" s="414" t="s">
        <v>728</v>
      </c>
      <c r="AA35" s="431"/>
      <c r="AB35" s="432"/>
      <c r="AC35" s="432"/>
      <c r="AD35" s="432">
        <f t="shared" si="4"/>
        <v>0</v>
      </c>
      <c r="AE35" s="432">
        <f t="shared" si="5"/>
        <v>0</v>
      </c>
      <c r="AF35" s="432"/>
      <c r="AG35" s="432"/>
      <c r="AH35" s="432"/>
      <c r="AI35" s="432"/>
      <c r="AJ35" s="411">
        <f t="shared" si="6"/>
        <v>0</v>
      </c>
      <c r="AK35" s="433"/>
      <c r="AL35" s="434"/>
      <c r="AM35" s="434"/>
      <c r="AN35" s="434"/>
      <c r="AO35" s="425">
        <f t="shared" si="3"/>
        <v>0</v>
      </c>
      <c r="AP35" s="426">
        <f t="shared" si="8"/>
        <v>0.3909242298084929</v>
      </c>
    </row>
    <row r="36" spans="1:42" ht="14.65" hidden="1" customHeight="1" outlineLevel="1">
      <c r="A36" s="414" t="s">
        <v>729</v>
      </c>
      <c r="B36" s="435"/>
      <c r="C36" s="634"/>
      <c r="D36" s="635"/>
      <c r="E36" s="636"/>
      <c r="F36" s="437"/>
      <c r="G36" s="324"/>
      <c r="H36" s="324">
        <v>3855</v>
      </c>
      <c r="I36" s="324"/>
      <c r="J36" s="419"/>
      <c r="K36" s="324">
        <v>1527</v>
      </c>
      <c r="L36" s="324">
        <v>1645</v>
      </c>
      <c r="M36" s="324">
        <v>697</v>
      </c>
      <c r="N36" s="324">
        <v>4381</v>
      </c>
      <c r="O36" s="406">
        <f t="shared" si="1"/>
        <v>12105</v>
      </c>
      <c r="P36" s="421"/>
      <c r="Q36" s="438"/>
      <c r="R36" s="438">
        <v>3798</v>
      </c>
      <c r="S36" s="438">
        <v>550</v>
      </c>
      <c r="T36" s="406">
        <f t="shared" si="7"/>
        <v>4348</v>
      </c>
      <c r="U36" s="407">
        <f t="shared" si="0"/>
        <v>0.59421285392666068</v>
      </c>
      <c r="V36" s="408">
        <f t="shared" si="2"/>
        <v>65437.5</v>
      </c>
      <c r="W36" s="266"/>
      <c r="X36" s="423"/>
      <c r="Y36" s="410"/>
      <c r="Z36" s="414" t="s">
        <v>729</v>
      </c>
      <c r="AA36" s="431"/>
      <c r="AB36" s="432"/>
      <c r="AC36" s="432"/>
      <c r="AD36" s="432">
        <f t="shared" si="4"/>
        <v>0</v>
      </c>
      <c r="AE36" s="432">
        <f t="shared" si="5"/>
        <v>0</v>
      </c>
      <c r="AF36" s="432"/>
      <c r="AG36" s="432"/>
      <c r="AH36" s="432"/>
      <c r="AI36" s="432"/>
      <c r="AJ36" s="411">
        <f t="shared" si="6"/>
        <v>0</v>
      </c>
      <c r="AK36" s="433"/>
      <c r="AL36" s="434"/>
      <c r="AM36" s="434"/>
      <c r="AN36" s="434"/>
      <c r="AO36" s="425">
        <f t="shared" si="3"/>
        <v>0</v>
      </c>
      <c r="AP36" s="426">
        <f t="shared" si="8"/>
        <v>0.28676056338028166</v>
      </c>
    </row>
    <row r="37" spans="1:42" ht="14.65" hidden="1" customHeight="1" outlineLevel="1">
      <c r="A37" s="414" t="s">
        <v>730</v>
      </c>
      <c r="B37" s="435"/>
      <c r="C37" s="634"/>
      <c r="D37" s="635"/>
      <c r="E37" s="636"/>
      <c r="F37" s="437"/>
      <c r="G37" s="324"/>
      <c r="H37" s="324">
        <v>5582</v>
      </c>
      <c r="I37" s="324"/>
      <c r="J37" s="419"/>
      <c r="K37" s="324"/>
      <c r="L37" s="324">
        <v>4189</v>
      </c>
      <c r="M37" s="324"/>
      <c r="N37" s="324">
        <v>6535</v>
      </c>
      <c r="O37" s="406">
        <f t="shared" si="1"/>
        <v>16306</v>
      </c>
      <c r="P37" s="421"/>
      <c r="Q37" s="438"/>
      <c r="R37" s="438">
        <v>0</v>
      </c>
      <c r="S37" s="438">
        <v>1037</v>
      </c>
      <c r="T37" s="406">
        <f t="shared" si="7"/>
        <v>1037</v>
      </c>
      <c r="U37" s="407">
        <f t="shared" si="0"/>
        <v>0.59421285392666068</v>
      </c>
      <c r="V37" s="408">
        <f t="shared" si="2"/>
        <v>65437.5</v>
      </c>
      <c r="W37" s="266"/>
      <c r="X37" s="423"/>
      <c r="Y37" s="410"/>
      <c r="Z37" s="414" t="s">
        <v>730</v>
      </c>
      <c r="AA37" s="431"/>
      <c r="AB37" s="432"/>
      <c r="AC37" s="432"/>
      <c r="AD37" s="432">
        <f t="shared" si="4"/>
        <v>0</v>
      </c>
      <c r="AE37" s="432">
        <f t="shared" si="5"/>
        <v>0</v>
      </c>
      <c r="AF37" s="432"/>
      <c r="AG37" s="432"/>
      <c r="AH37" s="432"/>
      <c r="AI37" s="432"/>
      <c r="AJ37" s="411">
        <f t="shared" si="6"/>
        <v>0</v>
      </c>
      <c r="AK37" s="433"/>
      <c r="AL37" s="434"/>
      <c r="AM37" s="434"/>
      <c r="AN37" s="434"/>
      <c r="AO37" s="425">
        <f t="shared" si="3"/>
        <v>0</v>
      </c>
      <c r="AP37" s="426" t="e">
        <f t="shared" si="8"/>
        <v>#DIV/0!</v>
      </c>
    </row>
    <row r="38" spans="1:42" ht="14.65" hidden="1" customHeight="1" outlineLevel="1">
      <c r="A38" s="414" t="s">
        <v>731</v>
      </c>
      <c r="B38" s="435"/>
      <c r="C38" s="634"/>
      <c r="D38" s="635"/>
      <c r="E38" s="636"/>
      <c r="F38" s="437"/>
      <c r="G38" s="324"/>
      <c r="H38" s="324">
        <v>1257</v>
      </c>
      <c r="I38" s="324"/>
      <c r="J38" s="419"/>
      <c r="K38" s="324">
        <v>316</v>
      </c>
      <c r="L38" s="324">
        <v>303</v>
      </c>
      <c r="M38" s="324">
        <v>298</v>
      </c>
      <c r="N38" s="324">
        <v>1363</v>
      </c>
      <c r="O38" s="406">
        <f t="shared" si="1"/>
        <v>3537</v>
      </c>
      <c r="P38" s="421"/>
      <c r="Q38" s="438"/>
      <c r="R38" s="438">
        <v>1902</v>
      </c>
      <c r="S38" s="438">
        <v>529</v>
      </c>
      <c r="T38" s="406">
        <f t="shared" si="7"/>
        <v>2431</v>
      </c>
      <c r="U38" s="407">
        <f t="shared" si="0"/>
        <v>0.59421285392666068</v>
      </c>
      <c r="V38" s="408">
        <f t="shared" si="2"/>
        <v>65437.5</v>
      </c>
      <c r="W38" s="266"/>
      <c r="X38" s="423"/>
      <c r="Y38" s="410"/>
      <c r="Z38" s="414" t="s">
        <v>731</v>
      </c>
      <c r="AA38" s="431"/>
      <c r="AB38" s="432"/>
      <c r="AC38" s="432"/>
      <c r="AD38" s="432">
        <f t="shared" si="4"/>
        <v>0</v>
      </c>
      <c r="AE38" s="432">
        <f t="shared" si="5"/>
        <v>0</v>
      </c>
      <c r="AF38" s="432"/>
      <c r="AG38" s="432"/>
      <c r="AH38" s="432"/>
      <c r="AI38" s="432"/>
      <c r="AJ38" s="411">
        <f t="shared" si="6"/>
        <v>0</v>
      </c>
      <c r="AK38" s="433"/>
      <c r="AL38" s="434"/>
      <c r="AM38" s="434"/>
      <c r="AN38" s="434"/>
      <c r="AO38" s="425">
        <f t="shared" si="3"/>
        <v>0</v>
      </c>
      <c r="AP38" s="426">
        <f t="shared" si="8"/>
        <v>0.1424706943192065</v>
      </c>
    </row>
    <row r="39" spans="1:42" ht="14.65" hidden="1" customHeight="1" outlineLevel="1">
      <c r="A39" s="414" t="s">
        <v>732</v>
      </c>
      <c r="B39" s="435"/>
      <c r="C39" s="634"/>
      <c r="D39" s="635"/>
      <c r="E39" s="636"/>
      <c r="F39" s="437"/>
      <c r="G39" s="324"/>
      <c r="H39" s="324">
        <v>1613</v>
      </c>
      <c r="I39" s="324"/>
      <c r="J39" s="419"/>
      <c r="K39" s="324">
        <v>95</v>
      </c>
      <c r="L39" s="324">
        <v>681</v>
      </c>
      <c r="M39" s="324">
        <v>337</v>
      </c>
      <c r="N39" s="324">
        <v>472</v>
      </c>
      <c r="O39" s="406">
        <f t="shared" si="1"/>
        <v>3198</v>
      </c>
      <c r="P39" s="421"/>
      <c r="Q39" s="438"/>
      <c r="R39" s="438">
        <v>43</v>
      </c>
      <c r="S39" s="438">
        <v>84</v>
      </c>
      <c r="T39" s="406">
        <f t="shared" si="7"/>
        <v>127</v>
      </c>
      <c r="U39" s="407">
        <f t="shared" si="0"/>
        <v>0.59421285392666068</v>
      </c>
      <c r="V39" s="408">
        <f t="shared" si="2"/>
        <v>65437.5</v>
      </c>
      <c r="W39" s="266"/>
      <c r="X39" s="423"/>
      <c r="Y39" s="410"/>
      <c r="Z39" s="414" t="s">
        <v>732</v>
      </c>
      <c r="AA39" s="431"/>
      <c r="AB39" s="432"/>
      <c r="AC39" s="432"/>
      <c r="AD39" s="432">
        <f t="shared" si="4"/>
        <v>0</v>
      </c>
      <c r="AE39" s="432">
        <f t="shared" si="5"/>
        <v>0</v>
      </c>
      <c r="AF39" s="432"/>
      <c r="AG39" s="432"/>
      <c r="AH39" s="432"/>
      <c r="AI39" s="432"/>
      <c r="AJ39" s="411">
        <f t="shared" si="6"/>
        <v>0</v>
      </c>
      <c r="AK39" s="433"/>
      <c r="AL39" s="434"/>
      <c r="AM39" s="434"/>
      <c r="AN39" s="434"/>
      <c r="AO39" s="425">
        <f t="shared" si="3"/>
        <v>0</v>
      </c>
      <c r="AP39" s="426">
        <f t="shared" si="8"/>
        <v>0.68840579710144922</v>
      </c>
    </row>
    <row r="40" spans="1:42" ht="14.65" hidden="1" customHeight="1" outlineLevel="1">
      <c r="A40" s="414" t="s">
        <v>733</v>
      </c>
      <c r="B40" s="435"/>
      <c r="C40" s="634"/>
      <c r="D40" s="635"/>
      <c r="E40" s="636"/>
      <c r="F40" s="437"/>
      <c r="G40" s="324"/>
      <c r="H40" s="324">
        <v>5430</v>
      </c>
      <c r="I40" s="324"/>
      <c r="J40" s="419"/>
      <c r="K40" s="324">
        <v>1807</v>
      </c>
      <c r="L40" s="324">
        <v>5596</v>
      </c>
      <c r="M40" s="324">
        <v>1486</v>
      </c>
      <c r="N40" s="324">
        <v>28904</v>
      </c>
      <c r="O40" s="406">
        <f t="shared" si="1"/>
        <v>43223</v>
      </c>
      <c r="P40" s="421"/>
      <c r="Q40" s="438"/>
      <c r="R40" s="438">
        <v>38</v>
      </c>
      <c r="S40" s="438">
        <v>3275</v>
      </c>
      <c r="T40" s="406">
        <f t="shared" si="7"/>
        <v>3313</v>
      </c>
      <c r="U40" s="407">
        <f t="shared" si="0"/>
        <v>0.59421285392666068</v>
      </c>
      <c r="V40" s="408">
        <f t="shared" si="2"/>
        <v>65437.5</v>
      </c>
      <c r="W40" s="266"/>
      <c r="X40" s="423"/>
      <c r="Y40" s="410"/>
      <c r="Z40" s="414" t="s">
        <v>733</v>
      </c>
      <c r="AA40" s="431"/>
      <c r="AB40" s="432"/>
      <c r="AC40" s="432"/>
      <c r="AD40" s="432">
        <f t="shared" si="4"/>
        <v>0</v>
      </c>
      <c r="AE40" s="432">
        <f t="shared" si="5"/>
        <v>0</v>
      </c>
      <c r="AF40" s="432"/>
      <c r="AG40" s="432"/>
      <c r="AH40" s="432"/>
      <c r="AI40" s="432"/>
      <c r="AJ40" s="411">
        <f t="shared" si="6"/>
        <v>0</v>
      </c>
      <c r="AK40" s="433"/>
      <c r="AL40" s="434"/>
      <c r="AM40" s="434"/>
      <c r="AN40" s="434"/>
      <c r="AO40" s="425">
        <f t="shared" si="3"/>
        <v>0</v>
      </c>
      <c r="AP40" s="426">
        <f t="shared" si="8"/>
        <v>0.97940379403794042</v>
      </c>
    </row>
    <row r="41" spans="1:42" collapsed="1">
      <c r="A41" s="280" t="s">
        <v>734</v>
      </c>
      <c r="B41" s="397"/>
      <c r="C41" s="427">
        <f>'[2]Commerical demand'!D52</f>
        <v>22305466.666666668</v>
      </c>
      <c r="D41" s="398">
        <f>D30</f>
        <v>7116.8</v>
      </c>
      <c r="E41" s="399">
        <f>C41/D41/1000</f>
        <v>3.1341988908872902</v>
      </c>
      <c r="F41" s="430">
        <v>3555</v>
      </c>
      <c r="G41" s="429"/>
      <c r="H41" s="429">
        <v>2404</v>
      </c>
      <c r="I41" s="429"/>
      <c r="J41" s="419"/>
      <c r="K41" s="429"/>
      <c r="L41" s="429">
        <v>864</v>
      </c>
      <c r="M41" s="429"/>
      <c r="N41" s="429">
        <v>1885</v>
      </c>
      <c r="O41" s="406">
        <f>SUM(F41:N41)</f>
        <v>8708</v>
      </c>
      <c r="P41" s="430">
        <v>3959</v>
      </c>
      <c r="Q41" s="438"/>
      <c r="R41" s="438"/>
      <c r="S41" s="422">
        <v>1326</v>
      </c>
      <c r="T41" s="406">
        <f t="shared" si="7"/>
        <v>5285</v>
      </c>
      <c r="U41" s="407">
        <f t="shared" si="0"/>
        <v>0.59421285392666068</v>
      </c>
      <c r="V41" s="408">
        <f t="shared" si="2"/>
        <v>65437.5</v>
      </c>
      <c r="W41" s="405">
        <f>O41/3.6*1000000*U41/1000000</f>
        <v>1437.3348699981559</v>
      </c>
      <c r="X41" s="423">
        <f>T41*V41/1000000</f>
        <v>345.83718750000003</v>
      </c>
      <c r="Y41" s="410">
        <f>W41+X41</f>
        <v>1783.1720574981559</v>
      </c>
      <c r="Z41" s="280" t="s">
        <v>734</v>
      </c>
      <c r="AA41" s="431">
        <f>F41/$C$41*1000000000000*'[2]EF-1'!$R$6</f>
        <v>44.271658367754391</v>
      </c>
      <c r="AB41" s="432"/>
      <c r="AC41" s="432">
        <f>H41/$C$41*1000000000000*'[2]EF-1'!$R$6</f>
        <v>29.937852803398467</v>
      </c>
      <c r="AD41" s="432">
        <f t="shared" si="4"/>
        <v>19.459604322209003</v>
      </c>
      <c r="AE41" s="432">
        <f t="shared" si="5"/>
        <v>23.950282242718774</v>
      </c>
      <c r="AF41" s="432"/>
      <c r="AG41" s="432">
        <f>L41/$C$41*1000000000000*'[2]EF-1'!$R$6</f>
        <v>10.759694185580813</v>
      </c>
      <c r="AH41" s="432"/>
      <c r="AI41" s="432">
        <f>N41/$C$41*1000000000000*'[2]EF-1'!$R$6</f>
        <v>23.474564282198877</v>
      </c>
      <c r="AJ41" s="411">
        <f t="shared" si="6"/>
        <v>107.58199783610593</v>
      </c>
      <c r="AK41" s="433">
        <f>P41/$C$41*1000000000000*'[2]EF-1'!$R$8</f>
        <v>4.9873587165049136</v>
      </c>
      <c r="AL41" s="434"/>
      <c r="AM41" s="434"/>
      <c r="AN41" s="434">
        <f>S41/$C$41*1000000000000*'[2]EF-1'!$R$8</f>
        <v>1.670431335712431</v>
      </c>
      <c r="AO41" s="425">
        <f>SUM(AK41:AN41)</f>
        <v>6.6577900522173445</v>
      </c>
      <c r="AP41" s="426"/>
    </row>
    <row r="42" spans="1:42" ht="15" hidden="1" customHeight="1">
      <c r="A42" s="414" t="s">
        <v>735</v>
      </c>
      <c r="B42" s="397"/>
      <c r="C42" s="650">
        <v>16525600</v>
      </c>
      <c r="D42" s="398"/>
      <c r="E42" s="399"/>
      <c r="F42" s="371"/>
      <c r="G42" s="439"/>
      <c r="H42" s="439"/>
      <c r="I42" s="439"/>
      <c r="J42" s="419"/>
      <c r="K42" s="439"/>
      <c r="L42" s="439"/>
      <c r="M42" s="439"/>
      <c r="N42" s="439"/>
      <c r="O42" s="440"/>
      <c r="P42" s="414"/>
      <c r="Q42" s="266"/>
      <c r="R42" s="266"/>
      <c r="S42" s="266"/>
      <c r="T42" s="440"/>
      <c r="U42" s="414"/>
      <c r="V42" s="440"/>
      <c r="W42" s="266"/>
      <c r="X42" s="266"/>
      <c r="Y42" s="440"/>
      <c r="Z42" s="414" t="s">
        <v>735</v>
      </c>
      <c r="AA42" s="397"/>
      <c r="AB42" s="411"/>
      <c r="AC42" s="411"/>
      <c r="AD42" s="411"/>
      <c r="AE42" s="412"/>
      <c r="AF42" s="411"/>
      <c r="AG42" s="411"/>
      <c r="AH42" s="411"/>
      <c r="AI42" s="411"/>
      <c r="AJ42" s="411"/>
      <c r="AK42" s="424"/>
      <c r="AL42" s="441"/>
      <c r="AM42" s="441"/>
      <c r="AN42" s="441"/>
      <c r="AO42" s="425"/>
      <c r="AP42" s="426" t="e">
        <f>(G42+K42)/(G42+K42+Q42+R42)</f>
        <v>#DIV/0!</v>
      </c>
    </row>
    <row r="43" spans="1:42" ht="15" hidden="1" customHeight="1">
      <c r="A43" s="414" t="s">
        <v>736</v>
      </c>
      <c r="B43" s="397"/>
      <c r="C43" s="650"/>
      <c r="D43" s="398"/>
      <c r="E43" s="399"/>
      <c r="F43" s="371"/>
      <c r="G43" s="439"/>
      <c r="H43" s="439"/>
      <c r="I43" s="439"/>
      <c r="J43" s="419"/>
      <c r="K43" s="439"/>
      <c r="L43" s="439"/>
      <c r="M43" s="439"/>
      <c r="N43" s="439"/>
      <c r="O43" s="440"/>
      <c r="P43" s="414"/>
      <c r="Q43" s="266"/>
      <c r="R43" s="266"/>
      <c r="S43" s="266"/>
      <c r="T43" s="440"/>
      <c r="U43" s="414"/>
      <c r="V43" s="440"/>
      <c r="W43" s="266"/>
      <c r="X43" s="266"/>
      <c r="Y43" s="440"/>
      <c r="Z43" s="414" t="s">
        <v>736</v>
      </c>
      <c r="AA43" s="397"/>
      <c r="AB43" s="411"/>
      <c r="AC43" s="411"/>
      <c r="AD43" s="411"/>
      <c r="AE43" s="412"/>
      <c r="AF43" s="411"/>
      <c r="AG43" s="411"/>
      <c r="AH43" s="411"/>
      <c r="AI43" s="411"/>
      <c r="AJ43" s="411"/>
      <c r="AK43" s="424"/>
      <c r="AL43" s="441"/>
      <c r="AM43" s="441"/>
      <c r="AN43" s="441"/>
      <c r="AO43" s="425"/>
      <c r="AP43" s="426" t="e">
        <f>(G43+K43)/(G43+K43+Q43+R43)</f>
        <v>#DIV/0!</v>
      </c>
    </row>
    <row r="44" spans="1:42">
      <c r="A44" s="414" t="s">
        <v>737</v>
      </c>
      <c r="B44" s="397"/>
      <c r="C44" s="398">
        <v>3810700</v>
      </c>
      <c r="D44" s="398"/>
      <c r="E44" s="399"/>
      <c r="F44" s="442"/>
      <c r="G44" s="443"/>
      <c r="H44" s="443"/>
      <c r="I44" s="443"/>
      <c r="J44" s="444"/>
      <c r="K44" s="443"/>
      <c r="L44" s="443"/>
      <c r="M44" s="443"/>
      <c r="N44" s="443"/>
      <c r="O44" s="445"/>
      <c r="P44" s="414"/>
      <c r="Q44" s="266"/>
      <c r="R44" s="266"/>
      <c r="S44" s="266"/>
      <c r="T44" s="440"/>
      <c r="U44" s="414"/>
      <c r="V44" s="440"/>
      <c r="W44" s="266"/>
      <c r="X44" s="266"/>
      <c r="Y44" s="440"/>
      <c r="Z44" s="414" t="s">
        <v>918</v>
      </c>
      <c r="AA44" s="397"/>
      <c r="AB44" s="411"/>
      <c r="AC44" s="411"/>
      <c r="AD44" s="411"/>
      <c r="AE44" s="412"/>
      <c r="AF44" s="411"/>
      <c r="AG44" s="411"/>
      <c r="AH44" s="411"/>
      <c r="AI44" s="411"/>
      <c r="AJ44" s="411"/>
      <c r="AK44" s="424"/>
      <c r="AL44" s="441"/>
      <c r="AM44" s="441"/>
      <c r="AN44" s="441"/>
      <c r="AO44" s="425"/>
      <c r="AP44" s="426"/>
    </row>
    <row r="45" spans="1:42" s="298" customFormat="1">
      <c r="A45" s="446" t="s">
        <v>919</v>
      </c>
      <c r="B45" s="447">
        <f>(B30+B33+B41)</f>
        <v>2384228</v>
      </c>
      <c r="C45" s="448">
        <f>(C30+C33+C41)</f>
        <v>155637818.66666666</v>
      </c>
      <c r="D45" s="448"/>
      <c r="E45" s="449">
        <f>(E30+E33+E41)</f>
        <v>21.869072991606714</v>
      </c>
      <c r="F45" s="448">
        <f>(F30+F33+F41)</f>
        <v>3555</v>
      </c>
      <c r="G45" s="448">
        <f>(G30+G33+G41)</f>
        <v>7965</v>
      </c>
      <c r="H45" s="448">
        <f>(H30+H33+H41)</f>
        <v>47938</v>
      </c>
      <c r="I45" s="448"/>
      <c r="J45" s="448"/>
      <c r="K45" s="448">
        <f t="shared" ref="K45:T45" si="9">(K30+K33+K41)</f>
        <v>14669</v>
      </c>
      <c r="L45" s="448">
        <f t="shared" si="9"/>
        <v>19838</v>
      </c>
      <c r="M45" s="448">
        <f t="shared" si="9"/>
        <v>11054</v>
      </c>
      <c r="N45" s="448">
        <f t="shared" si="9"/>
        <v>50691</v>
      </c>
      <c r="O45" s="450">
        <f t="shared" si="9"/>
        <v>155710</v>
      </c>
      <c r="P45" s="447">
        <f t="shared" si="9"/>
        <v>3959</v>
      </c>
      <c r="Q45" s="448">
        <f t="shared" si="9"/>
        <v>19003</v>
      </c>
      <c r="R45" s="448">
        <f t="shared" si="9"/>
        <v>13873</v>
      </c>
      <c r="S45" s="448">
        <f t="shared" si="9"/>
        <v>6888</v>
      </c>
      <c r="T45" s="450">
        <f t="shared" si="9"/>
        <v>43723</v>
      </c>
      <c r="U45" s="447"/>
      <c r="V45" s="450"/>
      <c r="W45" s="448">
        <f>(W30+W33+W41)</f>
        <v>25701.35652358898</v>
      </c>
      <c r="X45" s="448">
        <f>(X30+X33+X41)</f>
        <v>2861.1238125</v>
      </c>
      <c r="Y45" s="450">
        <f>(Y30+Y33+Y41)</f>
        <v>28562.480336088982</v>
      </c>
      <c r="Z45" s="446" t="s">
        <v>919</v>
      </c>
      <c r="AA45" s="447"/>
      <c r="AB45" s="448"/>
      <c r="AC45" s="448"/>
      <c r="AD45" s="448"/>
      <c r="AE45" s="451"/>
      <c r="AF45" s="448"/>
      <c r="AG45" s="448"/>
      <c r="AH45" s="448"/>
      <c r="AI45" s="448"/>
      <c r="AJ45" s="448"/>
      <c r="AK45" s="452"/>
      <c r="AL45" s="453"/>
      <c r="AM45" s="453"/>
      <c r="AN45" s="453"/>
      <c r="AO45" s="454"/>
      <c r="AP45" s="455"/>
    </row>
    <row r="46" spans="1:42">
      <c r="A46" s="456"/>
      <c r="B46" s="457"/>
      <c r="C46" s="457"/>
      <c r="D46" s="457"/>
      <c r="E46" s="457"/>
      <c r="F46" s="457"/>
      <c r="G46" s="266"/>
      <c r="H46" s="266"/>
      <c r="I46" s="266"/>
      <c r="K46" s="266"/>
      <c r="L46" s="266"/>
      <c r="M46" s="266"/>
      <c r="N46" s="266"/>
      <c r="O46" s="266"/>
      <c r="P46" s="266"/>
      <c r="Q46" s="266"/>
      <c r="R46" s="266"/>
      <c r="S46" s="266"/>
      <c r="T46" s="266"/>
      <c r="U46" s="266"/>
      <c r="V46" s="266"/>
      <c r="W46" s="266"/>
      <c r="X46" s="266"/>
      <c r="Y46" s="458"/>
      <c r="Z46" s="456"/>
      <c r="AA46" s="457"/>
      <c r="AB46" s="457"/>
      <c r="AC46" s="457"/>
      <c r="AD46" s="457"/>
      <c r="AF46" s="457"/>
      <c r="AG46" s="457"/>
      <c r="AH46" s="457"/>
      <c r="AI46" s="457"/>
      <c r="AJ46" s="457"/>
      <c r="AK46" s="459"/>
      <c r="AL46" s="459"/>
      <c r="AM46" s="459"/>
      <c r="AN46" s="459"/>
      <c r="AO46" s="459"/>
      <c r="AP46" s="457"/>
    </row>
    <row r="47" spans="1:42">
      <c r="A47" s="266"/>
      <c r="B47" s="457"/>
      <c r="C47" s="457"/>
      <c r="D47" s="457"/>
      <c r="E47" s="457"/>
      <c r="F47" s="457"/>
      <c r="G47" s="266"/>
      <c r="H47" s="266"/>
      <c r="I47" s="266"/>
      <c r="K47" s="266"/>
      <c r="L47" s="266"/>
      <c r="M47" s="266"/>
      <c r="N47" s="266"/>
      <c r="O47" s="405"/>
      <c r="P47" s="266"/>
      <c r="Q47" s="266"/>
      <c r="R47" s="266"/>
      <c r="S47" s="266"/>
      <c r="T47" s="266"/>
      <c r="U47" s="266"/>
      <c r="V47" s="266"/>
      <c r="W47" s="266"/>
      <c r="X47" s="266"/>
      <c r="Y47" s="266"/>
      <c r="Z47" s="266"/>
      <c r="AA47" s="457"/>
      <c r="AB47" s="457"/>
      <c r="AC47" s="457"/>
      <c r="AD47" s="457"/>
      <c r="AF47" s="457"/>
      <c r="AG47" s="457"/>
      <c r="AH47" s="457"/>
      <c r="AI47" s="457"/>
      <c r="AJ47" s="457"/>
      <c r="AK47" s="459"/>
      <c r="AL47" s="459"/>
      <c r="AM47" s="459"/>
      <c r="AN47" s="459"/>
      <c r="AO47" s="459"/>
      <c r="AP47" s="457"/>
    </row>
    <row r="48" spans="1:42" s="259" customFormat="1" ht="15" customHeight="1">
      <c r="A48" s="628">
        <v>2050</v>
      </c>
      <c r="B48" s="651" t="s">
        <v>920</v>
      </c>
      <c r="C48" s="652"/>
      <c r="D48" s="652"/>
      <c r="E48" s="653"/>
      <c r="F48" s="654" t="s">
        <v>897</v>
      </c>
      <c r="G48" s="655"/>
      <c r="H48" s="655"/>
      <c r="I48" s="655"/>
      <c r="J48" s="655"/>
      <c r="K48" s="655"/>
      <c r="L48" s="655"/>
      <c r="M48" s="655"/>
      <c r="N48" s="655"/>
      <c r="O48" s="656"/>
      <c r="P48" s="361" t="s">
        <v>898</v>
      </c>
      <c r="Q48" s="362"/>
      <c r="R48" s="362"/>
      <c r="S48" s="362"/>
      <c r="T48" s="363"/>
      <c r="U48" s="400" t="s">
        <v>921</v>
      </c>
      <c r="V48" s="460"/>
      <c r="W48" s="368" t="s">
        <v>900</v>
      </c>
      <c r="X48" s="368"/>
      <c r="Y48" s="461"/>
      <c r="Z48" s="462">
        <v>2050</v>
      </c>
      <c r="AA48" s="367" t="s">
        <v>901</v>
      </c>
      <c r="AB48" s="368"/>
      <c r="AC48" s="368"/>
      <c r="AD48" s="368"/>
      <c r="AE48" s="369"/>
      <c r="AF48" s="368"/>
      <c r="AG48" s="368"/>
      <c r="AH48" s="368"/>
      <c r="AI48" s="368"/>
      <c r="AJ48" s="461"/>
      <c r="AK48" s="463" t="s">
        <v>902</v>
      </c>
      <c r="AL48" s="464"/>
      <c r="AM48" s="464"/>
      <c r="AN48" s="464"/>
      <c r="AO48" s="464"/>
      <c r="AP48" s="370" t="s">
        <v>922</v>
      </c>
    </row>
    <row r="49" spans="1:42" s="259" customFormat="1" ht="72.599999999999994" customHeight="1">
      <c r="A49" s="629"/>
      <c r="B49" s="371" t="s">
        <v>923</v>
      </c>
      <c r="C49" s="372" t="s">
        <v>905</v>
      </c>
      <c r="D49" s="372" t="s">
        <v>906</v>
      </c>
      <c r="E49" s="373" t="s">
        <v>907</v>
      </c>
      <c r="F49" s="377" t="s">
        <v>863</v>
      </c>
      <c r="G49" s="374" t="s">
        <v>864</v>
      </c>
      <c r="H49" s="374" t="s">
        <v>865</v>
      </c>
      <c r="I49" s="374" t="s">
        <v>866</v>
      </c>
      <c r="J49" s="269" t="s">
        <v>891</v>
      </c>
      <c r="K49" s="374" t="s">
        <v>867</v>
      </c>
      <c r="L49" s="374" t="s">
        <v>868</v>
      </c>
      <c r="M49" s="374" t="s">
        <v>869</v>
      </c>
      <c r="N49" s="374" t="s">
        <v>870</v>
      </c>
      <c r="O49" s="376" t="s">
        <v>738</v>
      </c>
      <c r="P49" s="377" t="s">
        <v>863</v>
      </c>
      <c r="Q49" s="374" t="s">
        <v>864</v>
      </c>
      <c r="R49" s="378" t="s">
        <v>908</v>
      </c>
      <c r="S49" s="374" t="s">
        <v>870</v>
      </c>
      <c r="T49" s="376" t="s">
        <v>738</v>
      </c>
      <c r="U49" s="379" t="s">
        <v>810</v>
      </c>
      <c r="V49" s="380" t="s">
        <v>883</v>
      </c>
      <c r="W49" s="381" t="s">
        <v>810</v>
      </c>
      <c r="X49" s="381" t="s">
        <v>883</v>
      </c>
      <c r="Y49" s="380" t="s">
        <v>872</v>
      </c>
      <c r="Z49" s="465"/>
      <c r="AA49" s="377" t="s">
        <v>863</v>
      </c>
      <c r="AB49" s="374" t="s">
        <v>864</v>
      </c>
      <c r="AC49" s="374" t="s">
        <v>865</v>
      </c>
      <c r="AD49" s="374" t="s">
        <v>866</v>
      </c>
      <c r="AE49" s="269" t="s">
        <v>891</v>
      </c>
      <c r="AF49" s="374" t="s">
        <v>867</v>
      </c>
      <c r="AG49" s="374" t="s">
        <v>868</v>
      </c>
      <c r="AH49" s="374" t="s">
        <v>869</v>
      </c>
      <c r="AI49" s="374" t="s">
        <v>870</v>
      </c>
      <c r="AJ49" s="376" t="s">
        <v>738</v>
      </c>
      <c r="AK49" s="466" t="s">
        <v>863</v>
      </c>
      <c r="AL49" s="467" t="s">
        <v>864</v>
      </c>
      <c r="AM49" s="467" t="s">
        <v>68</v>
      </c>
      <c r="AN49" s="467" t="s">
        <v>870</v>
      </c>
      <c r="AO49" s="441" t="s">
        <v>872</v>
      </c>
      <c r="AP49" s="386"/>
    </row>
    <row r="50" spans="1:42" s="254" customFormat="1" ht="43.5" customHeight="1">
      <c r="A50" s="630"/>
      <c r="B50" s="468"/>
      <c r="C50" s="469" t="s">
        <v>909</v>
      </c>
      <c r="D50" s="469" t="s">
        <v>910</v>
      </c>
      <c r="E50" s="470" t="s">
        <v>909</v>
      </c>
      <c r="F50" s="471" t="s">
        <v>911</v>
      </c>
      <c r="G50" s="472" t="s">
        <v>911</v>
      </c>
      <c r="H50" s="472" t="s">
        <v>911</v>
      </c>
      <c r="I50" s="390" t="s">
        <v>911</v>
      </c>
      <c r="J50" s="390" t="s">
        <v>911</v>
      </c>
      <c r="K50" s="472" t="s">
        <v>911</v>
      </c>
      <c r="L50" s="472" t="s">
        <v>911</v>
      </c>
      <c r="M50" s="472" t="s">
        <v>911</v>
      </c>
      <c r="N50" s="472" t="s">
        <v>911</v>
      </c>
      <c r="O50" s="473" t="s">
        <v>911</v>
      </c>
      <c r="P50" s="468" t="s">
        <v>911</v>
      </c>
      <c r="Q50" s="469" t="s">
        <v>911</v>
      </c>
      <c r="R50" s="469" t="s">
        <v>911</v>
      </c>
      <c r="S50" s="469" t="s">
        <v>911</v>
      </c>
      <c r="T50" s="470" t="s">
        <v>911</v>
      </c>
      <c r="U50" s="474" t="s">
        <v>882</v>
      </c>
      <c r="V50" s="475" t="s">
        <v>884</v>
      </c>
      <c r="W50" s="476" t="s">
        <v>912</v>
      </c>
      <c r="X50" s="476" t="s">
        <v>912</v>
      </c>
      <c r="Y50" s="475" t="s">
        <v>912</v>
      </c>
      <c r="Z50" s="477"/>
      <c r="AA50" s="388" t="s">
        <v>913</v>
      </c>
      <c r="AB50" s="388" t="s">
        <v>913</v>
      </c>
      <c r="AC50" s="388" t="s">
        <v>913</v>
      </c>
      <c r="AD50" s="388" t="s">
        <v>913</v>
      </c>
      <c r="AE50" s="388" t="s">
        <v>913</v>
      </c>
      <c r="AF50" s="388" t="s">
        <v>913</v>
      </c>
      <c r="AG50" s="388" t="s">
        <v>913</v>
      </c>
      <c r="AH50" s="388" t="s">
        <v>913</v>
      </c>
      <c r="AI50" s="388" t="s">
        <v>913</v>
      </c>
      <c r="AJ50" s="388" t="s">
        <v>913</v>
      </c>
      <c r="AK50" s="478" t="s">
        <v>924</v>
      </c>
      <c r="AL50" s="478" t="s">
        <v>924</v>
      </c>
      <c r="AM50" s="478" t="s">
        <v>924</v>
      </c>
      <c r="AN50" s="478" t="s">
        <v>924</v>
      </c>
      <c r="AO50" s="478" t="s">
        <v>924</v>
      </c>
      <c r="AP50" s="479"/>
    </row>
    <row r="51" spans="1:42">
      <c r="A51" s="280" t="s">
        <v>925</v>
      </c>
      <c r="B51" s="397">
        <f>SUM(B52:B53)</f>
        <v>4296753.4008807326</v>
      </c>
      <c r="C51" s="480">
        <f>SUM(C52:C53)</f>
        <v>19430160402.255188</v>
      </c>
      <c r="D51" s="398">
        <f>'[2]Population and GDP'!E41/1000</f>
        <v>9066.5</v>
      </c>
      <c r="E51" s="481">
        <f>C51/D51/1000</f>
        <v>2143.0717920096163</v>
      </c>
      <c r="F51" s="400"/>
      <c r="G51" s="401">
        <f>SUM(G52:G53)</f>
        <v>3171.148760828064</v>
      </c>
      <c r="H51" s="401">
        <f>SUM(H52:H53)</f>
        <v>24658.341046202851</v>
      </c>
      <c r="I51" s="401"/>
      <c r="J51" s="402"/>
      <c r="K51" s="401">
        <f>SUM(K52:K53)</f>
        <v>8379.9627395409279</v>
      </c>
      <c r="L51" s="401">
        <f>SUM(L52:L53)</f>
        <v>4533.1416906960767</v>
      </c>
      <c r="M51" s="401">
        <f>SUM(M52:M53)</f>
        <v>10878.303296917571</v>
      </c>
      <c r="N51" s="401">
        <f>SUM(N52:N53)</f>
        <v>5110.8994899781919</v>
      </c>
      <c r="O51" s="403">
        <f>SUM(O52:O53)</f>
        <v>56731.797024163679</v>
      </c>
      <c r="P51" s="404"/>
      <c r="Q51" s="482">
        <f>SUM(Q52:Q53)</f>
        <v>8723.7159436822622</v>
      </c>
      <c r="R51" s="482">
        <f>SUM(R52:R53)</f>
        <v>8104.0668329107057</v>
      </c>
      <c r="S51" s="482">
        <f>SUM(S52:S53)</f>
        <v>30.80100631141196</v>
      </c>
      <c r="T51" s="410">
        <f>SUM(T52:T53)*(1-'[2]Key parameters rpt'!O42)</f>
        <v>0</v>
      </c>
      <c r="U51" s="483">
        <f>+O12</f>
        <v>8.765039029278613E-3</v>
      </c>
      <c r="V51" s="484">
        <f>+O13</f>
        <v>65437.5</v>
      </c>
      <c r="W51" s="485">
        <f>SUM(W52:W53)</f>
        <v>138.12678197719634</v>
      </c>
      <c r="X51" s="401">
        <f>SUM(X52:X53)</f>
        <v>0</v>
      </c>
      <c r="Y51" s="403">
        <f>W51+X51</f>
        <v>138.12678197719634</v>
      </c>
      <c r="Z51" s="280" t="s">
        <v>874</v>
      </c>
      <c r="AA51" s="400"/>
      <c r="AB51" s="486"/>
      <c r="AC51" s="486"/>
      <c r="AD51" s="486"/>
      <c r="AE51" s="375"/>
      <c r="AF51" s="486"/>
      <c r="AG51" s="486"/>
      <c r="AH51" s="486"/>
      <c r="AI51" s="486"/>
      <c r="AJ51" s="460"/>
      <c r="AK51" s="424"/>
      <c r="AL51" s="459"/>
      <c r="AM51" s="459"/>
      <c r="AN51" s="459"/>
      <c r="AO51" s="441"/>
      <c r="AP51" s="413"/>
    </row>
    <row r="52" spans="1:42">
      <c r="A52" s="414" t="s">
        <v>916</v>
      </c>
      <c r="B52" s="397">
        <f>'[2]Key parameters rpt'!O27</f>
        <v>2174901.2425941145</v>
      </c>
      <c r="C52" s="480">
        <f>D52*D51*E52</f>
        <v>7887496846.3918161</v>
      </c>
      <c r="D52" s="487">
        <f>B5</f>
        <v>0.4</v>
      </c>
      <c r="E52" s="481">
        <f>C5</f>
        <v>2174901.2425941145</v>
      </c>
      <c r="F52" s="488"/>
      <c r="G52" s="489">
        <f>$B$52*AB52*'[2]EF-1'!$R$5/1000000000000</f>
        <v>1790.6316982867093</v>
      </c>
      <c r="H52" s="489">
        <f>$B$52*AC52*'[2]EF-1'!$R$5/1000000000000</f>
        <v>15685.378442356445</v>
      </c>
      <c r="I52" s="489">
        <v>0</v>
      </c>
      <c r="J52" s="419"/>
      <c r="K52" s="489">
        <f>$B$52*AF52*'[2]EF-1'!$R$5/1000000000000</f>
        <v>5030.6798231746479</v>
      </c>
      <c r="L52" s="489">
        <f>$B$52*AG52*'[2]EF-1'!$R$5/1000000000000</f>
        <v>2860.0934432025397</v>
      </c>
      <c r="M52" s="489">
        <f>$B$52*AH52*'[2]EF-1'!$R$5/1000000000000</f>
        <v>5974.5424130462397</v>
      </c>
      <c r="N52" s="489">
        <f>$B$52*AI52*'[2]EF-1'!$R$5/1000000000000</f>
        <v>3025.8327962804174</v>
      </c>
      <c r="O52" s="408">
        <f>SUM(F52:N52)</f>
        <v>34367.158616346998</v>
      </c>
      <c r="P52" s="490"/>
      <c r="Q52" s="489">
        <f>$B$52*AL52*'[2]EF-1'!$R$5/1000000000000</f>
        <v>4307.1510298506109</v>
      </c>
      <c r="R52" s="489">
        <f>$B$52*AM52*'[2]EF-1'!$R$5/1000000000000</f>
        <v>2994.8194943732215</v>
      </c>
      <c r="S52" s="489">
        <f>$B$52*AN52*'[2]EF-1'!$R$5/1000000000000</f>
        <v>0.86188382903803695</v>
      </c>
      <c r="T52" s="491">
        <f>SUM(Q52:S52)*(1-'[2]Key parameters rpt'!O42)-('[2]Key parameters rpt'!O43/4)</f>
        <v>0</v>
      </c>
      <c r="U52" s="407">
        <f>[2]Electricity!$K$6</f>
        <v>8.765039029278613E-3</v>
      </c>
      <c r="V52" s="489">
        <f>O13</f>
        <v>65437.5</v>
      </c>
      <c r="W52" s="490">
        <f>O52*1000000000000*'[2]EF-1'!R6*U52/1000000</f>
        <v>83.674857388247275</v>
      </c>
      <c r="X52" s="489">
        <f>T52*V52/1000000</f>
        <v>0</v>
      </c>
      <c r="Y52" s="410">
        <f>W52+X52</f>
        <v>83.674857388247275</v>
      </c>
      <c r="Z52" s="414" t="s">
        <v>916</v>
      </c>
      <c r="AA52" s="397"/>
      <c r="AB52" s="411">
        <f>AB31*(1-E5)+AL31*(1-N5)*R5</f>
        <v>228.69897916617998</v>
      </c>
      <c r="AC52" s="492">
        <f>AC31*(1-F5)</f>
        <v>2003.332143083592</v>
      </c>
      <c r="AD52" s="411"/>
      <c r="AE52" s="492"/>
      <c r="AF52" s="411">
        <f>AF31*(1-H5)+AM31*(1-O5)*R5</f>
        <v>642.5170185319289</v>
      </c>
      <c r="AG52" s="411">
        <f>AG31*(1-I5)</f>
        <v>365.29033380016341</v>
      </c>
      <c r="AH52" s="411">
        <f t="shared" ref="AG52:AI54" si="10">AH31*(1-J5)</f>
        <v>763.06688424876882</v>
      </c>
      <c r="AI52" s="411">
        <f>AI31*(1-K5)</f>
        <v>386.458517571757</v>
      </c>
      <c r="AJ52" s="493">
        <f t="shared" ref="AJ52:AJ65" si="11">SUM(AA52:AI52)</f>
        <v>4389.3638764023899</v>
      </c>
      <c r="AK52" s="424"/>
      <c r="AL52" s="459">
        <f>AL31*(1-N5)*(1-R5)</f>
        <v>550.10812362134027</v>
      </c>
      <c r="AM52" s="459">
        <f>AM31*(1-O5)*(1-R5)</f>
        <v>382.49750733523848</v>
      </c>
      <c r="AN52" s="459">
        <f>AN31*(1-P5)</f>
        <v>0.11007956133549728</v>
      </c>
      <c r="AO52" s="459">
        <f>SUM(AK52:AN52)</f>
        <v>932.71571051791432</v>
      </c>
      <c r="AP52" s="426">
        <f>(G52+K52)/((G52+K52)+(Q52+R52))</f>
        <v>0.48298345238707024</v>
      </c>
    </row>
    <row r="53" spans="1:42">
      <c r="A53" s="414" t="s">
        <v>726</v>
      </c>
      <c r="B53" s="397">
        <f>'[2]Key parameters rpt'!O28</f>
        <v>2121852.1582866181</v>
      </c>
      <c r="C53" s="480">
        <f>D53*D51*E53</f>
        <v>11542663555.863373</v>
      </c>
      <c r="D53" s="487">
        <f>B6</f>
        <v>0.6</v>
      </c>
      <c r="E53" s="481">
        <f>C6</f>
        <v>2121852.1582866181</v>
      </c>
      <c r="F53" s="488"/>
      <c r="G53" s="489">
        <f>$B$53*AB53*'[2]EF-1'!$R$5/1000000000000</f>
        <v>1380.5170625413548</v>
      </c>
      <c r="H53" s="489">
        <f>$B$53*AC53*'[2]EF-1'!$R$5/1000000000000</f>
        <v>8972.9626038464066</v>
      </c>
      <c r="I53" s="489">
        <v>0</v>
      </c>
      <c r="J53" s="419"/>
      <c r="K53" s="489">
        <f>$B$53*AF53*'[2]EF-1'!$R$5/1000000000000</f>
        <v>3349.28291636628</v>
      </c>
      <c r="L53" s="489">
        <f>$B$53*AG53*'[2]EF-1'!$R$5/1000000000000</f>
        <v>1673.0482474935366</v>
      </c>
      <c r="M53" s="489">
        <f>$B$53*AH53*'[2]EF-1'!$R$5/1000000000000</f>
        <v>4903.7608838713313</v>
      </c>
      <c r="N53" s="489">
        <f>$B$53*AI53*'[2]EF-1'!$R$5/1000000000000</f>
        <v>2085.0666936977741</v>
      </c>
      <c r="O53" s="408">
        <f>SUM(F53:N53)</f>
        <v>22364.638407816681</v>
      </c>
      <c r="P53" s="490"/>
      <c r="Q53" s="489">
        <f>$B$52*AL53*'[2]EF-1'!$R$5/1000000000000</f>
        <v>4416.5649138316503</v>
      </c>
      <c r="R53" s="489">
        <f>$B$52*AM53*'[2]EF-1'!$R$5/1000000000000</f>
        <v>5109.2473385374842</v>
      </c>
      <c r="S53" s="489">
        <f>$B$52*AN53*'[2]EF-1'!$R$5/1000000000000</f>
        <v>29.939122482373925</v>
      </c>
      <c r="T53" s="491">
        <f>SUM(Q53:S53)*(1-'[2]Key parameters rpt'!O42)-('[2]Key parameters rpt'!O43/4)</f>
        <v>0</v>
      </c>
      <c r="U53" s="407">
        <f>[2]Electricity!$K$6</f>
        <v>8.765039029278613E-3</v>
      </c>
      <c r="V53" s="489">
        <f>O13</f>
        <v>65437.5</v>
      </c>
      <c r="W53" s="490">
        <f>O53*1000000000000*'[2]EF-1'!R6*U53/1000000</f>
        <v>54.451924588949076</v>
      </c>
      <c r="X53" s="489">
        <f>T53*V53/1000000</f>
        <v>0</v>
      </c>
      <c r="Y53" s="410">
        <f>W53+X53</f>
        <v>54.451924588949076</v>
      </c>
      <c r="Z53" s="414" t="s">
        <v>726</v>
      </c>
      <c r="AA53" s="397"/>
      <c r="AB53" s="411">
        <f>AB32*(1-E6)+AL32*(1-N6)*R6</f>
        <v>180.72746506839485</v>
      </c>
      <c r="AC53" s="411">
        <f>AC32*(1-F6)</f>
        <v>1174.6763799944604</v>
      </c>
      <c r="AD53" s="411"/>
      <c r="AE53" s="492"/>
      <c r="AF53" s="411">
        <f>AF32*(1-H6)+AM32*(1-O6)*R6</f>
        <v>438.46427378265446</v>
      </c>
      <c r="AG53" s="411">
        <f t="shared" si="10"/>
        <v>219.02356509090208</v>
      </c>
      <c r="AH53" s="411">
        <f t="shared" si="10"/>
        <v>641.96546199302679</v>
      </c>
      <c r="AI53" s="411">
        <f t="shared" si="10"/>
        <v>272.96208665240584</v>
      </c>
      <c r="AJ53" s="493">
        <f t="shared" si="11"/>
        <v>2927.819232581845</v>
      </c>
      <c r="AK53" s="424"/>
      <c r="AL53" s="459">
        <f>AL32*(1-N6)*(1-R6)</f>
        <v>564.0824342498255</v>
      </c>
      <c r="AM53" s="459">
        <f>AM32*(1-O6)*(1-R6)</f>
        <v>652.55163959682795</v>
      </c>
      <c r="AN53" s="459">
        <f>AN32*(1-P6)</f>
        <v>3.823816341127801</v>
      </c>
      <c r="AO53" s="459">
        <f t="shared" ref="AO53:AO62" si="12">SUM(AK53:AN53)</f>
        <v>1220.4578901877812</v>
      </c>
      <c r="AP53" s="426">
        <f>(G53+K53)/((G53+K53)+(Q53+R53))</f>
        <v>0.33178511748029088</v>
      </c>
    </row>
    <row r="54" spans="1:42">
      <c r="A54" s="280" t="s">
        <v>727</v>
      </c>
      <c r="B54" s="397"/>
      <c r="C54" s="398">
        <f>D54*E54*1000</f>
        <v>53516826.285152346</v>
      </c>
      <c r="D54" s="398">
        <f>D51</f>
        <v>9066.5</v>
      </c>
      <c r="E54" s="493">
        <f>C7</f>
        <v>5.9026996398998897</v>
      </c>
      <c r="F54" s="494"/>
      <c r="G54" s="482">
        <f>$C$54*AB54*'[2]EF-1'!$R$5/1000000000000</f>
        <v>2067.1713509167821</v>
      </c>
      <c r="H54" s="495">
        <f>AC24*1000000*AC54*'[2]EF-1'!$R$5/1000000000000</f>
        <v>28244.939753708004</v>
      </c>
      <c r="I54" s="496">
        <f>AD54*'[2]EF-1'!$R$5/1000000000000*AD24*1000000</f>
        <v>832.42962294705706</v>
      </c>
      <c r="J54" s="497">
        <f>AE24*1000000*AE54*'[2]EF-1'!$R$5/1000000000000</f>
        <v>1189.2606212087583</v>
      </c>
      <c r="K54" s="482">
        <f>$C$54*AF54*'[2]EF-1'!$R$5/1000000000000</f>
        <v>3036.696380813627</v>
      </c>
      <c r="L54" s="482">
        <f>$C$54*AG54*'[2]EF-1'!$R$5/1000000000000</f>
        <v>11159.290529755846</v>
      </c>
      <c r="M54" s="482">
        <f>$C$54*AH54*'[2]EF-1'!$R$5/1000000000000</f>
        <v>4670.916716268116</v>
      </c>
      <c r="N54" s="482">
        <f>$C$54*AI54*'[2]EF-1'!$R$5/1000000000000</f>
        <v>34731.918009954599</v>
      </c>
      <c r="O54" s="410">
        <f>SUM(G54:N54)</f>
        <v>85932.622985572787</v>
      </c>
      <c r="P54" s="404"/>
      <c r="Q54" s="482">
        <f>$C$54*AL54*'[2]EF-1'!$R$7/1000000000000</f>
        <v>4257.6871671890849</v>
      </c>
      <c r="R54" s="482">
        <f>$C$54*AM54*'[2]EF-1'!$R$7/1000000000000</f>
        <v>3193.649227462422</v>
      </c>
      <c r="S54" s="482">
        <f>$C$54*AN54*'[2]EF-1'!$R$7/1000000000000</f>
        <v>2830.7810700472201</v>
      </c>
      <c r="T54" s="491">
        <f>SUM(Q54:S54)*(1-'[2]Key parameters rpt'!O42)-('[2]Key parameters rpt'!O43/4)</f>
        <v>0</v>
      </c>
      <c r="U54" s="407">
        <f>[2]Electricity!$K$6</f>
        <v>8.765039029278613E-3</v>
      </c>
      <c r="V54" s="489">
        <f>O13</f>
        <v>65437.5</v>
      </c>
      <c r="W54" s="490">
        <f>O54*1000000000000*'[2]EF-1'!R6*U54/1000000</f>
        <v>209.22299843245273</v>
      </c>
      <c r="X54" s="489">
        <f>T54*V54/1000000</f>
        <v>0</v>
      </c>
      <c r="Y54" s="410">
        <f>W54+X54</f>
        <v>209.22299843245273</v>
      </c>
      <c r="Z54" s="280" t="s">
        <v>727</v>
      </c>
      <c r="AA54" s="498"/>
      <c r="AB54" s="432">
        <f>AB33*(1-E7)+AL33*(1-N7)*R7</f>
        <v>10.729602332619265</v>
      </c>
      <c r="AC54" s="432">
        <f>AC33*(1-F7)</f>
        <v>160.96794348668774</v>
      </c>
      <c r="AD54" s="432">
        <f t="shared" ref="AD54:AD62" si="13">AC54*(1-$AD$23)</f>
        <v>104.62916326634704</v>
      </c>
      <c r="AE54" s="499">
        <f t="shared" ref="AE54:AE62" si="14">AC54*(1-$AE$23)</f>
        <v>128.77435478935021</v>
      </c>
      <c r="AF54" s="432">
        <f>AF33*(1-H7)+AM33*(1-O7)*R7</f>
        <v>15.761898285105465</v>
      </c>
      <c r="AG54" s="432">
        <f t="shared" si="10"/>
        <v>57.922024531417058</v>
      </c>
      <c r="AH54" s="432">
        <f>AH33*(1-J7)</f>
        <v>24.244278962222445</v>
      </c>
      <c r="AI54" s="432">
        <f>AI33*(1-K7)</f>
        <v>180.27517086606142</v>
      </c>
      <c r="AJ54" s="500">
        <f t="shared" si="11"/>
        <v>683.30443651981057</v>
      </c>
      <c r="AK54" s="433"/>
      <c r="AL54" s="501">
        <f>AL33*(1-N7)*(1-R7)</f>
        <v>2.2355264680257037</v>
      </c>
      <c r="AM54" s="501">
        <f>AM33*(1-O7)*(1-R7)</f>
        <v>1.6768463950571453</v>
      </c>
      <c r="AN54" s="501">
        <f>AN33*(1-P7)</f>
        <v>1.4863200979264535</v>
      </c>
      <c r="AO54" s="501">
        <f t="shared" si="12"/>
        <v>5.3986929610093028</v>
      </c>
      <c r="AP54" s="426">
        <f>(G54+K54)/((G54+K54)+(Q54+R54))</f>
        <v>0.40651411799874987</v>
      </c>
    </row>
    <row r="55" spans="1:42" ht="14.65" hidden="1" customHeight="1">
      <c r="A55" s="414" t="s">
        <v>926</v>
      </c>
      <c r="B55" s="435"/>
      <c r="C55" s="398"/>
      <c r="D55" s="436"/>
      <c r="E55" s="493"/>
      <c r="F55" s="371"/>
      <c r="G55" s="489"/>
      <c r="H55" s="489"/>
      <c r="I55" s="489"/>
      <c r="J55" s="419"/>
      <c r="K55" s="489"/>
      <c r="L55" s="489"/>
      <c r="M55" s="489"/>
      <c r="N55" s="489"/>
      <c r="O55" s="408"/>
      <c r="P55" s="490"/>
      <c r="Q55" s="439"/>
      <c r="R55" s="439"/>
      <c r="S55" s="439"/>
      <c r="T55" s="408">
        <f t="shared" ref="T55:T61" si="15">SUM(Q55:S55)</f>
        <v>0</v>
      </c>
      <c r="U55" s="407">
        <f>[2]Electricity!$K$6</f>
        <v>8.765039029278613E-3</v>
      </c>
      <c r="V55" s="489"/>
      <c r="W55" s="490">
        <f t="shared" ref="W55:W61" si="16">O55*1000000000000*$AI$46*U55/1000000</f>
        <v>0</v>
      </c>
      <c r="X55" s="489"/>
      <c r="Y55" s="410"/>
      <c r="Z55" s="414" t="s">
        <v>926</v>
      </c>
      <c r="AA55" s="502"/>
      <c r="AB55" s="503"/>
      <c r="AC55" s="432">
        <f>AC34*(1-F8)</f>
        <v>0</v>
      </c>
      <c r="AD55" s="432">
        <f t="shared" si="13"/>
        <v>0</v>
      </c>
      <c r="AE55" s="499">
        <f t="shared" si="14"/>
        <v>0</v>
      </c>
      <c r="AF55" s="503"/>
      <c r="AG55" s="432">
        <f>AG34*(1-I8)</f>
        <v>0</v>
      </c>
      <c r="AH55" s="503"/>
      <c r="AI55" s="432">
        <f>AI34*(1-K8)</f>
        <v>0</v>
      </c>
      <c r="AJ55" s="500">
        <f t="shared" si="11"/>
        <v>0</v>
      </c>
      <c r="AK55" s="433"/>
      <c r="AL55" s="501"/>
      <c r="AM55" s="501"/>
      <c r="AN55" s="501"/>
      <c r="AO55" s="501">
        <f t="shared" si="12"/>
        <v>0</v>
      </c>
      <c r="AP55" s="426" t="e">
        <f>(#REF!+J71)/(#REF!+J71+Q55+R55)</f>
        <v>#REF!</v>
      </c>
    </row>
    <row r="56" spans="1:42" ht="14.65" hidden="1" customHeight="1">
      <c r="A56" s="414" t="s">
        <v>728</v>
      </c>
      <c r="B56" s="435"/>
      <c r="C56" s="635"/>
      <c r="D56" s="635"/>
      <c r="E56" s="657"/>
      <c r="F56" s="371"/>
      <c r="G56" s="489"/>
      <c r="H56" s="489"/>
      <c r="I56" s="489"/>
      <c r="J56" s="419"/>
      <c r="K56" s="489"/>
      <c r="L56" s="489"/>
      <c r="M56" s="489"/>
      <c r="N56" s="489"/>
      <c r="O56" s="408"/>
      <c r="P56" s="490"/>
      <c r="Q56" s="439"/>
      <c r="R56" s="439"/>
      <c r="S56" s="439"/>
      <c r="T56" s="408">
        <f t="shared" si="15"/>
        <v>0</v>
      </c>
      <c r="U56" s="407">
        <f>[2]Electricity!$K$6</f>
        <v>8.765039029278613E-3</v>
      </c>
      <c r="V56" s="489"/>
      <c r="W56" s="490">
        <f t="shared" si="16"/>
        <v>0</v>
      </c>
      <c r="X56" s="489"/>
      <c r="Y56" s="410"/>
      <c r="Z56" s="414" t="s">
        <v>728</v>
      </c>
      <c r="AA56" s="502"/>
      <c r="AB56" s="503"/>
      <c r="AC56" s="432" t="e">
        <f>AC35*(1-#REF!)</f>
        <v>#REF!</v>
      </c>
      <c r="AD56" s="432" t="e">
        <f t="shared" si="13"/>
        <v>#REF!</v>
      </c>
      <c r="AE56" s="499" t="e">
        <f t="shared" si="14"/>
        <v>#REF!</v>
      </c>
      <c r="AF56" s="503"/>
      <c r="AG56" s="432" t="e">
        <f>AG35*(1-#REF!)</f>
        <v>#REF!</v>
      </c>
      <c r="AH56" s="503"/>
      <c r="AI56" s="432" t="e">
        <f>AI35*(1-#REF!)</f>
        <v>#REF!</v>
      </c>
      <c r="AJ56" s="500" t="e">
        <f t="shared" si="11"/>
        <v>#REF!</v>
      </c>
      <c r="AK56" s="433"/>
      <c r="AL56" s="501"/>
      <c r="AM56" s="501"/>
      <c r="AN56" s="501"/>
      <c r="AO56" s="501">
        <f t="shared" si="12"/>
        <v>0</v>
      </c>
      <c r="AP56" s="426" t="e">
        <f>(#REF!+J72)/(#REF!+J72+Q56+R56)</f>
        <v>#REF!</v>
      </c>
    </row>
    <row r="57" spans="1:42" ht="14.65" hidden="1" customHeight="1">
      <c r="A57" s="414" t="s">
        <v>729</v>
      </c>
      <c r="B57" s="435"/>
      <c r="C57" s="635"/>
      <c r="D57" s="635"/>
      <c r="E57" s="657"/>
      <c r="F57" s="371"/>
      <c r="G57" s="489"/>
      <c r="H57" s="489"/>
      <c r="I57" s="489"/>
      <c r="J57" s="419"/>
      <c r="K57" s="489"/>
      <c r="L57" s="489"/>
      <c r="M57" s="489"/>
      <c r="N57" s="489"/>
      <c r="O57" s="408"/>
      <c r="P57" s="490"/>
      <c r="Q57" s="439"/>
      <c r="R57" s="439"/>
      <c r="S57" s="439"/>
      <c r="T57" s="408">
        <f t="shared" si="15"/>
        <v>0</v>
      </c>
      <c r="U57" s="407">
        <f>[2]Electricity!$K$6</f>
        <v>8.765039029278613E-3</v>
      </c>
      <c r="V57" s="489"/>
      <c r="W57" s="490">
        <f t="shared" si="16"/>
        <v>0</v>
      </c>
      <c r="X57" s="489"/>
      <c r="Y57" s="410"/>
      <c r="Z57" s="414" t="s">
        <v>729</v>
      </c>
      <c r="AA57" s="502"/>
      <c r="AB57" s="503"/>
      <c r="AC57" s="432">
        <f>AC36*(1-AC48)</f>
        <v>0</v>
      </c>
      <c r="AD57" s="432">
        <f t="shared" si="13"/>
        <v>0</v>
      </c>
      <c r="AE57" s="499">
        <f t="shared" si="14"/>
        <v>0</v>
      </c>
      <c r="AF57" s="503"/>
      <c r="AG57" s="432">
        <f>AG36*(1-AG48)</f>
        <v>0</v>
      </c>
      <c r="AH57" s="503"/>
      <c r="AI57" s="432">
        <f>AI36*(1-AI48)</f>
        <v>0</v>
      </c>
      <c r="AJ57" s="500">
        <f t="shared" si="11"/>
        <v>0</v>
      </c>
      <c r="AK57" s="433"/>
      <c r="AL57" s="501"/>
      <c r="AM57" s="501"/>
      <c r="AN57" s="501"/>
      <c r="AO57" s="501">
        <f t="shared" si="12"/>
        <v>0</v>
      </c>
      <c r="AP57" s="426" t="e">
        <f>('[2]EF-1'!S20+J73)/('[2]EF-1'!S20+J73+Q57+R57)</f>
        <v>#VALUE!</v>
      </c>
    </row>
    <row r="58" spans="1:42" ht="14.65" hidden="1" customHeight="1">
      <c r="A58" s="414" t="s">
        <v>730</v>
      </c>
      <c r="B58" s="435"/>
      <c r="C58" s="635"/>
      <c r="D58" s="635"/>
      <c r="E58" s="657"/>
      <c r="F58" s="371"/>
      <c r="G58" s="489"/>
      <c r="H58" s="489"/>
      <c r="I58" s="489"/>
      <c r="J58" s="419"/>
      <c r="K58" s="489"/>
      <c r="L58" s="489"/>
      <c r="M58" s="489"/>
      <c r="N58" s="489"/>
      <c r="O58" s="408"/>
      <c r="P58" s="490"/>
      <c r="Q58" s="439"/>
      <c r="R58" s="439"/>
      <c r="S58" s="439"/>
      <c r="T58" s="408">
        <f t="shared" si="15"/>
        <v>0</v>
      </c>
      <c r="U58" s="407">
        <f>[2]Electricity!$K$6</f>
        <v>8.765039029278613E-3</v>
      </c>
      <c r="V58" s="489"/>
      <c r="W58" s="490">
        <f t="shared" si="16"/>
        <v>0</v>
      </c>
      <c r="X58" s="489"/>
      <c r="Y58" s="410"/>
      <c r="Z58" s="414" t="s">
        <v>730</v>
      </c>
      <c r="AA58" s="502"/>
      <c r="AB58" s="503"/>
      <c r="AC58" s="432" t="e">
        <f>AC37*(1-AC49)</f>
        <v>#VALUE!</v>
      </c>
      <c r="AD58" s="432" t="e">
        <f t="shared" si="13"/>
        <v>#VALUE!</v>
      </c>
      <c r="AE58" s="499" t="e">
        <f t="shared" si="14"/>
        <v>#VALUE!</v>
      </c>
      <c r="AF58" s="503"/>
      <c r="AG58" s="432" t="e">
        <f>AG37*(1-AG49)</f>
        <v>#VALUE!</v>
      </c>
      <c r="AH58" s="503"/>
      <c r="AI58" s="432" t="e">
        <f>AI37*(1-AI49)</f>
        <v>#VALUE!</v>
      </c>
      <c r="AJ58" s="500" t="e">
        <f t="shared" si="11"/>
        <v>#VALUE!</v>
      </c>
      <c r="AK58" s="433"/>
      <c r="AL58" s="501"/>
      <c r="AM58" s="501"/>
      <c r="AN58" s="501"/>
      <c r="AO58" s="501">
        <f t="shared" si="12"/>
        <v>0</v>
      </c>
      <c r="AP58" s="426" t="e">
        <f>(#REF!+J74)/(#REF!+J74+Q58+R58)</f>
        <v>#REF!</v>
      </c>
    </row>
    <row r="59" spans="1:42" ht="14.65" hidden="1" customHeight="1">
      <c r="A59" s="414" t="s">
        <v>731</v>
      </c>
      <c r="B59" s="435"/>
      <c r="C59" s="635"/>
      <c r="D59" s="635"/>
      <c r="E59" s="657"/>
      <c r="F59" s="371"/>
      <c r="G59" s="489"/>
      <c r="H59" s="489"/>
      <c r="I59" s="489"/>
      <c r="J59" s="419"/>
      <c r="K59" s="489"/>
      <c r="L59" s="489"/>
      <c r="M59" s="489"/>
      <c r="N59" s="489"/>
      <c r="O59" s="408"/>
      <c r="P59" s="490"/>
      <c r="Q59" s="439"/>
      <c r="R59" s="439"/>
      <c r="S59" s="439"/>
      <c r="T59" s="408">
        <f t="shared" si="15"/>
        <v>0</v>
      </c>
      <c r="U59" s="407">
        <f>[2]Electricity!$K$6</f>
        <v>8.765039029278613E-3</v>
      </c>
      <c r="V59" s="489"/>
      <c r="W59" s="490">
        <f t="shared" si="16"/>
        <v>0</v>
      </c>
      <c r="X59" s="489"/>
      <c r="Y59" s="410"/>
      <c r="Z59" s="414" t="s">
        <v>731</v>
      </c>
      <c r="AA59" s="502"/>
      <c r="AB59" s="503"/>
      <c r="AC59" s="432" t="e">
        <f>AC38*(1-AC50)</f>
        <v>#VALUE!</v>
      </c>
      <c r="AD59" s="432" t="e">
        <f t="shared" si="13"/>
        <v>#VALUE!</v>
      </c>
      <c r="AE59" s="499" t="e">
        <f t="shared" si="14"/>
        <v>#VALUE!</v>
      </c>
      <c r="AF59" s="503"/>
      <c r="AG59" s="432" t="e">
        <f>AG38*(1-AG50)</f>
        <v>#VALUE!</v>
      </c>
      <c r="AH59" s="503"/>
      <c r="AI59" s="432" t="e">
        <f>AI38*(1-AI50)</f>
        <v>#VALUE!</v>
      </c>
      <c r="AJ59" s="500" t="e">
        <f t="shared" si="11"/>
        <v>#VALUE!</v>
      </c>
      <c r="AK59" s="433"/>
      <c r="AL59" s="501"/>
      <c r="AM59" s="501"/>
      <c r="AN59" s="501"/>
      <c r="AO59" s="501">
        <f t="shared" si="12"/>
        <v>0</v>
      </c>
      <c r="AP59" s="426" t="e">
        <f>(#REF!+J75)/(#REF!+J75+Q59+R59)</f>
        <v>#REF!</v>
      </c>
    </row>
    <row r="60" spans="1:42" ht="14.65" hidden="1" customHeight="1">
      <c r="A60" s="414" t="s">
        <v>732</v>
      </c>
      <c r="B60" s="435"/>
      <c r="C60" s="635"/>
      <c r="D60" s="635"/>
      <c r="E60" s="657"/>
      <c r="F60" s="371"/>
      <c r="G60" s="489"/>
      <c r="H60" s="489"/>
      <c r="I60" s="489"/>
      <c r="J60" s="419"/>
      <c r="K60" s="489"/>
      <c r="L60" s="489"/>
      <c r="M60" s="489"/>
      <c r="N60" s="489"/>
      <c r="O60" s="408"/>
      <c r="P60" s="490"/>
      <c r="Q60" s="439"/>
      <c r="R60" s="439"/>
      <c r="S60" s="439"/>
      <c r="T60" s="408">
        <f t="shared" si="15"/>
        <v>0</v>
      </c>
      <c r="U60" s="407">
        <f>[2]Electricity!$K$6</f>
        <v>8.765039029278613E-3</v>
      </c>
      <c r="V60" s="489"/>
      <c r="W60" s="490">
        <f t="shared" si="16"/>
        <v>0</v>
      </c>
      <c r="X60" s="489"/>
      <c r="Y60" s="410"/>
      <c r="Z60" s="414" t="s">
        <v>732</v>
      </c>
      <c r="AA60" s="502"/>
      <c r="AB60" s="503"/>
      <c r="AC60" s="432">
        <f>AC39*(1-AC51)</f>
        <v>0</v>
      </c>
      <c r="AD60" s="432">
        <f t="shared" si="13"/>
        <v>0</v>
      </c>
      <c r="AE60" s="499">
        <f t="shared" si="14"/>
        <v>0</v>
      </c>
      <c r="AF60" s="503"/>
      <c r="AG60" s="432">
        <f>AG39*(1-AG51)</f>
        <v>0</v>
      </c>
      <c r="AH60" s="503"/>
      <c r="AI60" s="432">
        <f>AI39*(1-AI51)</f>
        <v>0</v>
      </c>
      <c r="AJ60" s="500">
        <f t="shared" si="11"/>
        <v>0</v>
      </c>
      <c r="AK60" s="433"/>
      <c r="AL60" s="501"/>
      <c r="AM60" s="501"/>
      <c r="AN60" s="501"/>
      <c r="AO60" s="501">
        <f t="shared" si="12"/>
        <v>0</v>
      </c>
      <c r="AP60" s="426" t="e">
        <f>(#REF!+J76)/(#REF!+J76+Q60+R60)</f>
        <v>#REF!</v>
      </c>
    </row>
    <row r="61" spans="1:42" ht="14.65" hidden="1" customHeight="1">
      <c r="A61" s="414" t="s">
        <v>733</v>
      </c>
      <c r="B61" s="435"/>
      <c r="C61" s="635"/>
      <c r="D61" s="635"/>
      <c r="E61" s="657"/>
      <c r="F61" s="371"/>
      <c r="G61" s="489"/>
      <c r="H61" s="489"/>
      <c r="I61" s="489"/>
      <c r="J61" s="419"/>
      <c r="K61" s="489"/>
      <c r="L61" s="489"/>
      <c r="M61" s="489"/>
      <c r="N61" s="489"/>
      <c r="O61" s="408"/>
      <c r="P61" s="490"/>
      <c r="Q61" s="439"/>
      <c r="R61" s="439"/>
      <c r="S61" s="439"/>
      <c r="T61" s="408">
        <f t="shared" si="15"/>
        <v>0</v>
      </c>
      <c r="U61" s="407">
        <f>[2]Electricity!$K$6</f>
        <v>8.765039029278613E-3</v>
      </c>
      <c r="V61" s="489"/>
      <c r="W61" s="490">
        <f t="shared" si="16"/>
        <v>0</v>
      </c>
      <c r="X61" s="489"/>
      <c r="Y61" s="410"/>
      <c r="Z61" s="414" t="s">
        <v>733</v>
      </c>
      <c r="AA61" s="502"/>
      <c r="AB61" s="503"/>
      <c r="AC61" s="432">
        <f>AC40*(1-AC52)</f>
        <v>0</v>
      </c>
      <c r="AD61" s="432">
        <f t="shared" si="13"/>
        <v>0</v>
      </c>
      <c r="AE61" s="499">
        <f t="shared" si="14"/>
        <v>0</v>
      </c>
      <c r="AF61" s="503"/>
      <c r="AG61" s="432">
        <f>AG40*(1-AG52)</f>
        <v>0</v>
      </c>
      <c r="AH61" s="503"/>
      <c r="AI61" s="432">
        <f>AI40*(1-AI52)</f>
        <v>0</v>
      </c>
      <c r="AJ61" s="500">
        <f t="shared" si="11"/>
        <v>0</v>
      </c>
      <c r="AK61" s="433"/>
      <c r="AL61" s="501"/>
      <c r="AM61" s="501"/>
      <c r="AN61" s="501"/>
      <c r="AO61" s="501">
        <f t="shared" si="12"/>
        <v>0</v>
      </c>
      <c r="AP61" s="426" t="e">
        <f>(#REF!+J77)/(#REF!+J77+Q61+R61)</f>
        <v>#REF!</v>
      </c>
    </row>
    <row r="62" spans="1:42">
      <c r="A62" s="280" t="s">
        <v>734</v>
      </c>
      <c r="B62" s="397"/>
      <c r="C62" s="398">
        <f>D62*E62*1000</f>
        <v>33300000</v>
      </c>
      <c r="D62" s="398">
        <f>D51</f>
        <v>9066.5</v>
      </c>
      <c r="E62" s="493">
        <f>C8</f>
        <v>3.6728616334859097</v>
      </c>
      <c r="F62" s="404">
        <f>$C$62*AA62*'[2]EF-1'!$R$5/1000000000000</f>
        <v>5299.3254755187072</v>
      </c>
      <c r="G62" s="482">
        <f>$C$62*AB62*'[2]EF-1'!$R$5/1000000000000</f>
        <v>0</v>
      </c>
      <c r="H62" s="482">
        <f>$C$62*AC62*'[2]EF-1'!$R$5/1000000000000</f>
        <v>3230.0548146642677</v>
      </c>
      <c r="I62" s="482"/>
      <c r="J62" s="419"/>
      <c r="K62" s="482">
        <f>$C$62*AF62*'[2]EF-1'!$R$5/1000000000000</f>
        <v>0</v>
      </c>
      <c r="L62" s="482">
        <f>$C$62*AG62*'[2]EF-1'!$R$5/1000000000000</f>
        <v>838.41689032882812</v>
      </c>
      <c r="M62" s="482">
        <f>$C$62*AH62*'[2]EF-1'!$R$5/1000000000000</f>
        <v>0</v>
      </c>
      <c r="N62" s="482">
        <f>$C$62*AI62*'[2]EF-1'!$R$5/1000000000000</f>
        <v>2180.9513437662513</v>
      </c>
      <c r="O62" s="410">
        <f>SUM(F62:N62)</f>
        <v>11548.748524278055</v>
      </c>
      <c r="P62" s="404">
        <f>$C$62*AK62*'[2]EF-1'!$R$7/1000000000000</f>
        <v>5437.5873776832004</v>
      </c>
      <c r="Q62" s="439"/>
      <c r="R62" s="439"/>
      <c r="S62" s="482">
        <f>$C$62*AN62*'[2]EF-1'!$R$7/1000000000000</f>
        <v>1821.2278006587323</v>
      </c>
      <c r="T62" s="491">
        <f>SUM(P62:S62)*(1-'[2]Key parameters rpt'!O42)-('[2]Key parameters rpt'!O43/4)</f>
        <v>0</v>
      </c>
      <c r="U62" s="407">
        <f>[2]Electricity!$K$6</f>
        <v>8.765039029278613E-3</v>
      </c>
      <c r="V62" s="489">
        <f>O13</f>
        <v>65437.5</v>
      </c>
      <c r="W62" s="490">
        <f>O62*1000000000000*'[2]EF-1'!R6*U62/1000000</f>
        <v>28.11811987628359</v>
      </c>
      <c r="X62" s="489">
        <f>T62*V62/1000000</f>
        <v>0</v>
      </c>
      <c r="Y62" s="410">
        <f>W62+X62</f>
        <v>28.11811987628359</v>
      </c>
      <c r="Z62" s="280" t="s">
        <v>734</v>
      </c>
      <c r="AA62" s="504">
        <f>AA41*(1-D8%)</f>
        <v>44.205250880202762</v>
      </c>
      <c r="AB62" s="503"/>
      <c r="AC62" s="432">
        <f>AC41*(1-F8)</f>
        <v>26.944067523058621</v>
      </c>
      <c r="AD62" s="432">
        <f t="shared" si="13"/>
        <v>17.513643889988103</v>
      </c>
      <c r="AE62" s="499">
        <f t="shared" si="14"/>
        <v>21.555254018446899</v>
      </c>
      <c r="AF62" s="503"/>
      <c r="AG62" s="432">
        <f>AG41*(1-I8)</f>
        <v>6.9938012206275282</v>
      </c>
      <c r="AH62" s="503"/>
      <c r="AI62" s="432">
        <f>AI41*(1-K8)</f>
        <v>18.192787318704131</v>
      </c>
      <c r="AJ62" s="500">
        <f t="shared" si="11"/>
        <v>135.40480485102805</v>
      </c>
      <c r="AK62" s="433">
        <f>AK41*(1-M8)</f>
        <v>4.5883700191845209</v>
      </c>
      <c r="AL62" s="501"/>
      <c r="AM62" s="501"/>
      <c r="AN62" s="501">
        <f>AN41*(1-P8)</f>
        <v>1.5367968288554366</v>
      </c>
      <c r="AO62" s="501">
        <f t="shared" si="12"/>
        <v>6.1251668480399575</v>
      </c>
      <c r="AP62" s="505"/>
    </row>
    <row r="63" spans="1:42" ht="14.65" hidden="1" customHeight="1">
      <c r="A63" s="414" t="s">
        <v>735</v>
      </c>
      <c r="B63" s="397"/>
      <c r="C63" s="650"/>
      <c r="D63" s="398"/>
      <c r="E63" s="493"/>
      <c r="F63" s="371"/>
      <c r="G63" s="439"/>
      <c r="H63" s="439"/>
      <c r="I63" s="439"/>
      <c r="J63" s="419"/>
      <c r="K63" s="439"/>
      <c r="L63" s="439"/>
      <c r="M63" s="439"/>
      <c r="N63" s="439"/>
      <c r="O63" s="440"/>
      <c r="P63" s="414"/>
      <c r="Q63" s="439"/>
      <c r="R63" s="439"/>
      <c r="S63" s="439"/>
      <c r="T63" s="440"/>
      <c r="U63" s="414"/>
      <c r="V63" s="439"/>
      <c r="W63" s="414"/>
      <c r="X63" s="439"/>
      <c r="Y63" s="440"/>
      <c r="Z63" s="414" t="s">
        <v>735</v>
      </c>
      <c r="AA63" s="502"/>
      <c r="AB63" s="503"/>
      <c r="AC63" s="503"/>
      <c r="AD63" s="503"/>
      <c r="AE63" s="506"/>
      <c r="AF63" s="503"/>
      <c r="AG63" s="503"/>
      <c r="AH63" s="503"/>
      <c r="AI63" s="503"/>
      <c r="AJ63" s="500">
        <f t="shared" si="11"/>
        <v>0</v>
      </c>
      <c r="AK63" s="433"/>
      <c r="AL63" s="501"/>
      <c r="AM63" s="501"/>
      <c r="AN63" s="501"/>
      <c r="AO63" s="434"/>
      <c r="AP63" s="505"/>
    </row>
    <row r="64" spans="1:42" ht="14.65" hidden="1" customHeight="1">
      <c r="A64" s="414" t="s">
        <v>736</v>
      </c>
      <c r="B64" s="397"/>
      <c r="C64" s="650"/>
      <c r="D64" s="398"/>
      <c r="E64" s="493"/>
      <c r="F64" s="371"/>
      <c r="G64" s="439"/>
      <c r="H64" s="439"/>
      <c r="I64" s="439"/>
      <c r="J64" s="419"/>
      <c r="K64" s="439"/>
      <c r="L64" s="439"/>
      <c r="M64" s="439"/>
      <c r="N64" s="439"/>
      <c r="O64" s="440"/>
      <c r="P64" s="414"/>
      <c r="Q64" s="439"/>
      <c r="R64" s="439"/>
      <c r="S64" s="439"/>
      <c r="T64" s="440"/>
      <c r="U64" s="414"/>
      <c r="V64" s="439"/>
      <c r="W64" s="414"/>
      <c r="X64" s="439"/>
      <c r="Y64" s="440"/>
      <c r="Z64" s="414" t="s">
        <v>736</v>
      </c>
      <c r="AA64" s="502"/>
      <c r="AB64" s="503"/>
      <c r="AC64" s="503"/>
      <c r="AD64" s="503"/>
      <c r="AE64" s="506"/>
      <c r="AF64" s="503"/>
      <c r="AG64" s="503"/>
      <c r="AH64" s="503"/>
      <c r="AI64" s="503"/>
      <c r="AJ64" s="500">
        <f t="shared" si="11"/>
        <v>0</v>
      </c>
      <c r="AK64" s="433"/>
      <c r="AL64" s="501"/>
      <c r="AM64" s="501"/>
      <c r="AN64" s="501"/>
      <c r="AO64" s="434"/>
      <c r="AP64" s="505"/>
    </row>
    <row r="65" spans="1:42" ht="14.65" hidden="1" customHeight="1">
      <c r="A65" s="414" t="s">
        <v>737</v>
      </c>
      <c r="B65" s="397"/>
      <c r="C65" s="398"/>
      <c r="D65" s="398"/>
      <c r="E65" s="493"/>
      <c r="F65" s="371"/>
      <c r="G65" s="439"/>
      <c r="H65" s="439"/>
      <c r="I65" s="439"/>
      <c r="J65" s="419"/>
      <c r="K65" s="439"/>
      <c r="L65" s="439"/>
      <c r="M65" s="439"/>
      <c r="N65" s="439"/>
      <c r="O65" s="440"/>
      <c r="P65" s="414"/>
      <c r="Q65" s="439"/>
      <c r="R65" s="439"/>
      <c r="S65" s="439"/>
      <c r="T65" s="440"/>
      <c r="U65" s="414"/>
      <c r="V65" s="439"/>
      <c r="W65" s="414"/>
      <c r="X65" s="439"/>
      <c r="Y65" s="440"/>
      <c r="Z65" s="414" t="s">
        <v>737</v>
      </c>
      <c r="AA65" s="502"/>
      <c r="AB65" s="503"/>
      <c r="AC65" s="503"/>
      <c r="AD65" s="503"/>
      <c r="AE65" s="506"/>
      <c r="AF65" s="503"/>
      <c r="AG65" s="503"/>
      <c r="AH65" s="503"/>
      <c r="AI65" s="503"/>
      <c r="AJ65" s="500">
        <f t="shared" si="11"/>
        <v>0</v>
      </c>
      <c r="AK65" s="433"/>
      <c r="AL65" s="501"/>
      <c r="AM65" s="501"/>
      <c r="AN65" s="501"/>
      <c r="AO65" s="434"/>
      <c r="AP65" s="505"/>
    </row>
    <row r="66" spans="1:42" s="298" customFormat="1">
      <c r="A66" s="446" t="s">
        <v>919</v>
      </c>
      <c r="B66" s="447">
        <f>(B51+B54+B62)</f>
        <v>4296753.4008807326</v>
      </c>
      <c r="C66" s="448">
        <f>(C51+C54+C62)</f>
        <v>19516977228.54034</v>
      </c>
      <c r="D66" s="448">
        <f>(D51)</f>
        <v>9066.5</v>
      </c>
      <c r="E66" s="450">
        <f>(E51+E54+E62)</f>
        <v>2152.6473532830018</v>
      </c>
      <c r="F66" s="447">
        <f t="shared" ref="F66:S66" si="17">(F51+F54+F62)</f>
        <v>5299.3254755187072</v>
      </c>
      <c r="G66" s="448">
        <f t="shared" si="17"/>
        <v>5238.3201117448461</v>
      </c>
      <c r="H66" s="448">
        <f>(H51+H54+H62)</f>
        <v>56133.335614575124</v>
      </c>
      <c r="I66" s="448">
        <f t="shared" si="17"/>
        <v>832.42962294705706</v>
      </c>
      <c r="J66" s="448">
        <f t="shared" si="17"/>
        <v>1189.2606212087583</v>
      </c>
      <c r="K66" s="448">
        <f t="shared" si="17"/>
        <v>11416.659120354554</v>
      </c>
      <c r="L66" s="448">
        <f t="shared" si="17"/>
        <v>16530.849110780749</v>
      </c>
      <c r="M66" s="448">
        <f t="shared" si="17"/>
        <v>15549.220013185688</v>
      </c>
      <c r="N66" s="448">
        <f t="shared" si="17"/>
        <v>42023.768843699043</v>
      </c>
      <c r="O66" s="450">
        <f>(O51+O54+O62)</f>
        <v>154213.16853401452</v>
      </c>
      <c r="P66" s="447">
        <f t="shared" si="17"/>
        <v>5437.5873776832004</v>
      </c>
      <c r="Q66" s="448">
        <f t="shared" si="17"/>
        <v>12981.403110871346</v>
      </c>
      <c r="R66" s="448">
        <f t="shared" si="17"/>
        <v>11297.716060373128</v>
      </c>
      <c r="S66" s="448">
        <f t="shared" si="17"/>
        <v>4682.8098770173647</v>
      </c>
      <c r="T66" s="507">
        <f>(T51+T54+T62)</f>
        <v>0</v>
      </c>
      <c r="U66" s="447">
        <f>(O12+U54+U62)</f>
        <v>2.6295117087835839E-2</v>
      </c>
      <c r="V66" s="448">
        <f>(O13+V54+V62)</f>
        <v>196312.5</v>
      </c>
      <c r="W66" s="447">
        <f>(W51+W54+W62)</f>
        <v>375.46790028593261</v>
      </c>
      <c r="X66" s="448">
        <f>(X51+X54+X62)</f>
        <v>0</v>
      </c>
      <c r="Y66" s="450">
        <f>(Y51+Y54+Y62)</f>
        <v>375.46790028593261</v>
      </c>
      <c r="Z66" s="446" t="s">
        <v>919</v>
      </c>
      <c r="AA66" s="447"/>
      <c r="AB66" s="448"/>
      <c r="AC66" s="448"/>
      <c r="AD66" s="448"/>
      <c r="AE66" s="508"/>
      <c r="AF66" s="448"/>
      <c r="AG66" s="448"/>
      <c r="AH66" s="448"/>
      <c r="AI66" s="448"/>
      <c r="AJ66" s="450"/>
      <c r="AK66" s="452"/>
      <c r="AL66" s="453"/>
      <c r="AM66" s="453"/>
      <c r="AN66" s="453"/>
      <c r="AO66" s="453"/>
      <c r="AP66" s="455"/>
    </row>
    <row r="67" spans="1:42">
      <c r="F67" s="237"/>
      <c r="AI67" s="509"/>
      <c r="AJ67" s="509"/>
      <c r="AK67" s="509"/>
      <c r="AL67" s="509"/>
      <c r="AM67" s="509"/>
    </row>
    <row r="68" spans="1:42">
      <c r="B68" s="237"/>
      <c r="C68" s="237"/>
      <c r="F68" s="237"/>
      <c r="G68" s="484"/>
      <c r="M68" s="484"/>
      <c r="N68" s="510"/>
      <c r="S68" s="484"/>
    </row>
    <row r="69" spans="1:42">
      <c r="M69" s="510"/>
      <c r="N69" s="511"/>
      <c r="O69" s="484"/>
      <c r="P69" s="511"/>
      <c r="AA69" s="512"/>
    </row>
    <row r="70" spans="1:42">
      <c r="J70" s="484"/>
      <c r="K70" s="484"/>
      <c r="M70" s="484"/>
      <c r="N70" s="510"/>
      <c r="O70" s="484"/>
    </row>
    <row r="71" spans="1:42">
      <c r="O71" s="484"/>
    </row>
    <row r="85" spans="30:30">
      <c r="AD85" s="513"/>
    </row>
  </sheetData>
  <mergeCells count="21">
    <mergeCell ref="C63:C64"/>
    <mergeCell ref="C42:C43"/>
    <mergeCell ref="A48:A50"/>
    <mergeCell ref="B48:E48"/>
    <mergeCell ref="F48:O48"/>
    <mergeCell ref="C56:C61"/>
    <mergeCell ref="D56:D61"/>
    <mergeCell ref="E56:E61"/>
    <mergeCell ref="W3:X3"/>
    <mergeCell ref="Z24:AB24"/>
    <mergeCell ref="A27:A29"/>
    <mergeCell ref="B27:E27"/>
    <mergeCell ref="C35:C40"/>
    <mergeCell ref="D35:D40"/>
    <mergeCell ref="E35:E40"/>
    <mergeCell ref="A2:A3"/>
    <mergeCell ref="B2:B3"/>
    <mergeCell ref="C2:C3"/>
    <mergeCell ref="D2:L2"/>
    <mergeCell ref="M2:Q2"/>
    <mergeCell ref="R2:R3"/>
  </mergeCells>
  <phoneticPr fontId="3" type="noConversion"/>
  <hyperlinks>
    <hyperlink ref="Z21" r:id="rId1" xr:uid="{00000000-0004-0000-0D00-000000000000}"/>
  </hyperlinks>
  <pageMargins left="0.23622047244094491" right="0.23622047244094491" top="0.74803149606299213" bottom="0.74803149606299213" header="0.31496062992125984" footer="0.31496062992125984"/>
  <pageSetup paperSize="8" scale="69" orientation="landscape" r:id="rId2"/>
  <colBreaks count="1" manualBreakCount="1">
    <brk id="24" max="64" man="1"/>
  </colBreaks>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79998168889431442"/>
  </sheetPr>
  <dimension ref="A1:AR50"/>
  <sheetViews>
    <sheetView zoomScale="90" zoomScaleNormal="90" workbookViewId="0">
      <pane xSplit="1" ySplit="1" topLeftCell="B38" activePane="bottomRight" state="frozen"/>
      <selection pane="topRight" activeCell="B1" sqref="B1"/>
      <selection pane="bottomLeft" activeCell="A2" sqref="A2"/>
      <selection pane="bottomRight" activeCell="D3" sqref="D3:D47"/>
    </sheetView>
  </sheetViews>
  <sheetFormatPr defaultColWidth="8.7109375" defaultRowHeight="15"/>
  <cols>
    <col min="1" max="2" width="8.7109375" style="103"/>
    <col min="3" max="3" width="15.5703125" style="103" customWidth="1"/>
    <col min="4" max="4" width="14.7109375" style="103" customWidth="1"/>
    <col min="5" max="6" width="9.5703125" style="103" customWidth="1"/>
    <col min="7" max="7" width="8.7109375" style="103"/>
    <col min="8" max="8" width="11.140625" style="103" customWidth="1"/>
    <col min="9" max="9" width="8.7109375" style="103"/>
    <col min="10" max="10" width="8.7109375" style="103" bestFit="1" customWidth="1"/>
    <col min="11" max="11" width="9.5703125" style="103" bestFit="1" customWidth="1"/>
    <col min="12" max="12" width="8.7109375" style="103" bestFit="1" customWidth="1"/>
    <col min="13" max="13" width="2.7109375" style="103" customWidth="1"/>
    <col min="14" max="24" width="8.7109375" style="103"/>
    <col min="25" max="25" width="11.7109375" style="103" bestFit="1" customWidth="1"/>
    <col min="26" max="26" width="16.7109375" style="103" customWidth="1"/>
    <col min="27" max="27" width="10.85546875" style="103" bestFit="1" customWidth="1"/>
    <col min="28" max="28" width="17" style="103" customWidth="1"/>
    <col min="29" max="29" width="8.7109375" style="103"/>
    <col min="30" max="30" width="13.7109375" style="103" customWidth="1"/>
    <col min="31" max="31" width="15.85546875" style="103" customWidth="1"/>
    <col min="32" max="37" width="8.7109375" style="103"/>
    <col min="38" max="38" width="10.42578125" style="103" bestFit="1" customWidth="1"/>
    <col min="39" max="39" width="9.85546875" style="103" bestFit="1" customWidth="1"/>
    <col min="40" max="40" width="13.28515625" style="103" bestFit="1" customWidth="1"/>
    <col min="41" max="41" width="14.5703125" style="103" bestFit="1" customWidth="1"/>
    <col min="42" max="16384" width="8.7109375" style="103"/>
  </cols>
  <sheetData>
    <row r="1" spans="1:44" ht="30">
      <c r="A1" s="60" t="s">
        <v>824</v>
      </c>
      <c r="B1" s="515" t="s">
        <v>825</v>
      </c>
      <c r="C1" s="60" t="s">
        <v>927</v>
      </c>
      <c r="D1" s="60" t="s">
        <v>928</v>
      </c>
      <c r="E1" s="60" t="s">
        <v>842</v>
      </c>
      <c r="F1" s="60" t="s">
        <v>843</v>
      </c>
      <c r="G1" s="60" t="s">
        <v>826</v>
      </c>
      <c r="H1" s="60" t="s">
        <v>490</v>
      </c>
      <c r="I1" s="60" t="s">
        <v>696</v>
      </c>
      <c r="J1" s="60" t="s">
        <v>710</v>
      </c>
      <c r="K1" s="60" t="s">
        <v>697</v>
      </c>
      <c r="L1" s="60" t="s">
        <v>838</v>
      </c>
      <c r="N1" s="60" t="s">
        <v>701</v>
      </c>
      <c r="T1" s="60" t="s">
        <v>824</v>
      </c>
      <c r="U1" s="229" t="s">
        <v>827</v>
      </c>
      <c r="V1" s="230" t="s">
        <v>941</v>
      </c>
      <c r="W1" s="230" t="s">
        <v>829</v>
      </c>
      <c r="X1" s="230" t="s">
        <v>830</v>
      </c>
      <c r="Y1" s="516" t="s">
        <v>839</v>
      </c>
      <c r="Z1" s="516" t="s">
        <v>929</v>
      </c>
      <c r="AA1" s="516" t="s">
        <v>840</v>
      </c>
      <c r="AB1" s="516" t="s">
        <v>930</v>
      </c>
      <c r="AC1" s="230" t="s">
        <v>828</v>
      </c>
      <c r="AD1" s="230" t="s">
        <v>831</v>
      </c>
      <c r="AE1" s="231" t="s">
        <v>832</v>
      </c>
      <c r="AF1" s="232" t="s">
        <v>833</v>
      </c>
      <c r="AG1" s="232" t="s">
        <v>834</v>
      </c>
      <c r="AH1" s="232" t="s">
        <v>835</v>
      </c>
      <c r="AI1" s="232" t="s">
        <v>836</v>
      </c>
      <c r="AJ1" s="232" t="s">
        <v>837</v>
      </c>
      <c r="AL1" s="521" t="s">
        <v>936</v>
      </c>
      <c r="AM1" s="522" t="s">
        <v>937</v>
      </c>
      <c r="AN1" s="522" t="s">
        <v>932</v>
      </c>
      <c r="AO1" s="523" t="s">
        <v>934</v>
      </c>
    </row>
    <row r="2" spans="1:44" ht="42.95" customHeight="1">
      <c r="A2" s="103">
        <v>2005</v>
      </c>
      <c r="B2" s="514">
        <v>6.8132000000000001</v>
      </c>
      <c r="C2" s="514">
        <f t="shared" ref="C2:C11" si="0">TREND($C$49:$C$50,$A$49:$A$50,$A2)</f>
        <v>4.2467688823529457</v>
      </c>
      <c r="D2" s="514">
        <f t="shared" ref="D2:D11" si="1">TREND($D$49:$D$50,$A$49:$A$50,$A2)</f>
        <v>2.7676669411764578</v>
      </c>
      <c r="G2" s="106">
        <v>196.28290661555027</v>
      </c>
      <c r="H2" s="106">
        <v>28.809209566070319</v>
      </c>
      <c r="I2" s="106">
        <v>2.1970999999999998</v>
      </c>
      <c r="J2" s="116">
        <v>3.1823114754098398</v>
      </c>
      <c r="K2" s="116">
        <v>95.573849999999993</v>
      </c>
      <c r="L2" s="116">
        <v>42.557142857142935</v>
      </c>
      <c r="N2" s="103" t="s">
        <v>488</v>
      </c>
      <c r="O2" s="103" t="s">
        <v>702</v>
      </c>
      <c r="T2" s="103">
        <v>2005</v>
      </c>
      <c r="U2" s="230"/>
      <c r="V2" s="230"/>
      <c r="W2" s="230"/>
      <c r="X2" s="230"/>
      <c r="Y2" s="516"/>
      <c r="Z2" s="517" t="s">
        <v>931</v>
      </c>
      <c r="AA2" s="516"/>
      <c r="AB2" s="517" t="s">
        <v>942</v>
      </c>
      <c r="AC2" s="230"/>
      <c r="AD2" s="230"/>
      <c r="AE2" s="231" t="s">
        <v>933</v>
      </c>
      <c r="AF2" s="232"/>
      <c r="AG2" s="232"/>
      <c r="AH2" s="232"/>
      <c r="AI2" s="232"/>
      <c r="AJ2" s="232"/>
      <c r="AL2" s="524"/>
      <c r="AM2" s="525"/>
      <c r="AN2" s="525"/>
      <c r="AO2" s="526"/>
    </row>
    <row r="3" spans="1:44">
      <c r="A3" s="103">
        <v>2006</v>
      </c>
      <c r="B3" s="514">
        <v>6.8571</v>
      </c>
      <c r="C3" s="514">
        <f t="shared" si="0"/>
        <v>4.2248611294117708</v>
      </c>
      <c r="D3" s="514">
        <f t="shared" si="1"/>
        <v>2.8148605647058673</v>
      </c>
      <c r="G3" s="106">
        <v>210.08695475935278</v>
      </c>
      <c r="H3" s="106">
        <v>30.637872389108043</v>
      </c>
      <c r="I3" s="106">
        <v>2.2208999999999999</v>
      </c>
      <c r="J3" s="116">
        <v>3.1695081967213135</v>
      </c>
      <c r="K3" s="116">
        <v>96.60915</v>
      </c>
      <c r="L3" s="116">
        <v>43.285714285714448</v>
      </c>
      <c r="N3" s="103" t="s">
        <v>489</v>
      </c>
      <c r="O3" s="103" t="s">
        <v>704</v>
      </c>
      <c r="T3" s="103">
        <v>2006</v>
      </c>
      <c r="V3" s="68">
        <v>53982</v>
      </c>
      <c r="W3" s="102">
        <f t="shared" ref="W3:W13" si="2">V3/I3/1000</f>
        <v>24.30636228555991</v>
      </c>
      <c r="X3" s="102">
        <f>V3/B3/1000</f>
        <v>7.872424202651267</v>
      </c>
      <c r="Y3" s="519">
        <f>'Private,Public8EndUse'!S6</f>
        <v>26211</v>
      </c>
      <c r="Z3" s="122">
        <f>Y3/C3</f>
        <v>6203.9908998498531</v>
      </c>
      <c r="AA3" s="519">
        <f>'Private,Public8EndUse'!AC6</f>
        <v>24967</v>
      </c>
      <c r="AB3" s="122">
        <f>AA3/D3</f>
        <v>8869.7111015191167</v>
      </c>
      <c r="AC3" s="68">
        <v>111884</v>
      </c>
      <c r="AD3" s="102">
        <f t="shared" ref="AD3:AD13" si="3">AC3/L3/1000</f>
        <v>2.5847788778877789</v>
      </c>
      <c r="AF3" s="112">
        <v>53982</v>
      </c>
      <c r="AG3" s="112">
        <v>111884</v>
      </c>
      <c r="AH3" s="112">
        <v>53982</v>
      </c>
      <c r="AI3" s="112">
        <v>111884</v>
      </c>
      <c r="AJ3" s="1">
        <f>(AI3-AG3)/AG3</f>
        <v>0</v>
      </c>
      <c r="AL3" s="527">
        <f>Y3</f>
        <v>26211</v>
      </c>
      <c r="AM3" s="129">
        <f>AA3</f>
        <v>24967</v>
      </c>
      <c r="AN3" s="132">
        <f>SUM(AL3:AM3)</f>
        <v>51178</v>
      </c>
      <c r="AO3" s="528">
        <f>AI3</f>
        <v>111884</v>
      </c>
    </row>
    <row r="4" spans="1:44">
      <c r="A4" s="103">
        <v>2007</v>
      </c>
      <c r="B4" s="514">
        <v>6.9163000000000006</v>
      </c>
      <c r="C4" s="514">
        <f t="shared" si="0"/>
        <v>4.2029533764705889</v>
      </c>
      <c r="D4" s="514">
        <f t="shared" si="1"/>
        <v>2.8620541882352768</v>
      </c>
      <c r="G4" s="106">
        <v>223.66872639495065</v>
      </c>
      <c r="H4" s="106">
        <v>32.339361565425243</v>
      </c>
      <c r="I4" s="106">
        <v>2.2499000000000002</v>
      </c>
      <c r="J4" s="116">
        <v>3.1567049180327906</v>
      </c>
      <c r="K4" s="116">
        <v>97.870650000000012</v>
      </c>
      <c r="L4" s="116">
        <v>44.014285714285734</v>
      </c>
      <c r="N4" s="103" t="s">
        <v>705</v>
      </c>
      <c r="O4" s="103" t="s">
        <v>707</v>
      </c>
      <c r="T4" s="103">
        <v>2007</v>
      </c>
      <c r="V4" s="68">
        <v>54717</v>
      </c>
      <c r="W4" s="102">
        <f t="shared" si="2"/>
        <v>24.3197475443353</v>
      </c>
      <c r="X4" s="102">
        <f t="shared" ref="X4:X13" si="4">V4/B4/1000</f>
        <v>7.9113109610629957</v>
      </c>
      <c r="Y4" s="519">
        <f>'Private,Public8EndUse'!S7</f>
        <v>26733</v>
      </c>
      <c r="Z4" s="122">
        <f t="shared" ref="Z4:Z13" si="5">Y4/C4</f>
        <v>6360.5273733607091</v>
      </c>
      <c r="AA4" s="519">
        <f>'Private,Public8EndUse'!AC7</f>
        <v>25185</v>
      </c>
      <c r="AB4" s="122">
        <f t="shared" ref="AB4:AB13" si="6">AA4/D4</f>
        <v>8799.6237470014148</v>
      </c>
      <c r="AC4" s="68">
        <v>113914</v>
      </c>
      <c r="AD4" s="102">
        <f t="shared" si="3"/>
        <v>2.5881142486205766</v>
      </c>
      <c r="AF4" s="112">
        <v>54717</v>
      </c>
      <c r="AG4" s="112">
        <v>113914</v>
      </c>
      <c r="AH4" s="112">
        <v>54717</v>
      </c>
      <c r="AI4" s="112">
        <v>113914</v>
      </c>
      <c r="AJ4" s="1">
        <f t="shared" ref="AJ4:AJ47" si="7">(AI4-AG4)/AG4</f>
        <v>0</v>
      </c>
      <c r="AL4" s="527">
        <f t="shared" ref="AL4:AL47" si="8">Y4</f>
        <v>26733</v>
      </c>
      <c r="AM4" s="129">
        <f t="shared" ref="AM4:AM47" si="9">AA4</f>
        <v>25185</v>
      </c>
      <c r="AN4" s="132">
        <f t="shared" ref="AN4:AN47" si="10">SUM(AL4:AM4)</f>
        <v>51918</v>
      </c>
      <c r="AO4" s="528">
        <f t="shared" ref="AO4:AO47" si="11">AI4</f>
        <v>113914</v>
      </c>
    </row>
    <row r="5" spans="1:44">
      <c r="A5" s="103">
        <v>2008</v>
      </c>
      <c r="B5" s="514">
        <v>6.9577999999999998</v>
      </c>
      <c r="C5" s="514">
        <f t="shared" si="0"/>
        <v>4.181045623529414</v>
      </c>
      <c r="D5" s="514">
        <f t="shared" si="1"/>
        <v>2.9092478117647005</v>
      </c>
      <c r="G5" s="106">
        <v>228.42826443840249</v>
      </c>
      <c r="H5" s="106">
        <v>32.830530403058795</v>
      </c>
      <c r="I5" s="106">
        <v>2.2791000000000001</v>
      </c>
      <c r="J5" s="116">
        <v>3.1439016393442643</v>
      </c>
      <c r="K5" s="116">
        <v>99.14085</v>
      </c>
      <c r="L5" s="116">
        <v>44.742857142857247</v>
      </c>
      <c r="N5" s="103" t="s">
        <v>696</v>
      </c>
      <c r="O5" s="103" t="s">
        <v>708</v>
      </c>
      <c r="T5" s="103">
        <v>2008</v>
      </c>
      <c r="V5" s="68">
        <v>55849</v>
      </c>
      <c r="W5" s="102">
        <f t="shared" si="2"/>
        <v>24.504848405072174</v>
      </c>
      <c r="X5" s="102">
        <f t="shared" si="4"/>
        <v>8.0268188220414505</v>
      </c>
      <c r="Y5" s="519">
        <f>'Private,Public8EndUse'!S8</f>
        <v>27701</v>
      </c>
      <c r="Z5" s="122">
        <f t="shared" si="5"/>
        <v>6625.3761604773654</v>
      </c>
      <c r="AA5" s="519">
        <f>'Private,Public8EndUse'!AC8</f>
        <v>25533</v>
      </c>
      <c r="AB5" s="122">
        <f t="shared" si="6"/>
        <v>8776.4953871399885</v>
      </c>
      <c r="AC5" s="68">
        <v>113753</v>
      </c>
      <c r="AD5" s="102">
        <f t="shared" si="3"/>
        <v>2.5423722860791766</v>
      </c>
      <c r="AF5" s="112">
        <v>55849</v>
      </c>
      <c r="AG5" s="112">
        <v>113753</v>
      </c>
      <c r="AH5" s="112">
        <v>55849</v>
      </c>
      <c r="AI5" s="112">
        <v>113753</v>
      </c>
      <c r="AJ5" s="1">
        <f t="shared" si="7"/>
        <v>0</v>
      </c>
      <c r="AL5" s="527">
        <f t="shared" si="8"/>
        <v>27701</v>
      </c>
      <c r="AM5" s="129">
        <f t="shared" si="9"/>
        <v>25533</v>
      </c>
      <c r="AN5" s="132">
        <f t="shared" si="10"/>
        <v>53234</v>
      </c>
      <c r="AO5" s="528">
        <f t="shared" si="11"/>
        <v>113753</v>
      </c>
    </row>
    <row r="6" spans="1:44">
      <c r="A6" s="103">
        <v>2009</v>
      </c>
      <c r="B6" s="514">
        <v>6.9728000000000003</v>
      </c>
      <c r="C6" s="514">
        <f t="shared" si="0"/>
        <v>4.1591378705882391</v>
      </c>
      <c r="D6" s="514">
        <f t="shared" si="1"/>
        <v>2.95644143529411</v>
      </c>
      <c r="G6" s="106">
        <v>222.81110013156828</v>
      </c>
      <c r="H6" s="106">
        <v>31.954322529194627</v>
      </c>
      <c r="I6" s="106">
        <v>2.2971999999999997</v>
      </c>
      <c r="J6" s="116">
        <v>3.1310983606557414</v>
      </c>
      <c r="K6" s="116">
        <v>99.92819999999999</v>
      </c>
      <c r="L6" s="116">
        <v>45.471428571428532</v>
      </c>
      <c r="N6" s="103" t="s">
        <v>695</v>
      </c>
      <c r="O6" s="103" t="s">
        <v>709</v>
      </c>
      <c r="T6" s="103">
        <v>2009</v>
      </c>
      <c r="V6" s="68">
        <v>57731</v>
      </c>
      <c r="W6" s="102">
        <f t="shared" si="2"/>
        <v>25.131029078878637</v>
      </c>
      <c r="X6" s="102">
        <f t="shared" si="4"/>
        <v>8.2794573198715007</v>
      </c>
      <c r="Y6" s="519">
        <f>'Private,Public8EndUse'!S9</f>
        <v>28544</v>
      </c>
      <c r="Z6" s="122">
        <f t="shared" si="5"/>
        <v>6862.9607596929545</v>
      </c>
      <c r="AA6" s="519">
        <f>'Private,Public8EndUse'!AC9</f>
        <v>26068</v>
      </c>
      <c r="AB6" s="122">
        <f t="shared" si="6"/>
        <v>8817.3571405133298</v>
      </c>
      <c r="AC6" s="68">
        <v>114297</v>
      </c>
      <c r="AD6" s="102">
        <f t="shared" si="3"/>
        <v>2.5136003770028297</v>
      </c>
      <c r="AF6" s="112">
        <v>57731</v>
      </c>
      <c r="AG6" s="112">
        <v>114297</v>
      </c>
      <c r="AH6" s="112">
        <v>57731</v>
      </c>
      <c r="AI6" s="112">
        <v>114297</v>
      </c>
      <c r="AJ6" s="1">
        <f t="shared" si="7"/>
        <v>0</v>
      </c>
      <c r="AL6" s="527">
        <f t="shared" si="8"/>
        <v>28544</v>
      </c>
      <c r="AM6" s="129">
        <f t="shared" si="9"/>
        <v>26068</v>
      </c>
      <c r="AN6" s="132">
        <f t="shared" si="10"/>
        <v>54612</v>
      </c>
      <c r="AO6" s="528">
        <f t="shared" si="11"/>
        <v>114297</v>
      </c>
    </row>
    <row r="7" spans="1:44">
      <c r="A7" s="103">
        <v>2010</v>
      </c>
      <c r="B7" s="514">
        <v>7.0241999999999996</v>
      </c>
      <c r="C7" s="514">
        <f t="shared" si="0"/>
        <v>4.1372301176470643</v>
      </c>
      <c r="D7" s="514">
        <f t="shared" si="1"/>
        <v>3.0036350588235194</v>
      </c>
      <c r="G7" s="106">
        <v>237.89024818360531</v>
      </c>
      <c r="H7" s="106">
        <v>33.86723729159268</v>
      </c>
      <c r="I7" s="106">
        <v>2.3250999999999999</v>
      </c>
      <c r="J7" s="116">
        <v>3.1182950819672151</v>
      </c>
      <c r="K7" s="116">
        <v>101.14184999999999</v>
      </c>
      <c r="L7" s="116">
        <v>46.200000000000045</v>
      </c>
      <c r="N7" s="103" t="s">
        <v>710</v>
      </c>
      <c r="O7" s="103" t="s">
        <v>713</v>
      </c>
      <c r="T7" s="103">
        <v>2010</v>
      </c>
      <c r="V7" s="68">
        <v>58396</v>
      </c>
      <c r="W7" s="102">
        <f t="shared" si="2"/>
        <v>25.115478904133155</v>
      </c>
      <c r="X7" s="102">
        <f t="shared" si="4"/>
        <v>8.3135446029441074</v>
      </c>
      <c r="Y7" s="519">
        <f>'Private,Public8EndUse'!S10</f>
        <v>28730</v>
      </c>
      <c r="Z7" s="122">
        <f t="shared" si="5"/>
        <v>6944.2596092139529</v>
      </c>
      <c r="AA7" s="519">
        <f>'Private,Public8EndUse'!AC10</f>
        <v>26236</v>
      </c>
      <c r="AB7" s="122">
        <f t="shared" si="6"/>
        <v>8734.7495571836425</v>
      </c>
      <c r="AC7" s="68">
        <v>116391</v>
      </c>
      <c r="AD7" s="102">
        <f t="shared" si="3"/>
        <v>2.5192857142857119</v>
      </c>
      <c r="AF7" s="112">
        <v>58396</v>
      </c>
      <c r="AG7" s="112">
        <v>116391</v>
      </c>
      <c r="AH7" s="112">
        <v>58396</v>
      </c>
      <c r="AI7" s="112">
        <v>116391</v>
      </c>
      <c r="AJ7" s="1">
        <f t="shared" si="7"/>
        <v>0</v>
      </c>
      <c r="AL7" s="527">
        <f t="shared" si="8"/>
        <v>28730</v>
      </c>
      <c r="AM7" s="129">
        <f t="shared" si="9"/>
        <v>26236</v>
      </c>
      <c r="AN7" s="132">
        <f t="shared" si="10"/>
        <v>54966</v>
      </c>
      <c r="AO7" s="528">
        <f t="shared" si="11"/>
        <v>116391</v>
      </c>
      <c r="AR7" s="60" t="s">
        <v>935</v>
      </c>
    </row>
    <row r="8" spans="1:44">
      <c r="A8" s="103">
        <v>2011</v>
      </c>
      <c r="B8" s="514">
        <v>7.0716000000000001</v>
      </c>
      <c r="C8" s="514">
        <f t="shared" si="0"/>
        <v>4.1153223647058823</v>
      </c>
      <c r="D8" s="514">
        <f t="shared" si="1"/>
        <v>3.0508286823529289</v>
      </c>
      <c r="G8" s="106">
        <v>249.34391970689373</v>
      </c>
      <c r="H8" s="106">
        <v>35.259901536695189</v>
      </c>
      <c r="I8" s="106">
        <v>2.3593000000000002</v>
      </c>
      <c r="J8" s="116">
        <v>3.1054918032786922</v>
      </c>
      <c r="K8" s="116">
        <v>102.62955000000001</v>
      </c>
      <c r="L8" s="116">
        <v>46.370000000000005</v>
      </c>
      <c r="N8" s="103" t="s">
        <v>697</v>
      </c>
      <c r="O8" s="103" t="s">
        <v>712</v>
      </c>
      <c r="T8" s="103">
        <v>2011</v>
      </c>
      <c r="V8" s="68">
        <v>58826</v>
      </c>
      <c r="W8" s="102">
        <f t="shared" si="2"/>
        <v>24.933666765566056</v>
      </c>
      <c r="X8" s="102">
        <f t="shared" si="4"/>
        <v>8.318626619152667</v>
      </c>
      <c r="Y8" s="519">
        <f>'Private,Public8EndUse'!S11</f>
        <v>29117</v>
      </c>
      <c r="Z8" s="122">
        <f t="shared" si="5"/>
        <v>7075.2659013338216</v>
      </c>
      <c r="AA8" s="519">
        <f>'Private,Public8EndUse'!AC11</f>
        <v>26080</v>
      </c>
      <c r="AB8" s="122">
        <f t="shared" si="6"/>
        <v>8548.4970529010479</v>
      </c>
      <c r="AC8" s="68">
        <v>118558</v>
      </c>
      <c r="AD8" s="102">
        <f t="shared" si="3"/>
        <v>2.5567824024153545</v>
      </c>
      <c r="AF8" s="112">
        <v>58826</v>
      </c>
      <c r="AG8" s="112">
        <v>118558</v>
      </c>
      <c r="AH8" s="112">
        <v>58826</v>
      </c>
      <c r="AI8" s="112">
        <v>118558</v>
      </c>
      <c r="AJ8" s="1">
        <f t="shared" si="7"/>
        <v>0</v>
      </c>
      <c r="AL8" s="527">
        <f t="shared" si="8"/>
        <v>29117</v>
      </c>
      <c r="AM8" s="129">
        <f t="shared" si="9"/>
        <v>26080</v>
      </c>
      <c r="AN8" s="132">
        <f t="shared" si="10"/>
        <v>55197</v>
      </c>
      <c r="AO8" s="528">
        <f t="shared" si="11"/>
        <v>118558</v>
      </c>
    </row>
    <row r="9" spans="1:44">
      <c r="A9" s="103">
        <v>2012</v>
      </c>
      <c r="B9" s="514">
        <v>7.1501000000000001</v>
      </c>
      <c r="C9" s="514">
        <f t="shared" si="0"/>
        <v>4.0934146117647074</v>
      </c>
      <c r="D9" s="514">
        <f t="shared" si="1"/>
        <v>3.0980223058823384</v>
      </c>
      <c r="G9" s="106">
        <v>253.58353381643323</v>
      </c>
      <c r="H9" s="106">
        <v>35.465732481564345</v>
      </c>
      <c r="I9" s="106">
        <v>2.3861999999999997</v>
      </c>
      <c r="J9" s="116">
        <v>3.0926885245901659</v>
      </c>
      <c r="K9" s="116">
        <v>103.79969999999999</v>
      </c>
      <c r="L9" s="116">
        <v>46.539999999999964</v>
      </c>
      <c r="N9" s="103" t="s">
        <v>698</v>
      </c>
      <c r="O9" s="103" t="s">
        <v>711</v>
      </c>
      <c r="T9" s="103">
        <v>2012</v>
      </c>
      <c r="V9" s="68">
        <v>59932</v>
      </c>
      <c r="W9" s="102">
        <f t="shared" si="2"/>
        <v>25.116084150532231</v>
      </c>
      <c r="X9" s="102">
        <f t="shared" si="4"/>
        <v>8.3819806715989973</v>
      </c>
      <c r="Y9" s="519">
        <f>'Private,Public8EndUse'!S12</f>
        <v>29268</v>
      </c>
      <c r="Z9" s="122">
        <f t="shared" si="5"/>
        <v>7150.020893530329</v>
      </c>
      <c r="AA9" s="519">
        <f>'Private,Public8EndUse'!AC12</f>
        <v>26648</v>
      </c>
      <c r="AB9" s="122">
        <f t="shared" si="6"/>
        <v>8601.6165698363056</v>
      </c>
      <c r="AC9" s="68">
        <v>120970</v>
      </c>
      <c r="AD9" s="102">
        <f t="shared" si="3"/>
        <v>2.5992694456381629</v>
      </c>
      <c r="AF9" s="112">
        <v>59932</v>
      </c>
      <c r="AG9" s="112">
        <v>120970</v>
      </c>
      <c r="AH9" s="112">
        <v>59932</v>
      </c>
      <c r="AI9" s="112">
        <v>120970</v>
      </c>
      <c r="AJ9" s="1">
        <f t="shared" si="7"/>
        <v>0</v>
      </c>
      <c r="AL9" s="527">
        <f t="shared" si="8"/>
        <v>29268</v>
      </c>
      <c r="AM9" s="129">
        <f t="shared" si="9"/>
        <v>26648</v>
      </c>
      <c r="AN9" s="132">
        <f t="shared" si="10"/>
        <v>55916</v>
      </c>
      <c r="AO9" s="528">
        <f t="shared" si="11"/>
        <v>120970</v>
      </c>
    </row>
    <row r="10" spans="1:44">
      <c r="A10" s="103">
        <v>2013</v>
      </c>
      <c r="B10" s="514">
        <v>7.1788999999999996</v>
      </c>
      <c r="C10" s="514">
        <f t="shared" si="0"/>
        <v>4.0715068588235326</v>
      </c>
      <c r="D10" s="514">
        <f t="shared" si="1"/>
        <v>3.1452159294117479</v>
      </c>
      <c r="G10" s="106">
        <v>261.4483987932918</v>
      </c>
      <c r="H10" s="106">
        <v>36.419005529160707</v>
      </c>
      <c r="I10" s="106">
        <v>2.4073000000000002</v>
      </c>
      <c r="J10" s="116">
        <v>3.079885245901643</v>
      </c>
      <c r="K10" s="116">
        <v>104.71755</v>
      </c>
      <c r="L10" s="116">
        <v>46.70999999999998</v>
      </c>
      <c r="N10" s="103" t="s">
        <v>700</v>
      </c>
      <c r="O10" s="103" t="s">
        <v>714</v>
      </c>
      <c r="T10" s="103">
        <v>2013</v>
      </c>
      <c r="V10" s="68">
        <v>58394</v>
      </c>
      <c r="W10" s="102">
        <f t="shared" si="2"/>
        <v>24.257051468450129</v>
      </c>
      <c r="X10" s="102">
        <f t="shared" si="4"/>
        <v>8.134115254426165</v>
      </c>
      <c r="Y10" s="519">
        <f>'Private,Public8EndUse'!S13</f>
        <v>28407</v>
      </c>
      <c r="Z10" s="122">
        <f t="shared" si="5"/>
        <v>6977.0237371547109</v>
      </c>
      <c r="AA10" s="519">
        <f>'Private,Public8EndUse'!AC13</f>
        <v>26084</v>
      </c>
      <c r="AB10" s="122">
        <f t="shared" si="6"/>
        <v>8293.2302854254303</v>
      </c>
      <c r="AC10" s="68">
        <v>121215</v>
      </c>
      <c r="AD10" s="102">
        <f t="shared" si="3"/>
        <v>2.5950545921644199</v>
      </c>
      <c r="AF10" s="112">
        <v>58394</v>
      </c>
      <c r="AG10" s="112">
        <v>121215</v>
      </c>
      <c r="AH10" s="112">
        <v>58394</v>
      </c>
      <c r="AI10" s="112">
        <v>121215</v>
      </c>
      <c r="AJ10" s="1">
        <f t="shared" si="7"/>
        <v>0</v>
      </c>
      <c r="AL10" s="527">
        <f t="shared" si="8"/>
        <v>28407</v>
      </c>
      <c r="AM10" s="129">
        <f t="shared" si="9"/>
        <v>26084</v>
      </c>
      <c r="AN10" s="132">
        <f t="shared" si="10"/>
        <v>54491</v>
      </c>
      <c r="AO10" s="528">
        <f t="shared" si="11"/>
        <v>121215</v>
      </c>
    </row>
    <row r="11" spans="1:44">
      <c r="A11" s="103">
        <v>2014</v>
      </c>
      <c r="B11" s="514">
        <v>7.2294999999999998</v>
      </c>
      <c r="C11" s="514">
        <f t="shared" si="0"/>
        <v>4.0495991058823577</v>
      </c>
      <c r="D11" s="514">
        <f t="shared" si="1"/>
        <v>3.1924095529411716</v>
      </c>
      <c r="G11" s="106">
        <v>268.67069284922229</v>
      </c>
      <c r="H11" s="106">
        <v>37.163108492872574</v>
      </c>
      <c r="I11" s="106">
        <v>2.4323999999999999</v>
      </c>
      <c r="J11" s="116">
        <v>3.0670819672131167</v>
      </c>
      <c r="K11" s="116">
        <v>105.8094</v>
      </c>
      <c r="L11" s="116">
        <v>46.879999999999995</v>
      </c>
      <c r="N11" s="103" t="s">
        <v>699</v>
      </c>
      <c r="O11" s="103" t="s">
        <v>715</v>
      </c>
      <c r="T11" s="103">
        <v>2014</v>
      </c>
      <c r="V11" s="68">
        <v>61910</v>
      </c>
      <c r="W11" s="102">
        <f t="shared" si="2"/>
        <v>25.452228251932251</v>
      </c>
      <c r="X11" s="102">
        <f t="shared" si="4"/>
        <v>8.5635244484404183</v>
      </c>
      <c r="Y11" s="519">
        <f>'Private,Public8EndUse'!S14</f>
        <v>30480</v>
      </c>
      <c r="Z11" s="122">
        <f t="shared" si="5"/>
        <v>7526.6709624973564</v>
      </c>
      <c r="AA11" s="519">
        <f>'Private,Public8EndUse'!AC14</f>
        <v>27392</v>
      </c>
      <c r="AB11" s="122">
        <f t="shared" si="6"/>
        <v>8580.3527228402472</v>
      </c>
      <c r="AC11" s="68">
        <v>122711</v>
      </c>
      <c r="AD11" s="102">
        <f t="shared" si="3"/>
        <v>2.6175554607508533</v>
      </c>
      <c r="AF11" s="112">
        <v>61910</v>
      </c>
      <c r="AG11" s="112">
        <v>122711</v>
      </c>
      <c r="AH11" s="112">
        <v>61910</v>
      </c>
      <c r="AI11" s="112">
        <v>122711</v>
      </c>
      <c r="AJ11" s="1">
        <f t="shared" si="7"/>
        <v>0</v>
      </c>
      <c r="AL11" s="527">
        <f t="shared" si="8"/>
        <v>30480</v>
      </c>
      <c r="AM11" s="129">
        <f t="shared" si="9"/>
        <v>27392</v>
      </c>
      <c r="AN11" s="132">
        <f t="shared" si="10"/>
        <v>57872</v>
      </c>
      <c r="AO11" s="528">
        <f t="shared" si="11"/>
        <v>122711</v>
      </c>
    </row>
    <row r="12" spans="1:44">
      <c r="A12" s="103">
        <v>2015</v>
      </c>
      <c r="B12" s="514">
        <v>7.2913000000000006</v>
      </c>
      <c r="C12" s="514">
        <f>TREND($C$49:$C$50,$A$49:$A$50,$A12)</f>
        <v>4.0276913529411829</v>
      </c>
      <c r="D12" s="514">
        <f t="shared" ref="D12:D46" si="12">TREND($D$49:$D$50,$A$49:$A$50,$A12)</f>
        <v>3.239603176470581</v>
      </c>
      <c r="G12" s="106">
        <v>275.08613446344197</v>
      </c>
      <c r="H12" s="106">
        <v>37.727995619908931</v>
      </c>
      <c r="I12" s="106">
        <v>2.4710999999999999</v>
      </c>
      <c r="J12" s="116">
        <v>3.0542786885245938</v>
      </c>
      <c r="K12" s="116">
        <v>107.49284999999999</v>
      </c>
      <c r="L12" s="116">
        <v>47.050000000000011</v>
      </c>
      <c r="T12" s="103">
        <v>2015</v>
      </c>
      <c r="V12" s="68">
        <v>60214</v>
      </c>
      <c r="W12" s="102">
        <f t="shared" si="2"/>
        <v>24.36728582412691</v>
      </c>
      <c r="X12" s="102">
        <f t="shared" si="4"/>
        <v>8.2583352762881788</v>
      </c>
      <c r="Y12" s="519">
        <f>'Private,Public8EndUse'!S15</f>
        <v>29125</v>
      </c>
      <c r="Z12" s="122">
        <f t="shared" si="5"/>
        <v>7231.1896438469021</v>
      </c>
      <c r="AA12" s="519">
        <f>'Private,Public8EndUse'!AC15</f>
        <v>26763</v>
      </c>
      <c r="AB12" s="122">
        <f t="shared" si="6"/>
        <v>8261.1969868350443</v>
      </c>
      <c r="AC12" s="68">
        <v>123674</v>
      </c>
      <c r="AD12" s="102">
        <f t="shared" si="3"/>
        <v>2.6285653560042501</v>
      </c>
      <c r="AF12" s="112">
        <v>60214</v>
      </c>
      <c r="AG12" s="112">
        <v>123674</v>
      </c>
      <c r="AH12" s="112">
        <v>60214</v>
      </c>
      <c r="AI12" s="112">
        <v>123674</v>
      </c>
      <c r="AJ12" s="1">
        <f t="shared" si="7"/>
        <v>0</v>
      </c>
      <c r="AL12" s="527">
        <f t="shared" si="8"/>
        <v>29125</v>
      </c>
      <c r="AM12" s="129">
        <f t="shared" si="9"/>
        <v>26763</v>
      </c>
      <c r="AN12" s="132">
        <f t="shared" si="10"/>
        <v>55888</v>
      </c>
      <c r="AO12" s="528">
        <f t="shared" si="11"/>
        <v>123674</v>
      </c>
    </row>
    <row r="13" spans="1:44">
      <c r="A13" s="103">
        <v>2016</v>
      </c>
      <c r="B13" s="514">
        <v>7.3366000000000007</v>
      </c>
      <c r="C13" s="514">
        <f>B13*Building!D31</f>
        <v>4.0057836000000009</v>
      </c>
      <c r="D13" s="514">
        <f>B13*Building!D32</f>
        <v>3.2867967999999999</v>
      </c>
      <c r="E13" s="514">
        <f>$B13*C13/($C13+$D13)</f>
        <v>4.029963380281691</v>
      </c>
      <c r="F13" s="514">
        <f>$B13*D13/($C13+$D13)</f>
        <v>3.3066366197183101</v>
      </c>
      <c r="G13" s="106">
        <v>281.03603654829504</v>
      </c>
      <c r="H13" s="106">
        <v>38.306032296744412</v>
      </c>
      <c r="I13" s="106">
        <v>2.4988999999999999</v>
      </c>
      <c r="J13" s="116">
        <v>3.0414754098360675</v>
      </c>
      <c r="K13" s="116">
        <v>108.70214999999999</v>
      </c>
      <c r="L13" s="116">
        <v>47.21999999999997</v>
      </c>
      <c r="T13" s="103">
        <v>2016</v>
      </c>
      <c r="V13" s="68">
        <v>61439</v>
      </c>
      <c r="W13" s="102">
        <f t="shared" si="2"/>
        <v>24.586418023930531</v>
      </c>
      <c r="X13" s="102">
        <f t="shared" si="4"/>
        <v>8.3743150778289657</v>
      </c>
      <c r="Y13" s="520">
        <f>'Private,Public8EndUse'!S16</f>
        <v>30284</v>
      </c>
      <c r="Z13" s="518">
        <f t="shared" si="5"/>
        <v>7560.0688963827188</v>
      </c>
      <c r="AA13" s="520">
        <f>'Private,Public8EndUse'!AC16</f>
        <v>27077</v>
      </c>
      <c r="AB13" s="518">
        <f t="shared" si="6"/>
        <v>8238.1119514294278</v>
      </c>
      <c r="AC13" s="68">
        <v>123969</v>
      </c>
      <c r="AD13" s="102">
        <f t="shared" si="3"/>
        <v>2.6253494282083878</v>
      </c>
      <c r="AF13" s="112">
        <v>61439</v>
      </c>
      <c r="AG13" s="112">
        <v>123969</v>
      </c>
      <c r="AH13" s="112">
        <v>61439</v>
      </c>
      <c r="AI13" s="112">
        <v>123969</v>
      </c>
      <c r="AJ13" s="1">
        <f t="shared" si="7"/>
        <v>0</v>
      </c>
      <c r="AL13" s="527">
        <f t="shared" si="8"/>
        <v>30284</v>
      </c>
      <c r="AM13" s="129">
        <f t="shared" si="9"/>
        <v>27077</v>
      </c>
      <c r="AN13" s="132">
        <f t="shared" si="10"/>
        <v>57361</v>
      </c>
      <c r="AO13" s="528">
        <f t="shared" si="11"/>
        <v>123969</v>
      </c>
    </row>
    <row r="14" spans="1:44">
      <c r="A14" s="103">
        <v>2017</v>
      </c>
      <c r="B14" s="514">
        <v>7.3917000000000002</v>
      </c>
      <c r="C14" s="514">
        <f>TREND($C$49:$C$50,$A$49:$A$50,$A14)</f>
        <v>3.983875847058826</v>
      </c>
      <c r="D14" s="514">
        <f t="shared" si="12"/>
        <v>3.3339904235294</v>
      </c>
      <c r="E14" s="514">
        <f t="shared" ref="E14:E47" si="13">$B14*C14/($C14+$D14)</f>
        <v>4.0240712264802925</v>
      </c>
      <c r="F14" s="514">
        <f t="shared" ref="F14:F47" si="14">$B14*D14/($C14+$D14)</f>
        <v>3.3676287735197077</v>
      </c>
      <c r="G14" s="106">
        <v>291.69109227205433</v>
      </c>
      <c r="H14" s="106">
        <v>39.461976578061119</v>
      </c>
      <c r="I14" s="106">
        <v>2.5347</v>
      </c>
      <c r="J14" s="116">
        <v>3.0286721311475446</v>
      </c>
      <c r="K14" s="116">
        <v>110.25945</v>
      </c>
      <c r="L14" s="116">
        <v>47.389999999999986</v>
      </c>
      <c r="T14" s="103">
        <v>2017</v>
      </c>
      <c r="V14" s="68"/>
      <c r="W14" s="102"/>
      <c r="X14" s="68"/>
      <c r="Y14" s="173">
        <f>Z14*E14</f>
        <v>30826.871717167014</v>
      </c>
      <c r="Z14" s="102">
        <f>Z13*(1+0.0133)</f>
        <v>7660.6178127046096</v>
      </c>
      <c r="AA14" s="173">
        <f>AB14*F14</f>
        <v>27636.608404858052</v>
      </c>
      <c r="AB14" s="102">
        <f>TREND($AB$3:$AB$13,$T$3:$T$13,T14)</f>
        <v>8206.5483648820955</v>
      </c>
      <c r="AC14" s="68"/>
      <c r="AD14" s="102">
        <f>AD13</f>
        <v>2.6253494282083878</v>
      </c>
      <c r="AF14" s="112">
        <v>62377.589756447647</v>
      </c>
      <c r="AG14" s="112">
        <v>126310.48669229099</v>
      </c>
      <c r="AH14" s="112">
        <f t="shared" ref="AH14:AH47" si="15">I14*$W$16*1000</f>
        <v>62697.002883697314</v>
      </c>
      <c r="AI14" s="233">
        <f>L14*$AD$16*1000</f>
        <v>124415.30940279546</v>
      </c>
      <c r="AJ14" s="1">
        <f t="shared" si="7"/>
        <v>-1.5004116753286076E-2</v>
      </c>
      <c r="AL14" s="527">
        <f t="shared" si="8"/>
        <v>30826.871717167014</v>
      </c>
      <c r="AM14" s="129">
        <f t="shared" si="9"/>
        <v>27636.608404858052</v>
      </c>
      <c r="AN14" s="132">
        <f t="shared" si="10"/>
        <v>58463.480122025067</v>
      </c>
      <c r="AO14" s="130">
        <f t="shared" si="11"/>
        <v>124415.30940279546</v>
      </c>
    </row>
    <row r="15" spans="1:44">
      <c r="A15" s="103">
        <v>2018</v>
      </c>
      <c r="B15" s="514">
        <v>7.4509999999999996</v>
      </c>
      <c r="C15" s="514">
        <f t="shared" ref="C15:C46" si="16">TREND($C$49:$C$50,$A$49:$A$50,$A15)</f>
        <v>3.9619680941176512</v>
      </c>
      <c r="D15" s="514">
        <f t="shared" si="12"/>
        <v>3.3811840470588095</v>
      </c>
      <c r="E15" s="514">
        <f t="shared" si="13"/>
        <v>4.0201569709736482</v>
      </c>
      <c r="F15" s="514">
        <f t="shared" si="14"/>
        <v>3.4308430290263519</v>
      </c>
      <c r="G15" s="106">
        <v>301.90028050157622</v>
      </c>
      <c r="H15" s="106">
        <v>40.518088914451248</v>
      </c>
      <c r="I15" s="106">
        <v>2.5493407407407389</v>
      </c>
      <c r="J15" s="116">
        <v>3.0158688524590183</v>
      </c>
      <c r="K15" s="116">
        <v>110.89632222222214</v>
      </c>
      <c r="L15" s="116">
        <v>47.56</v>
      </c>
      <c r="T15" s="103">
        <v>2018</v>
      </c>
      <c r="V15" s="68"/>
      <c r="W15" s="102" t="s">
        <v>841</v>
      </c>
      <c r="X15" s="68"/>
      <c r="Y15" s="173">
        <f t="shared" ref="Y15:Y47" si="17">Z15*E15</f>
        <v>31206.484686862073</v>
      </c>
      <c r="Z15" s="102">
        <f t="shared" ref="Z15:Z47" si="18">Z14*(1+0.0133)</f>
        <v>7762.5040296135812</v>
      </c>
      <c r="AA15" s="173">
        <f t="shared" ref="AA15:AA47" si="19">AB15*F15</f>
        <v>27934.510387419203</v>
      </c>
      <c r="AB15" s="102">
        <f t="shared" ref="AB15:AB47" si="20">TREND($AB$3:$AB$13,$T$3:$T$13,T15)</f>
        <v>8142.1709332317696</v>
      </c>
      <c r="AC15" s="68"/>
      <c r="AD15" s="102">
        <f t="shared" ref="AD15:AD47" si="21">AD14</f>
        <v>2.6253494282083878</v>
      </c>
      <c r="AF15" s="112">
        <v>62807.111646458419</v>
      </c>
      <c r="AG15" s="112">
        <v>127689.14928938542</v>
      </c>
      <c r="AH15" s="112">
        <f t="shared" si="15"/>
        <v>63059.148527931975</v>
      </c>
      <c r="AI15" s="233">
        <f t="shared" ref="AI15:AI47" si="22">L15*$AD$16*1000</f>
        <v>124861.61880559093</v>
      </c>
      <c r="AJ15" s="1">
        <f t="shared" si="7"/>
        <v>-2.2143858734514521E-2</v>
      </c>
      <c r="AL15" s="527">
        <f t="shared" si="8"/>
        <v>31206.484686862073</v>
      </c>
      <c r="AM15" s="129">
        <f t="shared" si="9"/>
        <v>27934.510387419203</v>
      </c>
      <c r="AN15" s="132">
        <f t="shared" si="10"/>
        <v>59140.99507428128</v>
      </c>
      <c r="AO15" s="130">
        <f t="shared" si="11"/>
        <v>124861.61880559093</v>
      </c>
    </row>
    <row r="16" spans="1:44">
      <c r="A16" s="103">
        <v>2019</v>
      </c>
      <c r="B16" s="514">
        <v>7.5026000000000002</v>
      </c>
      <c r="C16" s="514">
        <f t="shared" si="16"/>
        <v>3.9400603411764763</v>
      </c>
      <c r="D16" s="514">
        <f t="shared" si="12"/>
        <v>3.428377670588219</v>
      </c>
      <c r="E16" s="514">
        <f t="shared" si="13"/>
        <v>4.011799606444816</v>
      </c>
      <c r="F16" s="514">
        <f t="shared" si="14"/>
        <v>3.4908003935551837</v>
      </c>
      <c r="G16" s="106">
        <v>310.65538863612193</v>
      </c>
      <c r="H16" s="106">
        <v>41.406364278533033</v>
      </c>
      <c r="I16" s="106">
        <v>2.5639814814814805</v>
      </c>
      <c r="J16" s="116">
        <v>3.0030655737704954</v>
      </c>
      <c r="K16" s="116">
        <v>111.5331944444444</v>
      </c>
      <c r="L16" s="116">
        <v>47.729999999999961</v>
      </c>
      <c r="T16" s="103">
        <v>2019</v>
      </c>
      <c r="V16" s="68"/>
      <c r="W16" s="102">
        <f>AVERAGE(W3:W13)</f>
        <v>24.735472791137934</v>
      </c>
      <c r="X16" s="68"/>
      <c r="Y16" s="173">
        <f t="shared" si="17"/>
        <v>31555.794032156769</v>
      </c>
      <c r="Z16" s="102">
        <f t="shared" si="18"/>
        <v>7865.7453332074429</v>
      </c>
      <c r="AA16" s="173">
        <f t="shared" si="19"/>
        <v>28197.964734378009</v>
      </c>
      <c r="AB16" s="102">
        <f t="shared" si="20"/>
        <v>8077.7935015814437</v>
      </c>
      <c r="AC16" s="68"/>
      <c r="AD16" s="102">
        <f t="shared" si="21"/>
        <v>2.6253494282083878</v>
      </c>
      <c r="AF16" s="112">
        <v>63353.1262185222</v>
      </c>
      <c r="AG16" s="112">
        <v>129082.92646772019</v>
      </c>
      <c r="AH16" s="112">
        <f t="shared" si="15"/>
        <v>63421.294172166687</v>
      </c>
      <c r="AI16" s="233">
        <f t="shared" si="22"/>
        <v>125307.92820838625</v>
      </c>
      <c r="AJ16" s="1">
        <f t="shared" si="7"/>
        <v>-2.9244752676706259E-2</v>
      </c>
      <c r="AL16" s="527">
        <f t="shared" si="8"/>
        <v>31555.794032156769</v>
      </c>
      <c r="AM16" s="129">
        <f t="shared" si="9"/>
        <v>28197.964734378009</v>
      </c>
      <c r="AN16" s="132">
        <f t="shared" si="10"/>
        <v>59753.758766534782</v>
      </c>
      <c r="AO16" s="130">
        <f t="shared" si="11"/>
        <v>125307.92820838625</v>
      </c>
    </row>
    <row r="17" spans="1:41">
      <c r="A17" s="103">
        <v>2020</v>
      </c>
      <c r="B17" s="514">
        <v>7.5581000000000005</v>
      </c>
      <c r="C17" s="514">
        <f t="shared" si="16"/>
        <v>3.9181525882352943</v>
      </c>
      <c r="D17" s="514">
        <f t="shared" si="12"/>
        <v>3.4755712941176284</v>
      </c>
      <c r="E17" s="514">
        <f t="shared" si="13"/>
        <v>4.0052603462542491</v>
      </c>
      <c r="F17" s="514">
        <f t="shared" si="14"/>
        <v>3.5528396537457509</v>
      </c>
      <c r="G17" s="106">
        <v>319.97505029520562</v>
      </c>
      <c r="H17" s="106">
        <v>42.335381947209697</v>
      </c>
      <c r="I17" s="106">
        <v>2.5786222222222221</v>
      </c>
      <c r="J17" s="116">
        <v>2.9902622950819691</v>
      </c>
      <c r="K17" s="116">
        <v>112.17006666666666</v>
      </c>
      <c r="L17" s="116">
        <v>47.899999999999977</v>
      </c>
      <c r="T17" s="103">
        <v>2020</v>
      </c>
      <c r="V17" s="68"/>
      <c r="W17" s="68"/>
      <c r="X17" s="68"/>
      <c r="Y17" s="173">
        <f t="shared" si="17"/>
        <v>31923.365836592031</v>
      </c>
      <c r="Z17" s="102">
        <f t="shared" si="18"/>
        <v>7970.3597461391028</v>
      </c>
      <c r="AA17" s="173">
        <f t="shared" si="19"/>
        <v>28470.382375214707</v>
      </c>
      <c r="AB17" s="102">
        <f t="shared" si="20"/>
        <v>8013.4160699311178</v>
      </c>
      <c r="AC17" s="68"/>
      <c r="AD17" s="102">
        <f t="shared" si="21"/>
        <v>2.6253494282083878</v>
      </c>
      <c r="AF17" s="112">
        <v>63846.350857307261</v>
      </c>
      <c r="AG17" s="112">
        <v>130491.81822729623</v>
      </c>
      <c r="AH17" s="112">
        <f t="shared" si="15"/>
        <v>63783.439816401413</v>
      </c>
      <c r="AI17" s="233">
        <f t="shared" si="22"/>
        <v>125754.23761118173</v>
      </c>
      <c r="AJ17" s="1">
        <f t="shared" si="7"/>
        <v>-3.6305575939346482E-2</v>
      </c>
      <c r="AL17" s="527">
        <f t="shared" si="8"/>
        <v>31923.365836592031</v>
      </c>
      <c r="AM17" s="129">
        <f t="shared" si="9"/>
        <v>28470.382375214707</v>
      </c>
      <c r="AN17" s="132">
        <f t="shared" si="10"/>
        <v>60393.748211806742</v>
      </c>
      <c r="AO17" s="130">
        <f t="shared" si="11"/>
        <v>125754.23761118173</v>
      </c>
    </row>
    <row r="18" spans="1:41">
      <c r="A18" s="103">
        <v>2021</v>
      </c>
      <c r="B18" s="514">
        <v>7.6083999999999996</v>
      </c>
      <c r="C18" s="514">
        <f t="shared" si="16"/>
        <v>3.8962448352941195</v>
      </c>
      <c r="D18" s="514">
        <f t="shared" si="12"/>
        <v>3.5227649176470521</v>
      </c>
      <c r="E18" s="514">
        <f t="shared" si="13"/>
        <v>3.9957070002637098</v>
      </c>
      <c r="F18" s="514">
        <f t="shared" si="14"/>
        <v>3.6126929997362898</v>
      </c>
      <c r="G18" s="106">
        <v>329.89427685435697</v>
      </c>
      <c r="H18" s="106">
        <v>43.359218344771172</v>
      </c>
      <c r="I18" s="106">
        <v>2.5932629629629638</v>
      </c>
      <c r="J18" s="116">
        <v>2.9774590163934462</v>
      </c>
      <c r="K18" s="116">
        <v>112.80693888888892</v>
      </c>
      <c r="L18" s="116">
        <v>48.269999999999982</v>
      </c>
      <c r="T18" s="103">
        <v>2021</v>
      </c>
      <c r="V18" s="68"/>
      <c r="W18" s="68"/>
      <c r="X18" s="68"/>
      <c r="Y18" s="173">
        <f t="shared" si="17"/>
        <v>32270.790287957265</v>
      </c>
      <c r="Z18" s="102">
        <f t="shared" si="18"/>
        <v>8076.3655307627532</v>
      </c>
      <c r="AA18" s="173">
        <f t="shared" si="19"/>
        <v>28717.436243150252</v>
      </c>
      <c r="AB18" s="102">
        <f t="shared" si="20"/>
        <v>7949.0386382807774</v>
      </c>
      <c r="AC18" s="68"/>
      <c r="AD18" s="102">
        <f t="shared" si="21"/>
        <v>2.6253494282083878</v>
      </c>
      <c r="AF18" s="112">
        <v>64283.849508860963</v>
      </c>
      <c r="AG18" s="112">
        <v>132413.99363611278</v>
      </c>
      <c r="AH18" s="112">
        <f t="shared" si="15"/>
        <v>64145.585460636124</v>
      </c>
      <c r="AI18" s="233">
        <f t="shared" si="22"/>
        <v>126725.61689961882</v>
      </c>
      <c r="AJ18" s="1">
        <f t="shared" si="7"/>
        <v>-4.2959030086549596E-2</v>
      </c>
      <c r="AL18" s="527">
        <f t="shared" si="8"/>
        <v>32270.790287957265</v>
      </c>
      <c r="AM18" s="129">
        <f t="shared" si="9"/>
        <v>28717.436243150252</v>
      </c>
      <c r="AN18" s="132">
        <f t="shared" si="10"/>
        <v>60988.226531107517</v>
      </c>
      <c r="AO18" s="130">
        <f t="shared" si="11"/>
        <v>126725.61689961882</v>
      </c>
    </row>
    <row r="19" spans="1:41">
      <c r="A19" s="103">
        <v>2022</v>
      </c>
      <c r="B19" s="514">
        <v>7.6577000000000002</v>
      </c>
      <c r="C19" s="514">
        <f t="shared" si="16"/>
        <v>3.8743370823529446</v>
      </c>
      <c r="D19" s="514">
        <f t="shared" si="12"/>
        <v>3.5699585411764616</v>
      </c>
      <c r="E19" s="514">
        <f t="shared" si="13"/>
        <v>3.985402054931833</v>
      </c>
      <c r="F19" s="514">
        <f t="shared" si="14"/>
        <v>3.6722979450681672</v>
      </c>
      <c r="G19" s="106">
        <v>340.120999436842</v>
      </c>
      <c r="H19" s="106">
        <v>44.415555511033602</v>
      </c>
      <c r="I19" s="106">
        <v>2.6079037037037018</v>
      </c>
      <c r="J19" s="116">
        <v>2.9646557377049199</v>
      </c>
      <c r="K19" s="116">
        <v>113.44381111111103</v>
      </c>
      <c r="L19" s="116">
        <v>48.639999999999986</v>
      </c>
      <c r="T19" s="103">
        <v>2022</v>
      </c>
      <c r="V19" s="68"/>
      <c r="W19" s="68"/>
      <c r="X19" s="234"/>
      <c r="Y19" s="173">
        <f t="shared" si="17"/>
        <v>32615.658380992183</v>
      </c>
      <c r="Z19" s="102">
        <f t="shared" si="18"/>
        <v>8183.7811923218987</v>
      </c>
      <c r="AA19" s="173">
        <f t="shared" si="19"/>
        <v>28954.825146667703</v>
      </c>
      <c r="AB19" s="102">
        <f t="shared" si="20"/>
        <v>7884.6612066304515</v>
      </c>
      <c r="AC19" s="68"/>
      <c r="AD19" s="102">
        <f t="shared" si="21"/>
        <v>2.6253494282083878</v>
      </c>
      <c r="AF19" s="112">
        <v>64690.115069186955</v>
      </c>
      <c r="AG19" s="112">
        <v>134424.15144217026</v>
      </c>
      <c r="AH19" s="112">
        <f t="shared" si="15"/>
        <v>64507.731104870756</v>
      </c>
      <c r="AI19" s="233">
        <f t="shared" si="22"/>
        <v>127696.99618805594</v>
      </c>
      <c r="AJ19" s="1">
        <f t="shared" si="7"/>
        <v>-5.0044245635490307E-2</v>
      </c>
      <c r="AL19" s="527">
        <f t="shared" si="8"/>
        <v>32615.658380992183</v>
      </c>
      <c r="AM19" s="129">
        <f t="shared" si="9"/>
        <v>28954.825146667703</v>
      </c>
      <c r="AN19" s="132">
        <f t="shared" si="10"/>
        <v>61570.48352765989</v>
      </c>
      <c r="AO19" s="130">
        <f t="shared" si="11"/>
        <v>127696.99618805594</v>
      </c>
    </row>
    <row r="20" spans="1:41">
      <c r="A20" s="103">
        <v>2023</v>
      </c>
      <c r="B20" s="514">
        <v>7.7054</v>
      </c>
      <c r="C20" s="514">
        <f t="shared" si="16"/>
        <v>3.8524293294117697</v>
      </c>
      <c r="D20" s="514">
        <f t="shared" si="12"/>
        <v>3.6171521647058711</v>
      </c>
      <c r="E20" s="514">
        <f t="shared" si="13"/>
        <v>3.9740524925293683</v>
      </c>
      <c r="F20" s="514">
        <f t="shared" si="14"/>
        <v>3.7313475074706322</v>
      </c>
      <c r="G20" s="106">
        <v>350.66475041938406</v>
      </c>
      <c r="H20" s="106">
        <v>45.50896130238327</v>
      </c>
      <c r="I20" s="106">
        <v>2.6225444444444435</v>
      </c>
      <c r="J20" s="116">
        <v>2.951852459016397</v>
      </c>
      <c r="K20" s="116">
        <v>114.0806833333333</v>
      </c>
      <c r="L20" s="116">
        <v>49.009999999999991</v>
      </c>
      <c r="T20" s="103">
        <v>2023</v>
      </c>
      <c r="V20" s="68"/>
      <c r="W20" s="68"/>
      <c r="X20" s="234"/>
      <c r="Y20" s="173">
        <f t="shared" si="17"/>
        <v>32955.328967069116</v>
      </c>
      <c r="Z20" s="102">
        <f t="shared" si="18"/>
        <v>8292.6254821797811</v>
      </c>
      <c r="AA20" s="173">
        <f t="shared" si="19"/>
        <v>29180.196371485119</v>
      </c>
      <c r="AB20" s="102">
        <f t="shared" si="20"/>
        <v>7820.2837749801256</v>
      </c>
      <c r="AC20" s="68"/>
      <c r="AD20" s="102">
        <f t="shared" si="21"/>
        <v>2.6253494282083878</v>
      </c>
      <c r="AF20" s="112">
        <v>65064.348153172497</v>
      </c>
      <c r="AG20" s="112">
        <v>136522.29164546856</v>
      </c>
      <c r="AH20" s="112">
        <f t="shared" si="15"/>
        <v>64869.876749105475</v>
      </c>
      <c r="AI20" s="233">
        <f t="shared" si="22"/>
        <v>128668.37547649305</v>
      </c>
      <c r="AJ20" s="1">
        <f t="shared" si="7"/>
        <v>-5.7528452491635268E-2</v>
      </c>
      <c r="AL20" s="527">
        <f t="shared" si="8"/>
        <v>32955.328967069116</v>
      </c>
      <c r="AM20" s="129">
        <f t="shared" si="9"/>
        <v>29180.196371485119</v>
      </c>
      <c r="AN20" s="132">
        <f t="shared" si="10"/>
        <v>62135.525338554231</v>
      </c>
      <c r="AO20" s="130">
        <f t="shared" si="11"/>
        <v>128668.37547649305</v>
      </c>
    </row>
    <row r="21" spans="1:41">
      <c r="A21" s="103">
        <v>2024</v>
      </c>
      <c r="B21" s="514">
        <v>7.7483999999999993</v>
      </c>
      <c r="C21" s="514">
        <f t="shared" si="16"/>
        <v>3.8305215764705878</v>
      </c>
      <c r="D21" s="514">
        <f t="shared" si="12"/>
        <v>3.6643457882352806</v>
      </c>
      <c r="E21" s="514">
        <f t="shared" si="13"/>
        <v>3.9600985499613959</v>
      </c>
      <c r="F21" s="514">
        <f t="shared" si="14"/>
        <v>3.788301450038603</v>
      </c>
      <c r="G21" s="106">
        <v>359.7489652122822</v>
      </c>
      <c r="H21" s="106">
        <v>46.428806619725648</v>
      </c>
      <c r="I21" s="106">
        <v>2.6371851851851851</v>
      </c>
      <c r="J21" s="116">
        <v>2.9390491803278707</v>
      </c>
      <c r="K21" s="116">
        <v>114.71755555555555</v>
      </c>
      <c r="L21" s="116">
        <v>49.379999999999995</v>
      </c>
      <c r="T21" s="103">
        <v>2024</v>
      </c>
      <c r="V21" s="68"/>
      <c r="W21" s="68"/>
      <c r="X21" s="234"/>
      <c r="Y21" s="173">
        <f t="shared" si="17"/>
        <v>33276.381015512867</v>
      </c>
      <c r="Z21" s="102">
        <f t="shared" si="18"/>
        <v>8402.9174010927727</v>
      </c>
      <c r="AA21" s="173">
        <f t="shared" si="19"/>
        <v>29381.711246799878</v>
      </c>
      <c r="AB21" s="102">
        <f t="shared" si="20"/>
        <v>7755.9063433297997</v>
      </c>
      <c r="AC21" s="68"/>
      <c r="AD21" s="102">
        <f t="shared" si="21"/>
        <v>2.6253494282083878</v>
      </c>
      <c r="AF21" s="112">
        <v>65555.531467310619</v>
      </c>
      <c r="AG21" s="112">
        <v>138708.4142460078</v>
      </c>
      <c r="AH21" s="112">
        <f t="shared" si="15"/>
        <v>65232.022393340201</v>
      </c>
      <c r="AI21" s="233">
        <f t="shared" si="22"/>
        <v>129639.75476493019</v>
      </c>
      <c r="AJ21" s="1">
        <f t="shared" si="7"/>
        <v>-6.5379303269906874E-2</v>
      </c>
      <c r="AL21" s="527">
        <f t="shared" si="8"/>
        <v>33276.381015512867</v>
      </c>
      <c r="AM21" s="129">
        <f t="shared" si="9"/>
        <v>29381.711246799878</v>
      </c>
      <c r="AN21" s="132">
        <f t="shared" si="10"/>
        <v>62658.092262312741</v>
      </c>
      <c r="AO21" s="130">
        <f t="shared" si="11"/>
        <v>129639.75476493019</v>
      </c>
    </row>
    <row r="22" spans="1:41">
      <c r="A22" s="103">
        <v>2025</v>
      </c>
      <c r="B22" s="514">
        <v>7.7886999999999995</v>
      </c>
      <c r="C22" s="514">
        <f t="shared" si="16"/>
        <v>3.8086138235294129</v>
      </c>
      <c r="D22" s="514">
        <f t="shared" si="12"/>
        <v>3.71153941176469</v>
      </c>
      <c r="E22" s="514">
        <f t="shared" si="13"/>
        <v>3.9446204830111298</v>
      </c>
      <c r="F22" s="514">
        <f t="shared" si="14"/>
        <v>3.8440795169888693</v>
      </c>
      <c r="G22" s="106">
        <v>369.9529423926142</v>
      </c>
      <c r="H22" s="106">
        <v>47.498676594632506</v>
      </c>
      <c r="I22" s="106">
        <v>2.6518259259259267</v>
      </c>
      <c r="J22" s="116">
        <v>2.9262459016393478</v>
      </c>
      <c r="K22" s="116">
        <v>115.35442777777781</v>
      </c>
      <c r="L22" s="116">
        <v>49.75</v>
      </c>
      <c r="T22" s="103">
        <v>2025</v>
      </c>
      <c r="V22" s="68"/>
      <c r="W22" s="68"/>
      <c r="X22" s="68"/>
      <c r="Y22" s="173">
        <f t="shared" si="17"/>
        <v>33587.166154696642</v>
      </c>
      <c r="Z22" s="102">
        <f t="shared" si="18"/>
        <v>8514.6762025273074</v>
      </c>
      <c r="AA22" s="173">
        <f t="shared" si="19"/>
        <v>29566.848743714698</v>
      </c>
      <c r="AB22" s="102">
        <f t="shared" si="20"/>
        <v>7691.5289116794593</v>
      </c>
      <c r="AC22" s="68"/>
      <c r="AD22" s="102">
        <f t="shared" si="21"/>
        <v>2.6253494282083878</v>
      </c>
      <c r="AF22" s="112">
        <v>65947.365032926842</v>
      </c>
      <c r="AG22" s="112">
        <v>140982.51924378762</v>
      </c>
      <c r="AH22" s="112">
        <f t="shared" si="15"/>
        <v>65594.168037574913</v>
      </c>
      <c r="AI22" s="233">
        <f t="shared" si="22"/>
        <v>130611.13405336729</v>
      </c>
      <c r="AJ22" s="1">
        <f t="shared" si="7"/>
        <v>-7.3565043709327441E-2</v>
      </c>
      <c r="AL22" s="527">
        <f t="shared" si="8"/>
        <v>33587.166154696642</v>
      </c>
      <c r="AM22" s="129">
        <f t="shared" si="9"/>
        <v>29566.848743714698</v>
      </c>
      <c r="AN22" s="132">
        <f t="shared" si="10"/>
        <v>63154.01489841134</v>
      </c>
      <c r="AO22" s="130">
        <f t="shared" si="11"/>
        <v>130611.13405336729</v>
      </c>
    </row>
    <row r="23" spans="1:41">
      <c r="A23" s="103">
        <v>2026</v>
      </c>
      <c r="B23" s="514">
        <v>7.8251999999999997</v>
      </c>
      <c r="C23" s="514">
        <f t="shared" si="16"/>
        <v>3.786706070588238</v>
      </c>
      <c r="D23" s="514">
        <f t="shared" si="12"/>
        <v>3.7587330352940995</v>
      </c>
      <c r="E23" s="514">
        <f t="shared" si="13"/>
        <v>3.9271050932564711</v>
      </c>
      <c r="F23" s="514">
        <f t="shared" si="14"/>
        <v>3.8980949067435287</v>
      </c>
      <c r="G23" s="106">
        <v>380.0592250894515</v>
      </c>
      <c r="H23" s="106">
        <v>48.568627650341398</v>
      </c>
      <c r="I23" s="106">
        <v>2.6664666666666648</v>
      </c>
      <c r="J23" s="116">
        <v>2.9134426229508215</v>
      </c>
      <c r="K23" s="116">
        <v>115.99129999999991</v>
      </c>
      <c r="L23" s="116">
        <v>50.120000000000005</v>
      </c>
      <c r="T23" s="103">
        <v>2026</v>
      </c>
      <c r="V23" s="68"/>
      <c r="W23" s="68"/>
      <c r="X23" s="68"/>
      <c r="Y23" s="173">
        <f t="shared" si="17"/>
        <v>33882.754058530241</v>
      </c>
      <c r="Z23" s="102">
        <f t="shared" si="18"/>
        <v>8627.9213960209217</v>
      </c>
      <c r="AA23" s="173">
        <f t="shared" si="19"/>
        <v>29731.36033726293</v>
      </c>
      <c r="AB23" s="102">
        <f t="shared" si="20"/>
        <v>7627.1514800291334</v>
      </c>
      <c r="AC23" s="68"/>
      <c r="AD23" s="102">
        <f t="shared" si="21"/>
        <v>2.6253494282083878</v>
      </c>
      <c r="AF23" s="112">
        <v>66341.944783217972</v>
      </c>
      <c r="AG23" s="112">
        <v>143344.60663880815</v>
      </c>
      <c r="AH23" s="112">
        <f t="shared" si="15"/>
        <v>65956.313681809552</v>
      </c>
      <c r="AI23" s="233">
        <f t="shared" si="22"/>
        <v>131582.51334180441</v>
      </c>
      <c r="AJ23" s="1">
        <f t="shared" si="7"/>
        <v>-8.2054662346949789E-2</v>
      </c>
      <c r="AL23" s="527">
        <f t="shared" si="8"/>
        <v>33882.754058530241</v>
      </c>
      <c r="AM23" s="129">
        <f t="shared" si="9"/>
        <v>29731.36033726293</v>
      </c>
      <c r="AN23" s="132">
        <f t="shared" si="10"/>
        <v>63614.114395793171</v>
      </c>
      <c r="AO23" s="130">
        <f t="shared" si="11"/>
        <v>131582.51334180441</v>
      </c>
    </row>
    <row r="24" spans="1:41">
      <c r="A24" s="103">
        <v>2027</v>
      </c>
      <c r="B24" s="514">
        <v>7.8596000000000004</v>
      </c>
      <c r="C24" s="514">
        <f t="shared" si="16"/>
        <v>3.7647983176470632</v>
      </c>
      <c r="D24" s="514">
        <f t="shared" si="12"/>
        <v>3.8059266588235232</v>
      </c>
      <c r="E24" s="514">
        <f t="shared" si="13"/>
        <v>3.9084511654223899</v>
      </c>
      <c r="F24" s="514">
        <f t="shared" si="14"/>
        <v>3.9511488345776105</v>
      </c>
      <c r="G24" s="106">
        <v>390.01400505105994</v>
      </c>
      <c r="H24" s="106">
        <v>49.622627748366313</v>
      </c>
      <c r="I24" s="106">
        <v>2.6811074074074064</v>
      </c>
      <c r="J24" s="116">
        <v>2.9006393442622986</v>
      </c>
      <c r="K24" s="116">
        <v>116.62817222222218</v>
      </c>
      <c r="L24" s="116">
        <v>50.490000000000009</v>
      </c>
      <c r="T24" s="103">
        <v>2027</v>
      </c>
      <c r="V24" s="68"/>
      <c r="W24" s="68"/>
      <c r="X24" s="68"/>
      <c r="Y24" s="173">
        <f t="shared" si="17"/>
        <v>34170.30950094224</v>
      </c>
      <c r="Z24" s="102">
        <f t="shared" si="18"/>
        <v>8742.6727505880008</v>
      </c>
      <c r="AA24" s="173">
        <f t="shared" si="19"/>
        <v>29881.645867425723</v>
      </c>
      <c r="AB24" s="102">
        <f t="shared" si="20"/>
        <v>7562.7740483788075</v>
      </c>
      <c r="AC24" s="68"/>
      <c r="AD24" s="102">
        <f t="shared" si="21"/>
        <v>2.6253494282083878</v>
      </c>
      <c r="AF24" s="112">
        <v>66743.783078173758</v>
      </c>
      <c r="AG24" s="112">
        <v>145794.67643106973</v>
      </c>
      <c r="AH24" s="112">
        <f t="shared" si="15"/>
        <v>66318.459326044263</v>
      </c>
      <c r="AI24" s="233">
        <f t="shared" si="22"/>
        <v>132553.89263024152</v>
      </c>
      <c r="AJ24" s="1">
        <f t="shared" si="7"/>
        <v>-9.0818019731250768E-2</v>
      </c>
      <c r="AL24" s="527">
        <f t="shared" si="8"/>
        <v>34170.30950094224</v>
      </c>
      <c r="AM24" s="129">
        <f t="shared" si="9"/>
        <v>29881.645867425723</v>
      </c>
      <c r="AN24" s="132">
        <f t="shared" si="10"/>
        <v>64051.955368367962</v>
      </c>
      <c r="AO24" s="130">
        <f t="shared" si="11"/>
        <v>132553.89263024152</v>
      </c>
    </row>
    <row r="25" spans="1:41">
      <c r="A25" s="103">
        <v>2028</v>
      </c>
      <c r="B25" s="514">
        <v>7.8952</v>
      </c>
      <c r="C25" s="514">
        <f t="shared" si="16"/>
        <v>3.7428905647058883</v>
      </c>
      <c r="D25" s="514">
        <f t="shared" si="12"/>
        <v>3.8531202823529327</v>
      </c>
      <c r="E25" s="514">
        <f t="shared" si="13"/>
        <v>3.8903142954183694</v>
      </c>
      <c r="F25" s="514">
        <f t="shared" si="14"/>
        <v>4.0048857045816311</v>
      </c>
      <c r="G25" s="106">
        <v>399.87872419310224</v>
      </c>
      <c r="H25" s="106">
        <v>50.648333695549482</v>
      </c>
      <c r="I25" s="106">
        <v>2.695748148148148</v>
      </c>
      <c r="J25" s="116">
        <v>2.8878360655737723</v>
      </c>
      <c r="K25" s="116">
        <v>117.26504444444444</v>
      </c>
      <c r="L25" s="116">
        <v>50.860000000000014</v>
      </c>
      <c r="T25" s="103">
        <v>2028</v>
      </c>
      <c r="V25" s="68"/>
      <c r="W25" s="68"/>
      <c r="X25" s="68"/>
      <c r="Y25" s="173">
        <f t="shared" si="17"/>
        <v>34464.100987374775</v>
      </c>
      <c r="Z25" s="102">
        <f t="shared" si="18"/>
        <v>8858.9502981708229</v>
      </c>
      <c r="AA25" s="173">
        <f t="shared" si="19"/>
        <v>30030.221417619105</v>
      </c>
      <c r="AB25" s="102">
        <f t="shared" si="20"/>
        <v>7498.3966167284671</v>
      </c>
      <c r="AC25" s="68"/>
      <c r="AD25" s="102">
        <f t="shared" si="21"/>
        <v>2.6253494282083878</v>
      </c>
      <c r="AF25" s="112">
        <v>67147.727398747345</v>
      </c>
      <c r="AG25" s="112">
        <v>148332.72862057225</v>
      </c>
      <c r="AH25" s="112">
        <f t="shared" si="15"/>
        <v>66680.60497027899</v>
      </c>
      <c r="AI25" s="233">
        <f t="shared" si="22"/>
        <v>133525.27191867863</v>
      </c>
      <c r="AJ25" s="1">
        <f t="shared" si="7"/>
        <v>-9.9825957761286527E-2</v>
      </c>
      <c r="AL25" s="527">
        <f t="shared" si="8"/>
        <v>34464.100987374775</v>
      </c>
      <c r="AM25" s="129">
        <f t="shared" si="9"/>
        <v>30030.221417619105</v>
      </c>
      <c r="AN25" s="132">
        <f t="shared" si="10"/>
        <v>64494.32240499388</v>
      </c>
      <c r="AO25" s="130">
        <f t="shared" si="11"/>
        <v>133525.27191867863</v>
      </c>
    </row>
    <row r="26" spans="1:41">
      <c r="A26" s="103">
        <v>2029</v>
      </c>
      <c r="B26" s="514">
        <v>7.9305000000000003</v>
      </c>
      <c r="C26" s="514">
        <f t="shared" si="16"/>
        <v>3.7209828117647064</v>
      </c>
      <c r="D26" s="514">
        <f t="shared" si="12"/>
        <v>3.9003139058823422</v>
      </c>
      <c r="E26" s="514">
        <f t="shared" si="13"/>
        <v>3.8719466361113555</v>
      </c>
      <c r="F26" s="514">
        <f t="shared" si="14"/>
        <v>4.0585533638886444</v>
      </c>
      <c r="G26" s="106">
        <v>409.75022916782473</v>
      </c>
      <c r="H26" s="106">
        <v>51.667641279594569</v>
      </c>
      <c r="I26" s="106">
        <v>2.7103888888888896</v>
      </c>
      <c r="J26" s="116">
        <v>2.8750327868852494</v>
      </c>
      <c r="K26" s="116">
        <v>117.90191666666669</v>
      </c>
      <c r="L26" s="116">
        <v>51.230000000000018</v>
      </c>
      <c r="T26" s="103">
        <v>2029</v>
      </c>
      <c r="V26" s="68"/>
      <c r="W26" s="68"/>
      <c r="X26" s="68"/>
      <c r="Y26" s="173">
        <f t="shared" si="17"/>
        <v>34757.591197806396</v>
      </c>
      <c r="Z26" s="102">
        <f t="shared" si="18"/>
        <v>8976.7743371364959</v>
      </c>
      <c r="AA26" s="173">
        <f t="shared" si="19"/>
        <v>30171.363570811609</v>
      </c>
      <c r="AB26" s="102">
        <f t="shared" si="20"/>
        <v>7434.0191850781412</v>
      </c>
      <c r="AC26" s="68"/>
      <c r="AD26" s="102">
        <f t="shared" si="21"/>
        <v>2.6253494282083878</v>
      </c>
      <c r="AF26" s="112">
        <v>67545.656184680731</v>
      </c>
      <c r="AG26" s="112">
        <v>150958.763207315</v>
      </c>
      <c r="AH26" s="112">
        <f t="shared" si="15"/>
        <v>67042.750614513701</v>
      </c>
      <c r="AI26" s="233">
        <f t="shared" si="22"/>
        <v>134496.65120711573</v>
      </c>
      <c r="AJ26" s="1">
        <f t="shared" si="7"/>
        <v>-0.10905038999022194</v>
      </c>
      <c r="AL26" s="527">
        <f t="shared" si="8"/>
        <v>34757.591197806396</v>
      </c>
      <c r="AM26" s="129">
        <f t="shared" si="9"/>
        <v>30171.363570811609</v>
      </c>
      <c r="AN26" s="132">
        <f t="shared" si="10"/>
        <v>64928.954768618001</v>
      </c>
      <c r="AO26" s="130">
        <f t="shared" si="11"/>
        <v>134496.65120711573</v>
      </c>
    </row>
    <row r="27" spans="1:41">
      <c r="A27" s="103">
        <v>2030</v>
      </c>
      <c r="B27" s="514">
        <v>7.9638</v>
      </c>
      <c r="C27" s="514">
        <f t="shared" si="16"/>
        <v>3.6990750588235315</v>
      </c>
      <c r="D27" s="514">
        <f t="shared" si="12"/>
        <v>3.9475075294117516</v>
      </c>
      <c r="E27" s="514">
        <f t="shared" si="13"/>
        <v>3.8525306715162895</v>
      </c>
      <c r="F27" s="514">
        <f t="shared" si="14"/>
        <v>4.1112693284837105</v>
      </c>
      <c r="G27" s="106">
        <v>419.87452636513262</v>
      </c>
      <c r="H27" s="106">
        <v>52.722886858677093</v>
      </c>
      <c r="I27" s="106">
        <v>2.7250296296296277</v>
      </c>
      <c r="J27" s="116">
        <v>2.8622295081967231</v>
      </c>
      <c r="K27" s="116">
        <v>118.5387888888888</v>
      </c>
      <c r="L27" s="116">
        <v>51.600000000000023</v>
      </c>
      <c r="T27" s="103">
        <v>2030</v>
      </c>
      <c r="V27" s="68"/>
      <c r="W27" s="68"/>
      <c r="X27" s="68"/>
      <c r="Y27" s="173">
        <f t="shared" si="17"/>
        <v>35043.256334684476</v>
      </c>
      <c r="Z27" s="102">
        <f t="shared" si="18"/>
        <v>9096.1654358204123</v>
      </c>
      <c r="AA27" s="173">
        <f t="shared" si="19"/>
        <v>30298.582102780689</v>
      </c>
      <c r="AB27" s="102">
        <f t="shared" si="20"/>
        <v>7369.6417534278153</v>
      </c>
      <c r="AC27" s="68"/>
      <c r="AD27" s="102">
        <f t="shared" si="21"/>
        <v>2.6253494282083878</v>
      </c>
      <c r="AF27" s="112">
        <v>67916.939340117126</v>
      </c>
      <c r="AG27" s="112">
        <v>153672.78019129904</v>
      </c>
      <c r="AH27" s="112">
        <f t="shared" si="15"/>
        <v>67404.89625874834</v>
      </c>
      <c r="AI27" s="233">
        <f t="shared" si="22"/>
        <v>135468.03049555287</v>
      </c>
      <c r="AJ27" s="1">
        <f t="shared" si="7"/>
        <v>-0.11846437393196146</v>
      </c>
      <c r="AL27" s="527">
        <f t="shared" si="8"/>
        <v>35043.256334684476</v>
      </c>
      <c r="AM27" s="129">
        <f t="shared" si="9"/>
        <v>30298.582102780689</v>
      </c>
      <c r="AN27" s="132">
        <f t="shared" si="10"/>
        <v>65341.838437465165</v>
      </c>
      <c r="AO27" s="130">
        <f t="shared" si="11"/>
        <v>135468.03049555287</v>
      </c>
    </row>
    <row r="28" spans="1:41">
      <c r="A28" s="103">
        <v>2031</v>
      </c>
      <c r="B28" s="514">
        <v>7.9962</v>
      </c>
      <c r="C28" s="514">
        <f t="shared" si="16"/>
        <v>3.6771673058823566</v>
      </c>
      <c r="D28" s="514">
        <f t="shared" si="12"/>
        <v>3.9947011529411611</v>
      </c>
      <c r="E28" s="514">
        <f t="shared" si="13"/>
        <v>3.8326211364428828</v>
      </c>
      <c r="F28" s="514">
        <f t="shared" si="14"/>
        <v>4.1635788635571167</v>
      </c>
      <c r="G28" s="106">
        <v>429.77617383383767</v>
      </c>
      <c r="H28" s="106">
        <v>53.747551816342472</v>
      </c>
      <c r="I28" s="106">
        <v>2.7396703703703693</v>
      </c>
      <c r="J28" s="116">
        <v>2.8494262295082002</v>
      </c>
      <c r="K28" s="116">
        <v>119.17566111111107</v>
      </c>
      <c r="L28" s="116">
        <v>51.970000000000027</v>
      </c>
      <c r="T28" s="103">
        <v>2031</v>
      </c>
      <c r="V28" s="68"/>
      <c r="W28" s="68"/>
      <c r="X28" s="68"/>
      <c r="Y28" s="173">
        <f t="shared" si="17"/>
        <v>35325.822583508263</v>
      </c>
      <c r="Z28" s="102">
        <f t="shared" si="18"/>
        <v>9217.1444361168251</v>
      </c>
      <c r="AA28" s="173">
        <f t="shared" si="19"/>
        <v>30416.044122850672</v>
      </c>
      <c r="AB28" s="102">
        <f t="shared" si="20"/>
        <v>7305.2643217774894</v>
      </c>
      <c r="AC28" s="68"/>
      <c r="AD28" s="102">
        <f t="shared" si="21"/>
        <v>2.6253494282083878</v>
      </c>
      <c r="AF28" s="112">
        <v>68301.447427082458</v>
      </c>
      <c r="AG28" s="112">
        <v>156474.77957252355</v>
      </c>
      <c r="AH28" s="112">
        <f t="shared" si="15"/>
        <v>67767.041902983052</v>
      </c>
      <c r="AI28" s="233">
        <f t="shared" si="22"/>
        <v>136439.40978398998</v>
      </c>
      <c r="AJ28" s="1">
        <f t="shared" si="7"/>
        <v>-0.1280421665604424</v>
      </c>
      <c r="AL28" s="527">
        <f t="shared" si="8"/>
        <v>35325.822583508263</v>
      </c>
      <c r="AM28" s="129">
        <f t="shared" si="9"/>
        <v>30416.044122850672</v>
      </c>
      <c r="AN28" s="132">
        <f t="shared" si="10"/>
        <v>65741.866706358938</v>
      </c>
      <c r="AO28" s="130">
        <f t="shared" si="11"/>
        <v>136439.40978398998</v>
      </c>
    </row>
    <row r="29" spans="1:41">
      <c r="A29" s="103">
        <v>2032</v>
      </c>
      <c r="B29" s="514">
        <v>8.0280000000000005</v>
      </c>
      <c r="C29" s="514">
        <f t="shared" si="16"/>
        <v>3.6552595529411818</v>
      </c>
      <c r="D29" s="514">
        <f t="shared" si="12"/>
        <v>4.0418947764705706</v>
      </c>
      <c r="E29" s="514">
        <f t="shared" si="13"/>
        <v>3.8123730453062681</v>
      </c>
      <c r="F29" s="514">
        <f t="shared" si="14"/>
        <v>4.2156269546937324</v>
      </c>
      <c r="G29" s="106">
        <v>439.69592854728762</v>
      </c>
      <c r="H29" s="106">
        <v>54.770295035785708</v>
      </c>
      <c r="I29" s="106">
        <v>2.7543111111111109</v>
      </c>
      <c r="J29" s="116">
        <v>2.8366229508196739</v>
      </c>
      <c r="K29" s="116">
        <v>119.81253333333332</v>
      </c>
      <c r="L29" s="116">
        <v>52.340000000000032</v>
      </c>
      <c r="T29" s="103">
        <v>2032</v>
      </c>
      <c r="V29" s="68"/>
      <c r="W29" s="68"/>
      <c r="X29" s="68"/>
      <c r="Y29" s="173">
        <f t="shared" si="17"/>
        <v>35606.544269885613</v>
      </c>
      <c r="Z29" s="102">
        <f t="shared" si="18"/>
        <v>9339.7324571171794</v>
      </c>
      <c r="AA29" s="173">
        <f t="shared" si="19"/>
        <v>30524.877949908485</v>
      </c>
      <c r="AB29" s="102">
        <f t="shared" si="20"/>
        <v>7240.8868901271489</v>
      </c>
      <c r="AC29" s="68"/>
      <c r="AD29" s="102">
        <f t="shared" si="21"/>
        <v>2.6253494282083878</v>
      </c>
      <c r="AF29" s="112">
        <v>68678.990565792541</v>
      </c>
      <c r="AG29" s="112">
        <v>159364.76135098923</v>
      </c>
      <c r="AH29" s="112">
        <f t="shared" si="15"/>
        <v>68129.187547217763</v>
      </c>
      <c r="AI29" s="233">
        <f t="shared" si="22"/>
        <v>137410.78907242708</v>
      </c>
      <c r="AJ29" s="1">
        <f t="shared" si="7"/>
        <v>-0.13775926429689261</v>
      </c>
      <c r="AL29" s="527">
        <f t="shared" si="8"/>
        <v>35606.544269885613</v>
      </c>
      <c r="AM29" s="129">
        <f t="shared" si="9"/>
        <v>30524.877949908485</v>
      </c>
      <c r="AN29" s="132">
        <f t="shared" si="10"/>
        <v>66131.422219794098</v>
      </c>
      <c r="AO29" s="130">
        <f t="shared" si="11"/>
        <v>137410.78907242708</v>
      </c>
    </row>
    <row r="30" spans="1:41">
      <c r="A30" s="103">
        <v>2033</v>
      </c>
      <c r="B30" s="514">
        <v>8.06</v>
      </c>
      <c r="C30" s="514">
        <f t="shared" si="16"/>
        <v>3.6333517999999998</v>
      </c>
      <c r="D30" s="514">
        <f t="shared" si="12"/>
        <v>4.0890883999999943</v>
      </c>
      <c r="E30" s="514">
        <f t="shared" si="13"/>
        <v>3.7921712243236305</v>
      </c>
      <c r="F30" s="514">
        <f t="shared" si="14"/>
        <v>4.26782877567637</v>
      </c>
      <c r="G30" s="106">
        <v>449.65422421977564</v>
      </c>
      <c r="H30" s="106">
        <v>55.788365287813356</v>
      </c>
      <c r="I30" s="106">
        <v>2.7689518518518526</v>
      </c>
      <c r="J30" s="116">
        <v>2.823819672131151</v>
      </c>
      <c r="K30" s="116">
        <v>120.44940555555559</v>
      </c>
      <c r="L30" s="116">
        <v>52.710000000000036</v>
      </c>
      <c r="T30" s="103">
        <v>2033</v>
      </c>
      <c r="V30" s="68"/>
      <c r="W30" s="68"/>
      <c r="X30" s="68"/>
      <c r="Y30" s="173">
        <f t="shared" si="17"/>
        <v>35888.922266829133</v>
      </c>
      <c r="Z30" s="102">
        <f t="shared" si="18"/>
        <v>9463.9508987968384</v>
      </c>
      <c r="AA30" s="173">
        <f t="shared" si="19"/>
        <v>30628.113575801028</v>
      </c>
      <c r="AB30" s="102">
        <f t="shared" si="20"/>
        <v>7176.5094584768231</v>
      </c>
      <c r="AC30" s="68"/>
      <c r="AD30" s="102">
        <f t="shared" si="21"/>
        <v>2.6253494282083878</v>
      </c>
      <c r="AF30" s="112">
        <v>69047.855184966029</v>
      </c>
      <c r="AG30" s="112">
        <v>162342.72552669549</v>
      </c>
      <c r="AH30" s="112">
        <f t="shared" si="15"/>
        <v>68491.333191452504</v>
      </c>
      <c r="AI30" s="233">
        <f t="shared" si="22"/>
        <v>138382.16836086422</v>
      </c>
      <c r="AJ30" s="1">
        <f t="shared" si="7"/>
        <v>-0.14759242884517926</v>
      </c>
      <c r="AL30" s="527">
        <f t="shared" si="8"/>
        <v>35888.922266829133</v>
      </c>
      <c r="AM30" s="129">
        <f t="shared" si="9"/>
        <v>30628.113575801028</v>
      </c>
      <c r="AN30" s="132">
        <f t="shared" si="10"/>
        <v>66517.035842630168</v>
      </c>
      <c r="AO30" s="130">
        <f t="shared" si="11"/>
        <v>138382.16836086422</v>
      </c>
    </row>
    <row r="31" spans="1:41">
      <c r="A31" s="103">
        <v>2034</v>
      </c>
      <c r="B31" s="514">
        <v>8.0901999999999994</v>
      </c>
      <c r="C31" s="514">
        <f t="shared" si="16"/>
        <v>3.6114440470588249</v>
      </c>
      <c r="D31" s="514">
        <f t="shared" si="12"/>
        <v>4.1362820235294038</v>
      </c>
      <c r="E31" s="514">
        <f t="shared" si="13"/>
        <v>3.7710812647893532</v>
      </c>
      <c r="F31" s="514">
        <f t="shared" si="14"/>
        <v>4.3191187352106466</v>
      </c>
      <c r="G31" s="106">
        <v>459.63325896187598</v>
      </c>
      <c r="H31" s="106">
        <v>56.813584208286073</v>
      </c>
      <c r="I31" s="106">
        <v>2.7835925925925906</v>
      </c>
      <c r="J31" s="116">
        <v>2.8110163934426247</v>
      </c>
      <c r="K31" s="116">
        <v>121.0862777777777</v>
      </c>
      <c r="L31" s="116">
        <v>53.080000000000041</v>
      </c>
      <c r="T31" s="103">
        <v>2034</v>
      </c>
      <c r="V31" s="68"/>
      <c r="W31" s="68"/>
      <c r="X31" s="68"/>
      <c r="Y31" s="173">
        <f t="shared" si="17"/>
        <v>36163.995986746129</v>
      </c>
      <c r="Z31" s="102">
        <f t="shared" si="18"/>
        <v>9589.8214457508366</v>
      </c>
      <c r="AA31" s="173">
        <f t="shared" si="19"/>
        <v>30718.142684357994</v>
      </c>
      <c r="AB31" s="102">
        <f t="shared" si="20"/>
        <v>7112.1320268264972</v>
      </c>
      <c r="AC31" s="68"/>
      <c r="AD31" s="102">
        <f t="shared" si="21"/>
        <v>2.6253494282083878</v>
      </c>
      <c r="AF31" s="112">
        <v>69409.534151050844</v>
      </c>
      <c r="AG31" s="112">
        <v>165408.67209964269</v>
      </c>
      <c r="AH31" s="112">
        <f t="shared" si="15"/>
        <v>68853.478835687129</v>
      </c>
      <c r="AI31" s="233">
        <f t="shared" si="22"/>
        <v>139353.54764930133</v>
      </c>
      <c r="AJ31" s="1">
        <f t="shared" si="7"/>
        <v>-0.15751970026484269</v>
      </c>
      <c r="AL31" s="527">
        <f t="shared" si="8"/>
        <v>36163.995986746129</v>
      </c>
      <c r="AM31" s="129">
        <f t="shared" si="9"/>
        <v>30718.142684357994</v>
      </c>
      <c r="AN31" s="132">
        <f t="shared" si="10"/>
        <v>66882.138671104127</v>
      </c>
      <c r="AO31" s="130">
        <f t="shared" si="11"/>
        <v>139353.54764930133</v>
      </c>
    </row>
    <row r="32" spans="1:41">
      <c r="A32" s="103">
        <v>2035</v>
      </c>
      <c r="B32" s="514">
        <v>8.1172000000000004</v>
      </c>
      <c r="C32" s="514">
        <f t="shared" si="16"/>
        <v>3.5895362941176501</v>
      </c>
      <c r="D32" s="514">
        <f t="shared" si="12"/>
        <v>4.1834756470588133</v>
      </c>
      <c r="E32" s="514">
        <f t="shared" si="13"/>
        <v>3.7484805410194495</v>
      </c>
      <c r="F32" s="514">
        <f t="shared" si="14"/>
        <v>4.3687194589805509</v>
      </c>
      <c r="G32" s="106">
        <v>469.59812324072118</v>
      </c>
      <c r="H32" s="106">
        <v>57.852230232188589</v>
      </c>
      <c r="I32" s="106">
        <v>2.7982333333333322</v>
      </c>
      <c r="J32" s="116">
        <v>2.7982131147541018</v>
      </c>
      <c r="K32" s="116">
        <v>121.72314999999995</v>
      </c>
      <c r="L32" s="116">
        <v>53.450000000000045</v>
      </c>
      <c r="T32" s="103">
        <v>2035</v>
      </c>
      <c r="V32" s="68"/>
      <c r="W32" s="68"/>
      <c r="X32" s="68"/>
      <c r="Y32" s="173">
        <f t="shared" si="17"/>
        <v>36425.357627028621</v>
      </c>
      <c r="Z32" s="102">
        <f t="shared" si="18"/>
        <v>9717.3660709793239</v>
      </c>
      <c r="AA32" s="173">
        <f t="shared" si="19"/>
        <v>30789.662642065734</v>
      </c>
      <c r="AB32" s="102">
        <f t="shared" si="20"/>
        <v>7047.7545951761713</v>
      </c>
      <c r="AC32" s="68"/>
      <c r="AD32" s="102">
        <f t="shared" si="21"/>
        <v>2.6253494282083878</v>
      </c>
      <c r="AF32" s="112">
        <v>69766.954977472575</v>
      </c>
      <c r="AG32" s="112">
        <v>168562.60106983059</v>
      </c>
      <c r="AH32" s="112">
        <f t="shared" si="15"/>
        <v>69215.62447992184</v>
      </c>
      <c r="AI32" s="233">
        <f t="shared" si="22"/>
        <v>140324.92693773843</v>
      </c>
      <c r="AJ32" s="1">
        <f t="shared" si="7"/>
        <v>-0.16752039867013033</v>
      </c>
      <c r="AL32" s="527">
        <f t="shared" si="8"/>
        <v>36425.357627028621</v>
      </c>
      <c r="AM32" s="129">
        <f t="shared" si="9"/>
        <v>30789.662642065734</v>
      </c>
      <c r="AN32" s="132">
        <f t="shared" si="10"/>
        <v>67215.020269094355</v>
      </c>
      <c r="AO32" s="130">
        <f t="shared" si="11"/>
        <v>140324.92693773843</v>
      </c>
    </row>
    <row r="33" spans="1:41">
      <c r="A33" s="103">
        <v>2036</v>
      </c>
      <c r="B33" s="514">
        <v>8.1417000000000002</v>
      </c>
      <c r="C33" s="514">
        <f t="shared" si="16"/>
        <v>3.5676285411764752</v>
      </c>
      <c r="D33" s="514">
        <f t="shared" si="12"/>
        <v>4.2306692705882227</v>
      </c>
      <c r="E33" s="514">
        <f t="shared" si="13"/>
        <v>3.7247309598610321</v>
      </c>
      <c r="F33" s="514">
        <f t="shared" si="14"/>
        <v>4.4169690401389685</v>
      </c>
      <c r="G33" s="106">
        <v>479.52012607155848</v>
      </c>
      <c r="H33" s="106">
        <v>58.896806081231006</v>
      </c>
      <c r="I33" s="106">
        <v>2.8128740740740739</v>
      </c>
      <c r="J33" s="116">
        <v>2.7854098360655755</v>
      </c>
      <c r="K33" s="116">
        <v>122.36002222222221</v>
      </c>
      <c r="L33" s="116">
        <v>53.819999999999936</v>
      </c>
      <c r="T33" s="103">
        <v>2036</v>
      </c>
      <c r="V33" s="68"/>
      <c r="W33" s="68"/>
      <c r="X33" s="68"/>
      <c r="Y33" s="173">
        <f t="shared" si="17"/>
        <v>36675.96209044315</v>
      </c>
      <c r="Z33" s="102">
        <f t="shared" si="18"/>
        <v>9846.6070397233507</v>
      </c>
      <c r="AA33" s="173">
        <f t="shared" si="19"/>
        <v>30845.360726907147</v>
      </c>
      <c r="AB33" s="102">
        <f t="shared" si="20"/>
        <v>6983.3771635258454</v>
      </c>
      <c r="AC33" s="68"/>
      <c r="AD33" s="102">
        <f t="shared" si="21"/>
        <v>2.6253494282083878</v>
      </c>
      <c r="AF33" s="112">
        <v>70122.523690213275</v>
      </c>
      <c r="AG33" s="112">
        <v>171804.51243725861</v>
      </c>
      <c r="AH33" s="112">
        <f t="shared" si="15"/>
        <v>69577.770124156552</v>
      </c>
      <c r="AI33" s="233">
        <f t="shared" si="22"/>
        <v>141296.30622617525</v>
      </c>
      <c r="AJ33" s="1">
        <f t="shared" si="7"/>
        <v>-0.17757511591684574</v>
      </c>
      <c r="AL33" s="527">
        <f t="shared" si="8"/>
        <v>36675.96209044315</v>
      </c>
      <c r="AM33" s="129">
        <f t="shared" si="9"/>
        <v>30845.360726907147</v>
      </c>
      <c r="AN33" s="132">
        <f t="shared" si="10"/>
        <v>67521.322817350301</v>
      </c>
      <c r="AO33" s="130">
        <f t="shared" si="11"/>
        <v>141296.30622617525</v>
      </c>
    </row>
    <row r="34" spans="1:41">
      <c r="A34" s="103">
        <v>2037</v>
      </c>
      <c r="B34" s="514">
        <v>8.1635000000000009</v>
      </c>
      <c r="C34" s="514">
        <f t="shared" si="16"/>
        <v>3.5457207882353003</v>
      </c>
      <c r="D34" s="514">
        <f t="shared" si="12"/>
        <v>4.2778628941176322</v>
      </c>
      <c r="E34" s="514">
        <f t="shared" si="13"/>
        <v>3.6997740204465428</v>
      </c>
      <c r="F34" s="514">
        <f t="shared" si="14"/>
        <v>4.4637259795534581</v>
      </c>
      <c r="G34" s="106">
        <v>489.48684381360727</v>
      </c>
      <c r="H34" s="106">
        <v>59.960414505249865</v>
      </c>
      <c r="I34" s="106">
        <v>2.8275148148148155</v>
      </c>
      <c r="J34" s="116">
        <v>2.7726065573770526</v>
      </c>
      <c r="K34" s="116">
        <v>122.99689444444448</v>
      </c>
      <c r="L34" s="116">
        <v>54.189999999999941</v>
      </c>
      <c r="T34" s="103">
        <v>2037</v>
      </c>
      <c r="V34" s="68"/>
      <c r="W34" s="68"/>
      <c r="X34" s="68"/>
      <c r="Y34" s="173">
        <f t="shared" si="17"/>
        <v>36914.742853285512</v>
      </c>
      <c r="Z34" s="102">
        <f t="shared" si="18"/>
        <v>9977.5669133516712</v>
      </c>
      <c r="AA34" s="173">
        <f t="shared" si="19"/>
        <v>30884.518855696038</v>
      </c>
      <c r="AB34" s="102">
        <f t="shared" si="20"/>
        <v>6918.9997318754904</v>
      </c>
      <c r="AC34" s="68"/>
      <c r="AD34" s="102">
        <f t="shared" si="21"/>
        <v>2.6253494282083878</v>
      </c>
      <c r="AF34" s="112">
        <v>70468.89613578812</v>
      </c>
      <c r="AG34" s="112">
        <v>175134.40620192804</v>
      </c>
      <c r="AH34" s="112">
        <f t="shared" si="15"/>
        <v>69939.915768391293</v>
      </c>
      <c r="AI34" s="233">
        <f t="shared" si="22"/>
        <v>142267.68551461236</v>
      </c>
      <c r="AJ34" s="1">
        <f t="shared" si="7"/>
        <v>-0.18766569859163321</v>
      </c>
      <c r="AL34" s="527">
        <f t="shared" si="8"/>
        <v>36914.742853285512</v>
      </c>
      <c r="AM34" s="129">
        <f t="shared" si="9"/>
        <v>30884.518855696038</v>
      </c>
      <c r="AN34" s="132">
        <f t="shared" si="10"/>
        <v>67799.261708981547</v>
      </c>
      <c r="AO34" s="130">
        <f t="shared" si="11"/>
        <v>142267.68551461236</v>
      </c>
    </row>
    <row r="35" spans="1:41">
      <c r="A35" s="103">
        <v>2038</v>
      </c>
      <c r="B35" s="514">
        <v>8.1820000000000004</v>
      </c>
      <c r="C35" s="514">
        <f t="shared" si="16"/>
        <v>3.5238130352941184</v>
      </c>
      <c r="D35" s="514">
        <f t="shared" si="12"/>
        <v>4.3250565176470417</v>
      </c>
      <c r="E35" s="514">
        <f t="shared" si="13"/>
        <v>3.6733746255182056</v>
      </c>
      <c r="F35" s="514">
        <f t="shared" si="14"/>
        <v>4.5086253744817952</v>
      </c>
      <c r="G35" s="106">
        <v>499.44979875905119</v>
      </c>
      <c r="H35" s="106">
        <v>61.04250779259975</v>
      </c>
      <c r="I35" s="106">
        <v>2.8421555555555535</v>
      </c>
      <c r="J35" s="116">
        <v>2.7598032786885263</v>
      </c>
      <c r="K35" s="116">
        <v>123.63376666666657</v>
      </c>
      <c r="L35" s="116">
        <v>54.559999999999945</v>
      </c>
      <c r="T35" s="103">
        <v>2038</v>
      </c>
      <c r="V35" s="68"/>
      <c r="W35" s="68"/>
      <c r="X35" s="68"/>
      <c r="Y35" s="173">
        <f t="shared" si="17"/>
        <v>37138.803960864119</v>
      </c>
      <c r="Z35" s="102">
        <f t="shared" si="18"/>
        <v>10110.268553299249</v>
      </c>
      <c r="AA35" s="173">
        <f t="shared" si="19"/>
        <v>30904.924035283948</v>
      </c>
      <c r="AB35" s="102">
        <f t="shared" si="20"/>
        <v>6854.6223002251645</v>
      </c>
      <c r="AC35" s="68"/>
      <c r="AD35" s="102">
        <f t="shared" si="21"/>
        <v>2.6253494282083878</v>
      </c>
      <c r="AF35" s="112">
        <v>70810.13765477523</v>
      </c>
      <c r="AG35" s="112">
        <v>178552.28236383852</v>
      </c>
      <c r="AH35" s="112">
        <f t="shared" si="15"/>
        <v>70302.061412625917</v>
      </c>
      <c r="AI35" s="233">
        <f t="shared" si="22"/>
        <v>143239.06480304949</v>
      </c>
      <c r="AJ35" s="1">
        <f t="shared" si="7"/>
        <v>-0.19777522355514213</v>
      </c>
      <c r="AL35" s="527">
        <f t="shared" si="8"/>
        <v>37138.803960864119</v>
      </c>
      <c r="AM35" s="129">
        <f t="shared" si="9"/>
        <v>30904.924035283948</v>
      </c>
      <c r="AN35" s="132">
        <f t="shared" si="10"/>
        <v>68043.727996148067</v>
      </c>
      <c r="AO35" s="130">
        <f t="shared" si="11"/>
        <v>143239.06480304949</v>
      </c>
    </row>
    <row r="36" spans="1:41">
      <c r="A36" s="103">
        <v>2039</v>
      </c>
      <c r="B36" s="514">
        <v>8.196200000000001</v>
      </c>
      <c r="C36" s="514">
        <f t="shared" si="16"/>
        <v>3.5019052823529435</v>
      </c>
      <c r="D36" s="514">
        <f t="shared" si="12"/>
        <v>4.3722501411764654</v>
      </c>
      <c r="E36" s="514">
        <f t="shared" si="13"/>
        <v>3.6451294813731332</v>
      </c>
      <c r="F36" s="514">
        <f t="shared" si="14"/>
        <v>4.5510705186268678</v>
      </c>
      <c r="G36" s="106">
        <v>509.40312551934039</v>
      </c>
      <c r="H36" s="106">
        <v>62.151134125489904</v>
      </c>
      <c r="I36" s="106">
        <v>2.8567962962962952</v>
      </c>
      <c r="J36" s="116">
        <v>2.7470000000000034</v>
      </c>
      <c r="K36" s="116">
        <v>124.27063888888884</v>
      </c>
      <c r="L36" s="116">
        <v>54.92999999999995</v>
      </c>
      <c r="T36" s="103">
        <v>2039</v>
      </c>
      <c r="V36" s="68"/>
      <c r="W36" s="68"/>
      <c r="X36" s="68"/>
      <c r="Y36" s="173">
        <f t="shared" si="17"/>
        <v>37343.386033208262</v>
      </c>
      <c r="Z36" s="102">
        <f t="shared" si="18"/>
        <v>10244.735125058131</v>
      </c>
      <c r="AA36" s="173">
        <f t="shared" si="19"/>
        <v>30902.88323562832</v>
      </c>
      <c r="AB36" s="102">
        <f t="shared" si="20"/>
        <v>6790.2448685748386</v>
      </c>
      <c r="AC36" s="68"/>
      <c r="AD36" s="102">
        <f t="shared" si="21"/>
        <v>2.6253494282083878</v>
      </c>
      <c r="AF36" s="112">
        <v>71146.740118657792</v>
      </c>
      <c r="AG36" s="112">
        <v>182058.14092298946</v>
      </c>
      <c r="AH36" s="112">
        <f t="shared" si="15"/>
        <v>70664.207056860629</v>
      </c>
      <c r="AI36" s="233">
        <f t="shared" si="22"/>
        <v>144210.4440914866</v>
      </c>
      <c r="AJ36" s="1">
        <f t="shared" si="7"/>
        <v>-0.20788796721544262</v>
      </c>
      <c r="AL36" s="527">
        <f t="shared" si="8"/>
        <v>37343.386033208262</v>
      </c>
      <c r="AM36" s="129">
        <f t="shared" si="9"/>
        <v>30902.88323562832</v>
      </c>
      <c r="AN36" s="132">
        <f t="shared" si="10"/>
        <v>68246.269268836579</v>
      </c>
      <c r="AO36" s="130">
        <f t="shared" si="11"/>
        <v>144210.4440914866</v>
      </c>
    </row>
    <row r="37" spans="1:41">
      <c r="A37" s="103">
        <v>2040</v>
      </c>
      <c r="B37" s="514">
        <v>8.2070000000000007</v>
      </c>
      <c r="C37" s="514">
        <f t="shared" si="16"/>
        <v>3.4799975294117687</v>
      </c>
      <c r="D37" s="514">
        <f t="shared" si="12"/>
        <v>4.4194437647058749</v>
      </c>
      <c r="E37" s="514">
        <f t="shared" si="13"/>
        <v>3.6154885719766008</v>
      </c>
      <c r="F37" s="514">
        <f t="shared" si="14"/>
        <v>4.5915114280234004</v>
      </c>
      <c r="G37" s="106">
        <v>519.35232043612632</v>
      </c>
      <c r="H37" s="106">
        <v>63.281627931780953</v>
      </c>
      <c r="I37" s="106">
        <v>2.8714370370370368</v>
      </c>
      <c r="J37" s="116">
        <v>2.7341967213114771</v>
      </c>
      <c r="K37" s="116">
        <v>124.90751111111111</v>
      </c>
      <c r="L37" s="116">
        <v>55.299999999999955</v>
      </c>
      <c r="T37" s="103">
        <v>2040</v>
      </c>
      <c r="V37" s="68"/>
      <c r="W37" s="68"/>
      <c r="X37" s="68"/>
      <c r="Y37" s="173">
        <f t="shared" si="17"/>
        <v>37532.351080383698</v>
      </c>
      <c r="Z37" s="102">
        <f t="shared" si="18"/>
        <v>10380.990102221405</v>
      </c>
      <c r="AA37" s="173">
        <f t="shared" si="19"/>
        <v>30881.897200009356</v>
      </c>
      <c r="AB37" s="102">
        <f t="shared" si="20"/>
        <v>6725.8674369245127</v>
      </c>
      <c r="AC37" s="68"/>
      <c r="AD37" s="102">
        <f t="shared" si="21"/>
        <v>2.6253494282083878</v>
      </c>
      <c r="AF37" s="112">
        <v>71478.242604225554</v>
      </c>
      <c r="AG37" s="112">
        <v>185651.98187938135</v>
      </c>
      <c r="AH37" s="112">
        <f t="shared" si="15"/>
        <v>71026.352701095355</v>
      </c>
      <c r="AI37" s="233">
        <f t="shared" si="22"/>
        <v>145181.82337992371</v>
      </c>
      <c r="AJ37" s="1">
        <f t="shared" si="7"/>
        <v>-0.21798936962467347</v>
      </c>
      <c r="AL37" s="527">
        <f t="shared" si="8"/>
        <v>37532.351080383698</v>
      </c>
      <c r="AM37" s="129">
        <f t="shared" si="9"/>
        <v>30881.897200009356</v>
      </c>
      <c r="AN37" s="132">
        <f t="shared" si="10"/>
        <v>68414.248280393047</v>
      </c>
      <c r="AO37" s="130">
        <f t="shared" si="11"/>
        <v>145181.82337992371</v>
      </c>
    </row>
    <row r="38" spans="1:41">
      <c r="A38" s="103">
        <v>2041</v>
      </c>
      <c r="B38" s="514">
        <v>8.2137999999999991</v>
      </c>
      <c r="C38" s="514">
        <f t="shared" si="16"/>
        <v>3.4580897764705938</v>
      </c>
      <c r="D38" s="514">
        <f t="shared" si="12"/>
        <v>4.4666373882352843</v>
      </c>
      <c r="E38" s="514">
        <f t="shared" si="13"/>
        <v>3.5842316354405823</v>
      </c>
      <c r="F38" s="514">
        <f t="shared" si="14"/>
        <v>4.6295683645594163</v>
      </c>
      <c r="G38" s="106">
        <v>529.30668356665046</v>
      </c>
      <c r="H38" s="106">
        <v>64.44114582369312</v>
      </c>
      <c r="I38" s="106">
        <v>2.8860777777777784</v>
      </c>
      <c r="J38" s="116">
        <v>2.7213934426229542</v>
      </c>
      <c r="K38" s="116">
        <v>125.54438333333336</v>
      </c>
      <c r="L38" s="116">
        <v>55.669999999999959</v>
      </c>
      <c r="T38" s="103">
        <v>2041</v>
      </c>
      <c r="V38" s="68"/>
      <c r="W38" s="68"/>
      <c r="X38" s="68"/>
      <c r="Y38" s="173">
        <f t="shared" si="17"/>
        <v>37702.737844227515</v>
      </c>
      <c r="Z38" s="102">
        <f t="shared" si="18"/>
        <v>10519.057270580952</v>
      </c>
      <c r="AA38" s="173">
        <f t="shared" si="19"/>
        <v>30839.823389246114</v>
      </c>
      <c r="AB38" s="102">
        <f t="shared" si="20"/>
        <v>6661.4900052741868</v>
      </c>
      <c r="AC38" s="68"/>
      <c r="AD38" s="102">
        <f t="shared" si="21"/>
        <v>2.6253494282083878</v>
      </c>
      <c r="AF38" s="112">
        <v>71803.865208677569</v>
      </c>
      <c r="AG38" s="112">
        <v>189333.80523301405</v>
      </c>
      <c r="AH38" s="112">
        <f t="shared" si="15"/>
        <v>71388.498345330067</v>
      </c>
      <c r="AI38" s="233">
        <f t="shared" si="22"/>
        <v>146153.20266836084</v>
      </c>
      <c r="AJ38" s="1">
        <f t="shared" si="7"/>
        <v>-0.22806599440343275</v>
      </c>
      <c r="AL38" s="527">
        <f t="shared" si="8"/>
        <v>37702.737844227515</v>
      </c>
      <c r="AM38" s="129">
        <f t="shared" si="9"/>
        <v>30839.823389246114</v>
      </c>
      <c r="AN38" s="132">
        <f t="shared" si="10"/>
        <v>68542.561233473622</v>
      </c>
      <c r="AO38" s="130">
        <f t="shared" si="11"/>
        <v>146153.20266836084</v>
      </c>
    </row>
    <row r="39" spans="1:41">
      <c r="A39" s="103">
        <v>2042</v>
      </c>
      <c r="B39" s="514">
        <v>8.2171000000000003</v>
      </c>
      <c r="C39" s="514">
        <f t="shared" si="16"/>
        <v>3.4361820235294118</v>
      </c>
      <c r="D39" s="514">
        <f t="shared" si="12"/>
        <v>4.5138310117646938</v>
      </c>
      <c r="E39" s="514">
        <f t="shared" si="13"/>
        <v>3.5516232715836016</v>
      </c>
      <c r="F39" s="514">
        <f t="shared" si="14"/>
        <v>4.6654767284163992</v>
      </c>
      <c r="G39" s="106">
        <v>539.26807077138801</v>
      </c>
      <c r="H39" s="106">
        <v>65.627541440579762</v>
      </c>
      <c r="I39" s="106">
        <v>2.9007185185185165</v>
      </c>
      <c r="J39" s="116">
        <v>2.7085901639344279</v>
      </c>
      <c r="K39" s="116">
        <v>126.18125555555547</v>
      </c>
      <c r="L39" s="116">
        <v>56.039999999999964</v>
      </c>
      <c r="T39" s="103">
        <v>2042</v>
      </c>
      <c r="V39" s="68"/>
      <c r="W39" s="68"/>
      <c r="X39" s="68"/>
      <c r="Y39" s="173">
        <f t="shared" si="17"/>
        <v>37856.612987660301</v>
      </c>
      <c r="Z39" s="102">
        <f t="shared" si="18"/>
        <v>10658.96073227968</v>
      </c>
      <c r="AA39" s="173">
        <f t="shared" si="19"/>
        <v>30778.675186985343</v>
      </c>
      <c r="AB39" s="102">
        <f t="shared" si="20"/>
        <v>6597.112573623861</v>
      </c>
      <c r="AC39" s="68"/>
      <c r="AD39" s="102">
        <f t="shared" si="21"/>
        <v>2.6253494282083878</v>
      </c>
      <c r="AF39" s="112">
        <v>72123.452299555065</v>
      </c>
      <c r="AG39" s="112">
        <v>193103.61098388757</v>
      </c>
      <c r="AH39" s="112">
        <f t="shared" si="15"/>
        <v>71750.643989564691</v>
      </c>
      <c r="AI39" s="233">
        <f t="shared" si="22"/>
        <v>147124.58195679795</v>
      </c>
      <c r="AJ39" s="1">
        <f t="shared" si="7"/>
        <v>-0.23810548540661977</v>
      </c>
      <c r="AL39" s="527">
        <f t="shared" si="8"/>
        <v>37856.612987660301</v>
      </c>
      <c r="AM39" s="129">
        <f t="shared" si="9"/>
        <v>30778.675186985343</v>
      </c>
      <c r="AN39" s="132">
        <f t="shared" si="10"/>
        <v>68635.288174645641</v>
      </c>
      <c r="AO39" s="130">
        <f t="shared" si="11"/>
        <v>147124.58195679795</v>
      </c>
    </row>
    <row r="40" spans="1:41">
      <c r="A40" s="103">
        <v>2043</v>
      </c>
      <c r="B40" s="514">
        <v>8.2185000000000006</v>
      </c>
      <c r="C40" s="514">
        <f t="shared" si="16"/>
        <v>3.414274270588237</v>
      </c>
      <c r="D40" s="514">
        <f t="shared" si="12"/>
        <v>4.5610246352941033</v>
      </c>
      <c r="E40" s="514">
        <f t="shared" si="13"/>
        <v>3.5183901473752992</v>
      </c>
      <c r="F40" s="514">
        <f t="shared" si="14"/>
        <v>4.7001098526247018</v>
      </c>
      <c r="G40" s="106">
        <v>549.22040555720741</v>
      </c>
      <c r="H40" s="106">
        <v>66.827329264124529</v>
      </c>
      <c r="I40" s="106">
        <v>2.9153592592592581</v>
      </c>
      <c r="J40" s="116">
        <v>2.695786885245905</v>
      </c>
      <c r="K40" s="116">
        <v>126.81812777777773</v>
      </c>
      <c r="L40" s="116">
        <v>56.409999999999968</v>
      </c>
      <c r="T40" s="103">
        <v>2043</v>
      </c>
      <c r="V40" s="68"/>
      <c r="W40" s="68"/>
      <c r="X40" s="68"/>
      <c r="Y40" s="173">
        <f t="shared" si="17"/>
        <v>38001.164107921817</v>
      </c>
      <c r="Z40" s="102">
        <f t="shared" si="18"/>
        <v>10800.724910019</v>
      </c>
      <c r="AA40" s="173">
        <f t="shared" si="19"/>
        <v>30704.572805377444</v>
      </c>
      <c r="AB40" s="102">
        <f t="shared" si="20"/>
        <v>6532.7351419735351</v>
      </c>
      <c r="AC40" s="68"/>
      <c r="AD40" s="102">
        <f t="shared" si="21"/>
        <v>2.6253494282083878</v>
      </c>
      <c r="AF40" s="112">
        <v>72438.352051571419</v>
      </c>
      <c r="AG40" s="112">
        <v>196961.3991320018</v>
      </c>
      <c r="AH40" s="112">
        <f t="shared" si="15"/>
        <v>72112.789633799417</v>
      </c>
      <c r="AI40" s="233">
        <f t="shared" si="22"/>
        <v>148095.96124523506</v>
      </c>
      <c r="AJ40" s="1">
        <f t="shared" si="7"/>
        <v>-0.24809652095341561</v>
      </c>
      <c r="AL40" s="527">
        <f t="shared" si="8"/>
        <v>38001.164107921817</v>
      </c>
      <c r="AM40" s="129">
        <f t="shared" si="9"/>
        <v>30704.572805377444</v>
      </c>
      <c r="AN40" s="132">
        <f t="shared" si="10"/>
        <v>68705.736913299261</v>
      </c>
      <c r="AO40" s="130">
        <f t="shared" si="11"/>
        <v>148095.96124523506</v>
      </c>
    </row>
    <row r="41" spans="1:41">
      <c r="A41" s="103">
        <v>2044</v>
      </c>
      <c r="B41" s="514">
        <v>8.2176000000000009</v>
      </c>
      <c r="C41" s="514">
        <f t="shared" si="16"/>
        <v>3.3923665176470621</v>
      </c>
      <c r="D41" s="514">
        <f t="shared" si="12"/>
        <v>4.6082182588235128</v>
      </c>
      <c r="E41" s="514">
        <f t="shared" si="13"/>
        <v>3.4843841886910636</v>
      </c>
      <c r="F41" s="514">
        <f t="shared" si="14"/>
        <v>4.7332158113089369</v>
      </c>
      <c r="G41" s="106">
        <v>559.17362405603853</v>
      </c>
      <c r="H41" s="106">
        <v>68.045855731118394</v>
      </c>
      <c r="I41" s="106">
        <v>2.93</v>
      </c>
      <c r="J41" s="116">
        <v>2.6829836065573787</v>
      </c>
      <c r="K41" s="116">
        <v>127.45500000000001</v>
      </c>
      <c r="L41" s="116">
        <v>56.779999999999973</v>
      </c>
      <c r="T41" s="103">
        <v>2044</v>
      </c>
      <c r="V41" s="68"/>
      <c r="W41" s="68"/>
      <c r="X41" s="68"/>
      <c r="Y41" s="173">
        <f t="shared" si="17"/>
        <v>38134.405641740108</v>
      </c>
      <c r="Z41" s="102">
        <f t="shared" si="18"/>
        <v>10944.374551322253</v>
      </c>
      <c r="AA41" s="173">
        <f t="shared" si="19"/>
        <v>30616.132987703884</v>
      </c>
      <c r="AB41" s="102">
        <f t="shared" si="20"/>
        <v>6468.3577103232092</v>
      </c>
      <c r="AC41" s="68"/>
      <c r="AD41" s="102">
        <f t="shared" si="21"/>
        <v>2.6253494282083878</v>
      </c>
      <c r="AF41" s="112">
        <v>72747.731220703572</v>
      </c>
      <c r="AG41" s="112">
        <v>200907.16967735731</v>
      </c>
      <c r="AH41" s="112">
        <f t="shared" si="15"/>
        <v>72474.935278034158</v>
      </c>
      <c r="AI41" s="233">
        <f t="shared" si="22"/>
        <v>149067.34053367219</v>
      </c>
      <c r="AJ41" s="1">
        <f t="shared" si="7"/>
        <v>-0.25802876635481059</v>
      </c>
      <c r="AL41" s="527">
        <f t="shared" si="8"/>
        <v>38134.405641740108</v>
      </c>
      <c r="AM41" s="129">
        <f t="shared" si="9"/>
        <v>30616.132987703884</v>
      </c>
      <c r="AN41" s="132">
        <f t="shared" si="10"/>
        <v>68750.538629443996</v>
      </c>
      <c r="AO41" s="130">
        <f t="shared" si="11"/>
        <v>149067.34053367219</v>
      </c>
    </row>
    <row r="42" spans="1:41">
      <c r="A42" s="103">
        <v>2045</v>
      </c>
      <c r="B42" s="514">
        <v>8.2137000000000011</v>
      </c>
      <c r="C42" s="514">
        <f t="shared" si="16"/>
        <v>3.3704587647058872</v>
      </c>
      <c r="D42" s="514">
        <f t="shared" si="12"/>
        <v>4.6554118823529365</v>
      </c>
      <c r="E42" s="514">
        <f t="shared" si="13"/>
        <v>3.4493375701002433</v>
      </c>
      <c r="F42" s="514">
        <f t="shared" si="14"/>
        <v>4.7643624298997578</v>
      </c>
      <c r="G42" s="106">
        <v>569.12918517627259</v>
      </c>
      <c r="H42" s="106">
        <v>69.290232803276538</v>
      </c>
      <c r="I42" s="106">
        <v>2.9260000000000002</v>
      </c>
      <c r="J42" s="116">
        <v>2.6701803278688558</v>
      </c>
      <c r="K42" s="116">
        <v>127.28100000000001</v>
      </c>
      <c r="L42" s="116">
        <v>57.149999999999977</v>
      </c>
      <c r="T42" s="103">
        <v>2045</v>
      </c>
      <c r="V42" s="68"/>
      <c r="W42" s="68"/>
      <c r="X42" s="68"/>
      <c r="Y42" s="173">
        <f t="shared" si="17"/>
        <v>38252.928523995804</v>
      </c>
      <c r="Z42" s="102">
        <f t="shared" si="18"/>
        <v>11089.934732854839</v>
      </c>
      <c r="AA42" s="173">
        <f t="shared" si="19"/>
        <v>30510.883041527926</v>
      </c>
      <c r="AB42" s="102">
        <f t="shared" si="20"/>
        <v>6403.9802786728542</v>
      </c>
      <c r="AC42" s="68"/>
      <c r="AD42" s="102">
        <f t="shared" si="21"/>
        <v>2.6253494282083878</v>
      </c>
      <c r="AF42" s="112">
        <v>73051.467462893226</v>
      </c>
      <c r="AG42" s="112">
        <v>204940.92261995294</v>
      </c>
      <c r="AH42" s="112">
        <f t="shared" si="15"/>
        <v>72375.993386869595</v>
      </c>
      <c r="AI42" s="233">
        <f t="shared" si="22"/>
        <v>150038.7198221093</v>
      </c>
      <c r="AJ42" s="1">
        <f t="shared" si="7"/>
        <v>-0.26789282538585774</v>
      </c>
      <c r="AL42" s="527">
        <f t="shared" si="8"/>
        <v>38252.928523995804</v>
      </c>
      <c r="AM42" s="129">
        <f t="shared" si="9"/>
        <v>30510.883041527926</v>
      </c>
      <c r="AN42" s="132">
        <f t="shared" si="10"/>
        <v>68763.811565523734</v>
      </c>
      <c r="AO42" s="130">
        <f t="shared" si="11"/>
        <v>150038.7198221093</v>
      </c>
    </row>
    <row r="43" spans="1:41">
      <c r="A43" s="103">
        <v>2046</v>
      </c>
      <c r="B43" s="514">
        <v>8.2072000000000003</v>
      </c>
      <c r="C43" s="514">
        <f t="shared" si="16"/>
        <v>3.3485510117647053</v>
      </c>
      <c r="D43" s="514">
        <f t="shared" si="12"/>
        <v>4.7026055058823459</v>
      </c>
      <c r="E43" s="514">
        <f t="shared" si="13"/>
        <v>3.4134509499992887</v>
      </c>
      <c r="F43" s="514">
        <f t="shared" si="14"/>
        <v>4.7937490500007112</v>
      </c>
      <c r="G43" s="106">
        <v>579.08546292275059</v>
      </c>
      <c r="H43" s="106">
        <v>70.55822484193763</v>
      </c>
      <c r="I43" s="106">
        <v>2.9219999999999988</v>
      </c>
      <c r="J43" s="116">
        <v>2.6573770491803295</v>
      </c>
      <c r="K43" s="116">
        <v>127.10699999999994</v>
      </c>
      <c r="L43" s="116">
        <v>57.519999999999982</v>
      </c>
      <c r="T43" s="103">
        <v>2046</v>
      </c>
      <c r="V43" s="68"/>
      <c r="W43" s="68"/>
      <c r="X43" s="68"/>
      <c r="Y43" s="173">
        <f t="shared" si="17"/>
        <v>38358.419061009066</v>
      </c>
      <c r="Z43" s="102">
        <f t="shared" si="18"/>
        <v>11237.43086480181</v>
      </c>
      <c r="AA43" s="173">
        <f t="shared" si="19"/>
        <v>30390.46512529605</v>
      </c>
      <c r="AB43" s="102">
        <f t="shared" si="20"/>
        <v>6339.6028470225283</v>
      </c>
      <c r="AC43" s="68"/>
      <c r="AD43" s="102">
        <f t="shared" si="21"/>
        <v>2.6253494282083878</v>
      </c>
      <c r="AF43" s="112">
        <v>73349.697134095099</v>
      </c>
      <c r="AG43" s="112">
        <v>209062.65795978962</v>
      </c>
      <c r="AH43" s="112">
        <f t="shared" si="15"/>
        <v>72277.051495705004</v>
      </c>
      <c r="AI43" s="233">
        <f t="shared" si="22"/>
        <v>151010.09911054641</v>
      </c>
      <c r="AJ43" s="1">
        <f t="shared" si="7"/>
        <v>-0.27768019126786786</v>
      </c>
      <c r="AL43" s="527">
        <f t="shared" si="8"/>
        <v>38358.419061009066</v>
      </c>
      <c r="AM43" s="129">
        <f t="shared" si="9"/>
        <v>30390.46512529605</v>
      </c>
      <c r="AN43" s="132">
        <f t="shared" si="10"/>
        <v>68748.88418630512</v>
      </c>
      <c r="AO43" s="130">
        <f t="shared" si="11"/>
        <v>151010.09911054641</v>
      </c>
    </row>
    <row r="44" spans="1:41">
      <c r="A44" s="103">
        <v>2047</v>
      </c>
      <c r="B44" s="514">
        <v>8.1971000000000007</v>
      </c>
      <c r="C44" s="514">
        <f t="shared" si="16"/>
        <v>3.3266432588235304</v>
      </c>
      <c r="D44" s="514">
        <f t="shared" si="12"/>
        <v>4.7497991294117554</v>
      </c>
      <c r="E44" s="514">
        <f t="shared" si="13"/>
        <v>3.3763414813215356</v>
      </c>
      <c r="F44" s="514">
        <f t="shared" si="14"/>
        <v>4.8207585186784661</v>
      </c>
      <c r="G44" s="106">
        <v>589.04028452444982</v>
      </c>
      <c r="H44" s="106">
        <v>71.859594798703171</v>
      </c>
      <c r="I44" s="106">
        <v>2.9179999999999993</v>
      </c>
      <c r="J44" s="116">
        <v>2.6445737704918066</v>
      </c>
      <c r="K44" s="116">
        <v>126.93299999999996</v>
      </c>
      <c r="L44" s="116">
        <v>57.889999999999986</v>
      </c>
      <c r="T44" s="103">
        <v>2047</v>
      </c>
      <c r="V44" s="68"/>
      <c r="W44" s="68"/>
      <c r="X44" s="68"/>
      <c r="Y44" s="173">
        <f t="shared" si="17"/>
        <v>38446.024645145058</v>
      </c>
      <c r="Z44" s="102">
        <f t="shared" si="18"/>
        <v>11386.888695303676</v>
      </c>
      <c r="AA44" s="173">
        <f t="shared" si="19"/>
        <v>30251.34637778316</v>
      </c>
      <c r="AB44" s="102">
        <f t="shared" si="20"/>
        <v>6275.2254153722024</v>
      </c>
      <c r="AC44" s="68"/>
      <c r="AD44" s="102">
        <f t="shared" si="21"/>
        <v>2.6253494282083878</v>
      </c>
      <c r="AF44" s="112">
        <v>73642.602442886477</v>
      </c>
      <c r="AG44" s="112">
        <v>213272.37569686712</v>
      </c>
      <c r="AH44" s="112">
        <f t="shared" si="15"/>
        <v>72178.10960454047</v>
      </c>
      <c r="AI44" s="233">
        <f t="shared" si="22"/>
        <v>151981.47839898354</v>
      </c>
      <c r="AJ44" s="1">
        <f t="shared" si="7"/>
        <v>-0.28738319764862036</v>
      </c>
      <c r="AL44" s="527">
        <f t="shared" si="8"/>
        <v>38446.024645145058</v>
      </c>
      <c r="AM44" s="129">
        <f t="shared" si="9"/>
        <v>30251.34637778316</v>
      </c>
      <c r="AN44" s="132">
        <f t="shared" si="10"/>
        <v>68697.371022928215</v>
      </c>
      <c r="AO44" s="130">
        <f t="shared" si="11"/>
        <v>151981.47839898354</v>
      </c>
    </row>
    <row r="45" spans="1:41">
      <c r="A45" s="103">
        <v>2048</v>
      </c>
      <c r="B45" s="514">
        <v>8.1850000000000005</v>
      </c>
      <c r="C45" s="514">
        <f t="shared" si="16"/>
        <v>3.3047355058823555</v>
      </c>
      <c r="D45" s="514">
        <f t="shared" si="12"/>
        <v>4.7969927529411649</v>
      </c>
      <c r="E45" s="514">
        <f t="shared" si="13"/>
        <v>3.3387024658828781</v>
      </c>
      <c r="F45" s="514">
        <f t="shared" si="14"/>
        <v>4.8462975341171228</v>
      </c>
      <c r="G45" s="106">
        <v>598.99401903290345</v>
      </c>
      <c r="H45" s="106">
        <v>73.181920468283863</v>
      </c>
      <c r="I45" s="106">
        <v>2.9139999999999997</v>
      </c>
      <c r="J45" s="116">
        <v>2.6317704918032803</v>
      </c>
      <c r="K45" s="116">
        <v>126.75899999999999</v>
      </c>
      <c r="L45" s="116">
        <v>58.259999999999991</v>
      </c>
      <c r="T45" s="103">
        <v>2048</v>
      </c>
      <c r="V45" s="68"/>
      <c r="W45" s="68"/>
      <c r="X45" s="68"/>
      <c r="Y45" s="173">
        <f t="shared" si="17"/>
        <v>38523.065229508655</v>
      </c>
      <c r="Z45" s="102">
        <f t="shared" si="18"/>
        <v>11538.334314951217</v>
      </c>
      <c r="AA45" s="173">
        <f t="shared" si="19"/>
        <v>30099.617268287635</v>
      </c>
      <c r="AB45" s="102">
        <f t="shared" si="20"/>
        <v>6210.8479837218765</v>
      </c>
      <c r="AC45" s="68"/>
      <c r="AD45" s="102">
        <f t="shared" si="21"/>
        <v>2.6253494282083878</v>
      </c>
      <c r="AF45" s="112">
        <v>73930.152440606384</v>
      </c>
      <c r="AG45" s="112">
        <v>217570.07583118568</v>
      </c>
      <c r="AH45" s="112">
        <f t="shared" si="15"/>
        <v>72079.167713375937</v>
      </c>
      <c r="AI45" s="233">
        <f t="shared" si="22"/>
        <v>152952.85768742065</v>
      </c>
      <c r="AJ45" s="1">
        <f t="shared" si="7"/>
        <v>-0.29699496999717018</v>
      </c>
      <c r="AL45" s="527">
        <f t="shared" si="8"/>
        <v>38523.065229508655</v>
      </c>
      <c r="AM45" s="129">
        <f t="shared" si="9"/>
        <v>30099.617268287635</v>
      </c>
      <c r="AN45" s="132">
        <f t="shared" si="10"/>
        <v>68622.682497796282</v>
      </c>
      <c r="AO45" s="130">
        <f t="shared" si="11"/>
        <v>152952.85768742065</v>
      </c>
    </row>
    <row r="46" spans="1:41">
      <c r="A46" s="103">
        <v>2049</v>
      </c>
      <c r="B46" s="514">
        <v>8.17</v>
      </c>
      <c r="C46" s="514">
        <f t="shared" si="16"/>
        <v>3.2828277529411807</v>
      </c>
      <c r="D46" s="514">
        <f t="shared" si="12"/>
        <v>4.8441863764705744</v>
      </c>
      <c r="E46" s="514">
        <f t="shared" si="13"/>
        <v>3.3001914743158896</v>
      </c>
      <c r="F46" s="514">
        <f t="shared" si="14"/>
        <v>4.8698085256841104</v>
      </c>
      <c r="G46" s="106">
        <v>608.94959619795554</v>
      </c>
      <c r="H46" s="106">
        <v>74.534834295955392</v>
      </c>
      <c r="I46" s="106">
        <v>2.91</v>
      </c>
      <c r="J46" s="116">
        <v>2.6189672131147539</v>
      </c>
      <c r="K46" s="116">
        <v>126.58500000000001</v>
      </c>
      <c r="L46" s="116">
        <v>58.629999999999995</v>
      </c>
      <c r="T46" s="103">
        <v>2049</v>
      </c>
      <c r="V46" s="68"/>
      <c r="W46" s="68"/>
      <c r="X46" s="68"/>
      <c r="Y46" s="173">
        <f t="shared" si="17"/>
        <v>38585.159410710789</v>
      </c>
      <c r="Z46" s="102">
        <f t="shared" si="18"/>
        <v>11691.794161340069</v>
      </c>
      <c r="AA46" s="173">
        <f t="shared" si="19"/>
        <v>29932.134697344358</v>
      </c>
      <c r="AB46" s="102">
        <f t="shared" si="20"/>
        <v>6146.4705520715506</v>
      </c>
      <c r="AC46" s="68"/>
      <c r="AD46" s="102">
        <f t="shared" si="21"/>
        <v>2.6253494282083878</v>
      </c>
      <c r="AF46" s="112">
        <v>74212.10143843267</v>
      </c>
      <c r="AG46" s="112">
        <v>221955.75836274482</v>
      </c>
      <c r="AH46" s="112">
        <f t="shared" si="15"/>
        <v>71980.225822211389</v>
      </c>
      <c r="AI46" s="233">
        <f t="shared" si="22"/>
        <v>153924.23697585776</v>
      </c>
      <c r="AJ46" s="1">
        <f t="shared" si="7"/>
        <v>-0.30650937776393428</v>
      </c>
      <c r="AL46" s="527">
        <f t="shared" si="8"/>
        <v>38585.159410710789</v>
      </c>
      <c r="AM46" s="129">
        <f t="shared" si="9"/>
        <v>29932.134697344358</v>
      </c>
      <c r="AN46" s="132">
        <f t="shared" si="10"/>
        <v>68517.294108055154</v>
      </c>
      <c r="AO46" s="130">
        <f t="shared" si="11"/>
        <v>153924.23697585776</v>
      </c>
    </row>
    <row r="47" spans="1:41">
      <c r="A47" s="103">
        <v>2050</v>
      </c>
      <c r="B47" s="514">
        <v>8.1523000000000003</v>
      </c>
      <c r="C47" s="514">
        <f>B47*Building!B5</f>
        <v>3.2609200000000005</v>
      </c>
      <c r="D47" s="116">
        <f>B47*Building!B6</f>
        <v>4.8913799999999998</v>
      </c>
      <c r="E47" s="514">
        <f t="shared" si="13"/>
        <v>3.2609200000000005</v>
      </c>
      <c r="F47" s="514">
        <f t="shared" si="14"/>
        <v>4.8913799999999998</v>
      </c>
      <c r="G47" s="106">
        <v>618.90494703984587</v>
      </c>
      <c r="H47" s="106">
        <v>75.917832641076245</v>
      </c>
      <c r="I47" s="106">
        <v>2.9060000000000006</v>
      </c>
      <c r="J47" s="116">
        <v>2.6061639344262311</v>
      </c>
      <c r="K47" s="116">
        <v>126.41100000000003</v>
      </c>
      <c r="L47" s="116">
        <v>59</v>
      </c>
      <c r="T47" s="103">
        <v>2050</v>
      </c>
      <c r="V47" s="68"/>
      <c r="W47" s="68"/>
      <c r="X47" s="68"/>
      <c r="Y47" s="173">
        <f t="shared" si="17"/>
        <v>38633.081288637804</v>
      </c>
      <c r="Z47" s="102">
        <f t="shared" si="18"/>
        <v>11847.295023685892</v>
      </c>
      <c r="AA47" s="173">
        <f t="shared" si="19"/>
        <v>29749.828647365968</v>
      </c>
      <c r="AB47" s="102">
        <f t="shared" si="20"/>
        <v>6082.0931204212247</v>
      </c>
      <c r="AC47" s="68"/>
      <c r="AD47" s="102">
        <f t="shared" si="21"/>
        <v>2.6253494282083878</v>
      </c>
      <c r="AF47" s="112">
        <v>74488.622941007663</v>
      </c>
      <c r="AG47" s="112">
        <v>226429.42329154455</v>
      </c>
      <c r="AH47" s="112">
        <f t="shared" si="15"/>
        <v>71881.283931046855</v>
      </c>
      <c r="AI47" s="233">
        <f t="shared" si="22"/>
        <v>154895.61626429489</v>
      </c>
      <c r="AJ47" s="1">
        <f t="shared" si="7"/>
        <v>-0.31592098759684872</v>
      </c>
      <c r="AL47" s="529">
        <f t="shared" si="8"/>
        <v>38633.081288637804</v>
      </c>
      <c r="AM47" s="131">
        <f t="shared" si="9"/>
        <v>29749.828647365968</v>
      </c>
      <c r="AN47" s="145">
        <f t="shared" si="10"/>
        <v>68382.909936003765</v>
      </c>
      <c r="AO47" s="531">
        <f t="shared" si="11"/>
        <v>154895.61626429489</v>
      </c>
    </row>
    <row r="49" spans="1:6">
      <c r="A49" s="103">
        <v>2016</v>
      </c>
      <c r="C49" s="514">
        <f>C13</f>
        <v>4.0057836000000009</v>
      </c>
      <c r="D49" s="514">
        <f>D13</f>
        <v>3.2867967999999999</v>
      </c>
      <c r="E49" s="514"/>
      <c r="F49" s="514"/>
    </row>
    <row r="50" spans="1:6">
      <c r="A50" s="103">
        <v>2050</v>
      </c>
      <c r="C50" s="514">
        <f>C47</f>
        <v>3.2609200000000005</v>
      </c>
      <c r="D50" s="514">
        <f>D47</f>
        <v>4.8913799999999998</v>
      </c>
      <c r="E50" s="514"/>
      <c r="F50" s="514"/>
    </row>
  </sheetData>
  <phoneticPr fontId="3"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8"/>
  <sheetViews>
    <sheetView zoomScale="93" workbookViewId="0">
      <selection activeCell="O3" sqref="O3"/>
    </sheetView>
  </sheetViews>
  <sheetFormatPr defaultRowHeight="15"/>
  <cols>
    <col min="1" max="1" width="21.140625" customWidth="1"/>
    <col min="14" max="14" width="10.5703125" customWidth="1"/>
  </cols>
  <sheetData>
    <row r="1" spans="1:20" ht="24.95" customHeight="1">
      <c r="A1" s="121" t="s">
        <v>745</v>
      </c>
    </row>
    <row r="2" spans="1:20" s="178" customFormat="1" ht="16.5" customHeight="1">
      <c r="A2" s="178" t="s">
        <v>686</v>
      </c>
      <c r="B2" s="183">
        <v>2005</v>
      </c>
      <c r="C2" s="183">
        <v>2006</v>
      </c>
      <c r="D2" s="183">
        <v>2007</v>
      </c>
      <c r="E2" s="183">
        <v>2008</v>
      </c>
      <c r="F2" s="183">
        <v>2009</v>
      </c>
      <c r="G2" s="183">
        <v>2010</v>
      </c>
      <c r="H2" s="183">
        <v>2011</v>
      </c>
      <c r="I2" s="183">
        <v>2012</v>
      </c>
      <c r="J2" s="183">
        <v>2013</v>
      </c>
      <c r="K2" s="183">
        <v>2014</v>
      </c>
      <c r="L2" s="183">
        <v>2015</v>
      </c>
      <c r="M2" s="183">
        <v>2016</v>
      </c>
      <c r="N2" s="183">
        <v>2017</v>
      </c>
      <c r="O2" s="183">
        <v>2026</v>
      </c>
      <c r="P2" s="183">
        <v>2031</v>
      </c>
      <c r="Q2" s="183">
        <v>2036</v>
      </c>
      <c r="R2" s="183">
        <v>2041</v>
      </c>
      <c r="S2" s="183">
        <v>2046</v>
      </c>
      <c r="T2" s="183">
        <v>2051</v>
      </c>
    </row>
    <row r="3" spans="1:20" s="182" customFormat="1">
      <c r="A3" s="179" t="s">
        <v>685</v>
      </c>
      <c r="B3" s="180">
        <v>2.1970999999999998</v>
      </c>
      <c r="C3" s="180">
        <v>2.2208999999999999</v>
      </c>
      <c r="D3" s="180">
        <v>2.2499000000000002</v>
      </c>
      <c r="E3" s="180">
        <v>2.2791000000000001</v>
      </c>
      <c r="F3" s="180">
        <v>2.2971999999999997</v>
      </c>
      <c r="G3" s="180">
        <v>2.3250999999999999</v>
      </c>
      <c r="H3" s="180">
        <v>2.3593000000000002</v>
      </c>
      <c r="I3" s="180">
        <v>2.3861999999999997</v>
      </c>
      <c r="J3" s="180">
        <v>2.4073000000000002</v>
      </c>
      <c r="K3" s="180">
        <v>2.4323999999999999</v>
      </c>
      <c r="L3" s="180">
        <v>2.4710999999999999</v>
      </c>
      <c r="M3" s="180">
        <v>2.4988999999999999</v>
      </c>
      <c r="N3" s="180">
        <v>2.5347</v>
      </c>
      <c r="O3" s="181">
        <v>2.7688999999999999</v>
      </c>
      <c r="P3" s="181">
        <v>2.8544999999999998</v>
      </c>
      <c r="Q3" s="181">
        <v>2.9201999999999999</v>
      </c>
      <c r="R3" s="181">
        <v>2.9613999999999998</v>
      </c>
      <c r="S3" s="181">
        <v>2.9723000000000002</v>
      </c>
      <c r="T3" s="181">
        <v>2.9495</v>
      </c>
    </row>
    <row r="5" spans="1:20" ht="27.95" customHeight="1">
      <c r="A5" s="184" t="s">
        <v>690</v>
      </c>
      <c r="B5" s="103" t="s">
        <v>692</v>
      </c>
    </row>
    <row r="7" spans="1:20" s="103" customFormat="1" ht="48" customHeight="1">
      <c r="A7" s="574" t="s">
        <v>693</v>
      </c>
      <c r="B7" s="574"/>
      <c r="C7" s="574"/>
      <c r="D7" s="574"/>
      <c r="E7" s="574"/>
      <c r="F7" s="574"/>
      <c r="G7" s="574"/>
      <c r="H7" s="574"/>
      <c r="I7" s="574"/>
      <c r="J7" s="574"/>
      <c r="K7" s="574"/>
      <c r="L7" s="574"/>
      <c r="M7" s="574"/>
      <c r="N7" s="574"/>
      <c r="O7" s="185"/>
    </row>
    <row r="8" spans="1:20">
      <c r="B8" t="s">
        <v>687</v>
      </c>
      <c r="J8" s="103" t="s">
        <v>688</v>
      </c>
      <c r="R8" s="103" t="s">
        <v>689</v>
      </c>
    </row>
  </sheetData>
  <mergeCells count="1">
    <mergeCell ref="A7:N7"/>
  </mergeCells>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CE51"/>
  <sheetViews>
    <sheetView topLeftCell="E1" zoomScale="93" workbookViewId="0">
      <selection activeCell="V18" sqref="V18"/>
    </sheetView>
  </sheetViews>
  <sheetFormatPr defaultRowHeight="15"/>
  <cols>
    <col min="1" max="1" width="8.140625" style="103" customWidth="1"/>
    <col min="2" max="2" width="10.5703125" customWidth="1"/>
    <col min="3" max="3" width="10.85546875" customWidth="1"/>
    <col min="4" max="4" width="8.7109375" style="103"/>
    <col min="5" max="5" width="13.42578125" customWidth="1"/>
    <col min="6" max="6" width="24.7109375" customWidth="1"/>
    <col min="11" max="11" width="9.5703125" bestFit="1" customWidth="1"/>
    <col min="14" max="14" width="10" customWidth="1"/>
    <col min="15" max="15" width="10" style="103" customWidth="1"/>
    <col min="16" max="19" width="8.7109375" style="103"/>
    <col min="20" max="20" width="9.5703125" style="103" bestFit="1" customWidth="1"/>
    <col min="21" max="22" width="8.7109375" style="103"/>
    <col min="23" max="23" width="10" style="103" customWidth="1"/>
    <col min="26" max="26" width="9.140625" bestFit="1" customWidth="1"/>
    <col min="28" max="28" width="7.7109375" customWidth="1"/>
    <col min="29" max="29" width="8.28515625" customWidth="1"/>
    <col min="30" max="30" width="10.42578125" customWidth="1"/>
    <col min="31" max="31" width="8.42578125" customWidth="1"/>
    <col min="32" max="32" width="10.28515625" customWidth="1"/>
  </cols>
  <sheetData>
    <row r="1" spans="1:83" s="103" customFormat="1" ht="21">
      <c r="A1" s="121" t="s">
        <v>678</v>
      </c>
      <c r="M1" s="103" t="s">
        <v>944</v>
      </c>
    </row>
    <row r="2" spans="1:83" s="103" customFormat="1"/>
    <row r="3" spans="1:83" s="103" customFormat="1">
      <c r="B3" s="20" t="s">
        <v>948</v>
      </c>
      <c r="C3" s="21"/>
      <c r="D3" s="21"/>
      <c r="E3" s="22"/>
      <c r="G3" s="20" t="s">
        <v>591</v>
      </c>
      <c r="H3" s="21"/>
      <c r="I3" s="21"/>
      <c r="J3" s="21"/>
      <c r="K3" s="21" t="s">
        <v>588</v>
      </c>
      <c r="L3" s="21"/>
      <c r="M3" s="21"/>
      <c r="N3" s="22"/>
      <c r="O3" s="24"/>
      <c r="P3" s="20" t="s">
        <v>947</v>
      </c>
      <c r="Q3" s="21"/>
      <c r="R3" s="21"/>
      <c r="S3" s="21"/>
      <c r="T3" s="21" t="s">
        <v>588</v>
      </c>
      <c r="U3" s="21"/>
      <c r="V3" s="21"/>
      <c r="W3" s="22"/>
      <c r="Y3" s="20" t="s">
        <v>947</v>
      </c>
      <c r="Z3" s="21"/>
      <c r="AA3" s="21"/>
      <c r="AB3" s="21"/>
      <c r="AC3" s="21" t="s">
        <v>946</v>
      </c>
      <c r="AD3" s="21"/>
      <c r="AE3" s="21"/>
      <c r="AF3" s="22"/>
    </row>
    <row r="4" spans="1:83" s="103" customFormat="1" ht="12" customHeight="1">
      <c r="B4" s="123" t="s">
        <v>566</v>
      </c>
      <c r="C4" s="24"/>
      <c r="D4" s="24"/>
      <c r="E4" s="25"/>
      <c r="G4" s="23"/>
      <c r="H4" s="24"/>
      <c r="I4" s="24"/>
      <c r="J4" s="24"/>
      <c r="K4" s="24"/>
      <c r="L4" s="24" t="s">
        <v>589</v>
      </c>
      <c r="M4" s="24"/>
      <c r="N4" s="25"/>
      <c r="O4" s="24"/>
      <c r="P4" s="23"/>
      <c r="Q4" s="24"/>
      <c r="R4" s="24"/>
      <c r="S4" s="24"/>
      <c r="T4" s="24"/>
      <c r="U4" s="24" t="s">
        <v>589</v>
      </c>
      <c r="V4" s="24"/>
      <c r="W4" s="25"/>
      <c r="Y4" s="23"/>
      <c r="Z4" s="24"/>
      <c r="AA4" s="24"/>
      <c r="AB4" s="24"/>
      <c r="AC4" s="24"/>
      <c r="AD4" s="24"/>
      <c r="AE4" s="24"/>
      <c r="AF4" s="25"/>
    </row>
    <row r="5" spans="1:83">
      <c r="B5" s="123"/>
      <c r="C5" s="659" t="s">
        <v>938</v>
      </c>
      <c r="D5" s="659"/>
      <c r="E5" s="658" t="s">
        <v>4</v>
      </c>
      <c r="F5" s="103"/>
      <c r="G5" s="123" t="s">
        <v>943</v>
      </c>
      <c r="H5" s="24"/>
      <c r="I5" s="24"/>
      <c r="J5" s="24" t="s">
        <v>590</v>
      </c>
      <c r="K5" s="24"/>
      <c r="L5" s="24"/>
      <c r="M5" s="24"/>
      <c r="N5" s="25"/>
      <c r="O5" s="24"/>
      <c r="P5" s="164" t="s">
        <v>945</v>
      </c>
      <c r="Q5" s="21"/>
      <c r="R5" s="21"/>
      <c r="S5" s="21" t="s">
        <v>590</v>
      </c>
      <c r="T5" s="21"/>
      <c r="U5" s="21"/>
      <c r="V5" s="21"/>
      <c r="W5" s="22"/>
      <c r="X5" s="103"/>
      <c r="Y5" s="123" t="s">
        <v>565</v>
      </c>
      <c r="Z5" s="24"/>
      <c r="AA5" s="24"/>
      <c r="AB5" s="24" t="s">
        <v>590</v>
      </c>
      <c r="AC5" s="24"/>
      <c r="AD5" s="24"/>
      <c r="AE5" s="24"/>
      <c r="AF5" s="25"/>
      <c r="AG5" s="103"/>
      <c r="AH5" s="103"/>
      <c r="AI5" s="103"/>
      <c r="AJ5" s="103"/>
      <c r="AK5" s="103"/>
      <c r="AL5" s="103"/>
      <c r="AM5" s="103"/>
      <c r="AN5" s="103"/>
      <c r="AO5" s="103"/>
      <c r="AP5" s="103"/>
      <c r="AQ5" s="103"/>
      <c r="AR5" s="103"/>
      <c r="AS5" s="103"/>
      <c r="AT5" s="103"/>
      <c r="AU5" s="103"/>
      <c r="AV5" s="103"/>
      <c r="AW5" s="103"/>
      <c r="AX5" s="103"/>
      <c r="AY5" s="103"/>
      <c r="AZ5" s="103"/>
      <c r="BA5" s="103"/>
      <c r="BB5" s="103"/>
      <c r="BC5" s="103"/>
      <c r="BD5" s="103"/>
      <c r="BE5" s="103"/>
      <c r="BF5" s="103"/>
      <c r="BG5" s="103"/>
      <c r="BH5" s="103"/>
      <c r="BI5" s="103"/>
      <c r="BJ5" s="103"/>
      <c r="BK5" s="103"/>
      <c r="BL5" s="103"/>
      <c r="BM5" s="103"/>
      <c r="BN5" s="103"/>
      <c r="BO5" s="103"/>
      <c r="BP5" s="103"/>
      <c r="BQ5" s="103"/>
      <c r="BR5" s="103"/>
      <c r="BS5" s="103"/>
      <c r="BT5" s="103"/>
      <c r="BU5" s="103"/>
      <c r="BV5" s="103"/>
      <c r="BW5" s="103"/>
      <c r="BX5" s="103"/>
      <c r="BY5" s="103"/>
      <c r="BZ5" s="103"/>
      <c r="CA5" s="103"/>
      <c r="CB5" s="103"/>
      <c r="CC5" s="103"/>
      <c r="CD5" s="103"/>
      <c r="CE5" s="103"/>
    </row>
    <row r="6" spans="1:83" ht="20.100000000000001" customHeight="1">
      <c r="B6" s="123" t="s">
        <v>1</v>
      </c>
      <c r="C6" s="188" t="s">
        <v>940</v>
      </c>
      <c r="D6" s="188" t="s">
        <v>939</v>
      </c>
      <c r="E6" s="658"/>
      <c r="F6" s="103"/>
      <c r="G6" s="535" t="s">
        <v>13</v>
      </c>
      <c r="H6" s="661" t="s">
        <v>14</v>
      </c>
      <c r="I6" s="661"/>
      <c r="J6" s="662" t="s">
        <v>15</v>
      </c>
      <c r="K6" s="662"/>
      <c r="L6" s="663" t="s">
        <v>16</v>
      </c>
      <c r="M6" s="663"/>
      <c r="N6" s="536" t="s">
        <v>17</v>
      </c>
      <c r="O6" s="533"/>
      <c r="P6" s="139" t="s">
        <v>13</v>
      </c>
      <c r="Q6" s="664" t="s">
        <v>14</v>
      </c>
      <c r="R6" s="664"/>
      <c r="S6" s="665" t="s">
        <v>15</v>
      </c>
      <c r="T6" s="665"/>
      <c r="U6" s="666" t="s">
        <v>16</v>
      </c>
      <c r="V6" s="666"/>
      <c r="W6" s="140" t="s">
        <v>17</v>
      </c>
      <c r="X6" s="103"/>
      <c r="Y6" s="139" t="s">
        <v>13</v>
      </c>
      <c r="Z6" s="664" t="s">
        <v>14</v>
      </c>
      <c r="AA6" s="664"/>
      <c r="AB6" s="665" t="s">
        <v>15</v>
      </c>
      <c r="AC6" s="665"/>
      <c r="AD6" s="660" t="s">
        <v>16</v>
      </c>
      <c r="AE6" s="660"/>
      <c r="AF6" s="140" t="s">
        <v>17</v>
      </c>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c r="BN6" s="103"/>
      <c r="BO6" s="103"/>
      <c r="BP6" s="103"/>
      <c r="BQ6" s="103"/>
      <c r="BR6" s="103"/>
      <c r="BS6" s="103"/>
      <c r="BT6" s="103"/>
      <c r="BU6" s="103"/>
      <c r="BV6" s="103"/>
      <c r="BW6" s="103"/>
      <c r="BX6" s="103"/>
      <c r="BY6" s="103"/>
      <c r="BZ6" s="103"/>
      <c r="CA6" s="103"/>
      <c r="CB6" s="103"/>
      <c r="CC6" s="103"/>
      <c r="CD6" s="103"/>
      <c r="CE6" s="103"/>
    </row>
    <row r="7" spans="1:83">
      <c r="B7" s="23">
        <v>2006</v>
      </c>
      <c r="C7" s="129">
        <f>'Future Total Energy'!AL3</f>
        <v>26211</v>
      </c>
      <c r="D7" s="129">
        <f>'Future Total Energy'!AM3</f>
        <v>24967</v>
      </c>
      <c r="E7" s="530">
        <f>'Future Total Energy'!AO3</f>
        <v>111884</v>
      </c>
      <c r="F7" s="103"/>
      <c r="G7" s="141">
        <v>2006</v>
      </c>
      <c r="H7" s="133">
        <f>C7*I7</f>
        <v>8911.74</v>
      </c>
      <c r="I7" s="134">
        <v>0.34</v>
      </c>
      <c r="J7" s="135">
        <f>C7*K7</f>
        <v>0</v>
      </c>
      <c r="K7" s="136">
        <v>0</v>
      </c>
      <c r="L7" s="137">
        <f>C7*M7</f>
        <v>17299.260000000002</v>
      </c>
      <c r="M7" s="138">
        <v>0.66</v>
      </c>
      <c r="N7" s="142">
        <f>'History Type Share'!H5</f>
        <v>53982</v>
      </c>
      <c r="O7" s="534"/>
      <c r="P7" s="141">
        <v>2006</v>
      </c>
      <c r="Q7" s="133">
        <f>D7*R7</f>
        <v>8488.7800000000007</v>
      </c>
      <c r="R7" s="134">
        <v>0.34</v>
      </c>
      <c r="S7" s="135">
        <f>D7*T7</f>
        <v>0</v>
      </c>
      <c r="T7" s="136">
        <v>0</v>
      </c>
      <c r="U7" s="137">
        <f>D7*V7</f>
        <v>16478.22</v>
      </c>
      <c r="V7" s="138">
        <v>0.66</v>
      </c>
      <c r="W7" s="142">
        <f>N7</f>
        <v>53982</v>
      </c>
      <c r="X7" s="103"/>
      <c r="Y7" s="151">
        <v>2006</v>
      </c>
      <c r="Z7" s="133">
        <v>13631</v>
      </c>
      <c r="AA7" s="147">
        <v>0.12</v>
      </c>
      <c r="AB7" s="148">
        <v>4936</v>
      </c>
      <c r="AC7" s="136">
        <v>0.04</v>
      </c>
      <c r="AD7" s="149">
        <v>93317</v>
      </c>
      <c r="AE7" s="150">
        <v>0.83</v>
      </c>
      <c r="AF7" s="142">
        <f>'Future Total Energy'!AO3</f>
        <v>111884</v>
      </c>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c r="BN7" s="103"/>
      <c r="BO7" s="103"/>
      <c r="BP7" s="103"/>
      <c r="BQ7" s="103"/>
      <c r="BR7" s="103"/>
      <c r="BS7" s="103"/>
      <c r="BT7" s="103"/>
      <c r="BU7" s="103"/>
      <c r="BV7" s="103"/>
      <c r="BW7" s="103"/>
      <c r="BX7" s="103"/>
      <c r="BY7" s="103"/>
      <c r="BZ7" s="103"/>
      <c r="CA7" s="103"/>
      <c r="CB7" s="103"/>
      <c r="CC7" s="103"/>
      <c r="CD7" s="103"/>
      <c r="CE7" s="103"/>
    </row>
    <row r="8" spans="1:83">
      <c r="B8" s="23">
        <v>2007</v>
      </c>
      <c r="C8" s="129">
        <f>'Future Total Energy'!AL4</f>
        <v>26733</v>
      </c>
      <c r="D8" s="129">
        <f>'Future Total Energy'!AM4</f>
        <v>25185</v>
      </c>
      <c r="E8" s="530">
        <f>'Future Total Energy'!AO4</f>
        <v>113914</v>
      </c>
      <c r="F8" s="103"/>
      <c r="G8" s="141">
        <v>2007</v>
      </c>
      <c r="H8" s="133">
        <f t="shared" ref="H8:H17" si="0">C8*I8</f>
        <v>8821.8900000000012</v>
      </c>
      <c r="I8" s="134">
        <v>0.33</v>
      </c>
      <c r="J8" s="135">
        <f t="shared" ref="J8:J17" si="1">C8*K8</f>
        <v>0</v>
      </c>
      <c r="K8" s="136">
        <v>0</v>
      </c>
      <c r="L8" s="137">
        <f t="shared" ref="L8:L17" si="2">C8*M8</f>
        <v>17911.11</v>
      </c>
      <c r="M8" s="138">
        <v>0.67</v>
      </c>
      <c r="N8" s="142">
        <f>'History Type Share'!H6</f>
        <v>54717</v>
      </c>
      <c r="O8" s="534"/>
      <c r="P8" s="141">
        <v>2007</v>
      </c>
      <c r="Q8" s="133">
        <f t="shared" ref="Q8:Q17" si="3">D8*R8</f>
        <v>8311.0500000000011</v>
      </c>
      <c r="R8" s="134">
        <v>0.33</v>
      </c>
      <c r="S8" s="135">
        <f t="shared" ref="S8:S17" si="4">D8*T8</f>
        <v>0</v>
      </c>
      <c r="T8" s="136">
        <v>0</v>
      </c>
      <c r="U8" s="137">
        <f t="shared" ref="U8:U17" si="5">D8*V8</f>
        <v>16873.95</v>
      </c>
      <c r="V8" s="138">
        <v>0.67</v>
      </c>
      <c r="W8" s="142">
        <f t="shared" ref="W8:W17" si="6">N8</f>
        <v>54717</v>
      </c>
      <c r="X8" s="103"/>
      <c r="Y8" s="151">
        <v>2007</v>
      </c>
      <c r="Z8" s="133">
        <v>13888</v>
      </c>
      <c r="AA8" s="147">
        <v>0.12</v>
      </c>
      <c r="AB8" s="148">
        <v>4975</v>
      </c>
      <c r="AC8" s="136">
        <v>0.04</v>
      </c>
      <c r="AD8" s="149">
        <v>95051</v>
      </c>
      <c r="AE8" s="150">
        <v>0.83</v>
      </c>
      <c r="AF8" s="142">
        <f>'Future Total Energy'!AO4</f>
        <v>113914</v>
      </c>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row>
    <row r="9" spans="1:83">
      <c r="B9" s="23">
        <v>2008</v>
      </c>
      <c r="C9" s="129">
        <f>'Future Total Energy'!AL5</f>
        <v>27701</v>
      </c>
      <c r="D9" s="129">
        <f>'Future Total Energy'!AM5</f>
        <v>25533</v>
      </c>
      <c r="E9" s="530">
        <f>'Future Total Energy'!AO5</f>
        <v>113753</v>
      </c>
      <c r="F9" s="103"/>
      <c r="G9" s="141">
        <v>2008</v>
      </c>
      <c r="H9" s="133">
        <f t="shared" si="0"/>
        <v>9141.33</v>
      </c>
      <c r="I9" s="134">
        <v>0.33</v>
      </c>
      <c r="J9" s="135">
        <f t="shared" si="1"/>
        <v>0</v>
      </c>
      <c r="K9" s="136">
        <v>0</v>
      </c>
      <c r="L9" s="137">
        <f t="shared" si="2"/>
        <v>18282.66</v>
      </c>
      <c r="M9" s="138">
        <v>0.66</v>
      </c>
      <c r="N9" s="142">
        <f>'History Type Share'!H7</f>
        <v>55849</v>
      </c>
      <c r="O9" s="534"/>
      <c r="P9" s="141">
        <v>2008</v>
      </c>
      <c r="Q9" s="133">
        <f t="shared" si="3"/>
        <v>8425.8900000000012</v>
      </c>
      <c r="R9" s="134">
        <v>0.33</v>
      </c>
      <c r="S9" s="135">
        <f t="shared" si="4"/>
        <v>0</v>
      </c>
      <c r="T9" s="136">
        <v>0</v>
      </c>
      <c r="U9" s="137">
        <f t="shared" si="5"/>
        <v>16851.780000000002</v>
      </c>
      <c r="V9" s="138">
        <v>0.66</v>
      </c>
      <c r="W9" s="142">
        <f t="shared" si="6"/>
        <v>55849</v>
      </c>
      <c r="X9" s="103"/>
      <c r="Y9" s="151">
        <v>2008</v>
      </c>
      <c r="Z9" s="133">
        <v>13471</v>
      </c>
      <c r="AA9" s="147">
        <v>0.12</v>
      </c>
      <c r="AB9" s="148">
        <v>4739</v>
      </c>
      <c r="AC9" s="136">
        <v>0.04</v>
      </c>
      <c r="AD9" s="149">
        <v>95543</v>
      </c>
      <c r="AE9" s="150">
        <v>0.84</v>
      </c>
      <c r="AF9" s="142">
        <f>'Future Total Energy'!AO5</f>
        <v>113753</v>
      </c>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c r="BG9" s="103"/>
      <c r="BH9" s="103"/>
      <c r="BI9" s="103"/>
      <c r="BJ9" s="103"/>
      <c r="BK9" s="103"/>
      <c r="BL9" s="103"/>
      <c r="BM9" s="103"/>
      <c r="BN9" s="103"/>
      <c r="BO9" s="103"/>
      <c r="BP9" s="103"/>
      <c r="BQ9" s="103"/>
      <c r="BR9" s="103"/>
      <c r="BS9" s="103"/>
      <c r="BT9" s="103"/>
      <c r="BU9" s="103"/>
      <c r="BV9" s="103"/>
      <c r="BW9" s="103"/>
      <c r="BX9" s="103"/>
      <c r="BY9" s="103"/>
      <c r="BZ9" s="103"/>
      <c r="CA9" s="103"/>
      <c r="CB9" s="103"/>
      <c r="CC9" s="103"/>
      <c r="CD9" s="103"/>
      <c r="CE9" s="103"/>
    </row>
    <row r="10" spans="1:83">
      <c r="B10" s="23">
        <v>2009</v>
      </c>
      <c r="C10" s="129">
        <f>'Future Total Energy'!AL6</f>
        <v>28544</v>
      </c>
      <c r="D10" s="129">
        <f>'Future Total Energy'!AM6</f>
        <v>26068</v>
      </c>
      <c r="E10" s="530">
        <f>'Future Total Energy'!AO6</f>
        <v>114297</v>
      </c>
      <c r="F10" s="103"/>
      <c r="G10" s="141">
        <v>2009</v>
      </c>
      <c r="H10" s="133">
        <f t="shared" si="0"/>
        <v>9134.08</v>
      </c>
      <c r="I10" s="134">
        <v>0.32</v>
      </c>
      <c r="J10" s="135">
        <f t="shared" si="1"/>
        <v>0</v>
      </c>
      <c r="K10" s="136">
        <v>0</v>
      </c>
      <c r="L10" s="137">
        <f t="shared" si="2"/>
        <v>19409.920000000002</v>
      </c>
      <c r="M10" s="138">
        <v>0.68</v>
      </c>
      <c r="N10" s="142">
        <f>'History Type Share'!H8</f>
        <v>57731</v>
      </c>
      <c r="O10" s="534"/>
      <c r="P10" s="141">
        <v>2009</v>
      </c>
      <c r="Q10" s="133">
        <f t="shared" si="3"/>
        <v>8341.76</v>
      </c>
      <c r="R10" s="134">
        <v>0.32</v>
      </c>
      <c r="S10" s="135">
        <f t="shared" si="4"/>
        <v>0</v>
      </c>
      <c r="T10" s="136">
        <v>0</v>
      </c>
      <c r="U10" s="137">
        <f t="shared" si="5"/>
        <v>17726.240000000002</v>
      </c>
      <c r="V10" s="138">
        <v>0.68</v>
      </c>
      <c r="W10" s="142">
        <f t="shared" si="6"/>
        <v>57731</v>
      </c>
      <c r="X10" s="103"/>
      <c r="Y10" s="151">
        <v>2009</v>
      </c>
      <c r="Z10" s="133">
        <v>12815</v>
      </c>
      <c r="AA10" s="147">
        <v>0.11</v>
      </c>
      <c r="AB10" s="148">
        <v>4753</v>
      </c>
      <c r="AC10" s="136">
        <v>0.04</v>
      </c>
      <c r="AD10" s="149">
        <v>96728</v>
      </c>
      <c r="AE10" s="150">
        <v>0.85</v>
      </c>
      <c r="AF10" s="142">
        <f>'Future Total Energy'!AO6</f>
        <v>114297</v>
      </c>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c r="BG10" s="103"/>
      <c r="BH10" s="103"/>
      <c r="BI10" s="103"/>
      <c r="BJ10" s="103"/>
      <c r="BK10" s="103"/>
      <c r="BL10" s="103"/>
      <c r="BM10" s="103"/>
      <c r="BN10" s="103"/>
      <c r="BO10" s="103"/>
      <c r="BP10" s="103"/>
      <c r="BQ10" s="103"/>
      <c r="BR10" s="103"/>
      <c r="BS10" s="103"/>
      <c r="BT10" s="103"/>
      <c r="BU10" s="103"/>
      <c r="BV10" s="103"/>
      <c r="BW10" s="103"/>
      <c r="BX10" s="103"/>
      <c r="BY10" s="103"/>
      <c r="BZ10" s="103"/>
      <c r="CA10" s="103"/>
      <c r="CB10" s="103"/>
      <c r="CC10" s="103"/>
      <c r="CD10" s="103"/>
      <c r="CE10" s="103"/>
    </row>
    <row r="11" spans="1:83">
      <c r="B11" s="23">
        <v>2010</v>
      </c>
      <c r="C11" s="129">
        <f>'Future Total Energy'!AL7</f>
        <v>28730</v>
      </c>
      <c r="D11" s="129">
        <f>'Future Total Energy'!AM7</f>
        <v>26236</v>
      </c>
      <c r="E11" s="530">
        <f>'Future Total Energy'!AO7</f>
        <v>116391</v>
      </c>
      <c r="F11" s="103"/>
      <c r="G11" s="141">
        <v>2010</v>
      </c>
      <c r="H11" s="133">
        <f t="shared" si="0"/>
        <v>9480.9</v>
      </c>
      <c r="I11" s="134">
        <v>0.33</v>
      </c>
      <c r="J11" s="135">
        <f t="shared" si="1"/>
        <v>0</v>
      </c>
      <c r="K11" s="136">
        <v>0</v>
      </c>
      <c r="L11" s="137">
        <f t="shared" si="2"/>
        <v>19249.100000000002</v>
      </c>
      <c r="M11" s="138">
        <v>0.67</v>
      </c>
      <c r="N11" s="142">
        <f>'History Type Share'!H9</f>
        <v>58396</v>
      </c>
      <c r="O11" s="534"/>
      <c r="P11" s="141">
        <v>2010</v>
      </c>
      <c r="Q11" s="133">
        <f t="shared" si="3"/>
        <v>8657.880000000001</v>
      </c>
      <c r="R11" s="134">
        <v>0.33</v>
      </c>
      <c r="S11" s="135">
        <f t="shared" si="4"/>
        <v>0</v>
      </c>
      <c r="T11" s="136">
        <v>0</v>
      </c>
      <c r="U11" s="137">
        <f t="shared" si="5"/>
        <v>17578.120000000003</v>
      </c>
      <c r="V11" s="138">
        <v>0.67</v>
      </c>
      <c r="W11" s="142">
        <f t="shared" si="6"/>
        <v>58396</v>
      </c>
      <c r="X11" s="103"/>
      <c r="Y11" s="151">
        <v>2010</v>
      </c>
      <c r="Z11" s="133">
        <v>13971</v>
      </c>
      <c r="AA11" s="147">
        <v>0.12</v>
      </c>
      <c r="AB11" s="148">
        <v>4526</v>
      </c>
      <c r="AC11" s="136">
        <v>0.04</v>
      </c>
      <c r="AD11" s="149">
        <v>97894</v>
      </c>
      <c r="AE11" s="150">
        <v>0.84</v>
      </c>
      <c r="AF11" s="142">
        <f>'Future Total Energy'!AO7</f>
        <v>116391</v>
      </c>
      <c r="AG11" s="103"/>
      <c r="AH11" s="103"/>
      <c r="AI11" s="103"/>
      <c r="AJ11" s="103"/>
      <c r="AK11" s="103"/>
      <c r="AL11" s="103"/>
      <c r="AM11" s="103"/>
      <c r="AN11" s="103"/>
      <c r="AO11" s="103"/>
      <c r="AP11" s="103"/>
      <c r="AQ11" s="103"/>
      <c r="AR11" s="103"/>
      <c r="AS11" s="103"/>
      <c r="AT11" s="103"/>
      <c r="AU11" s="103"/>
      <c r="AV11" s="103"/>
      <c r="AW11" s="103"/>
      <c r="AX11" s="103"/>
      <c r="AY11" s="103"/>
      <c r="AZ11" s="103"/>
      <c r="BA11" s="103"/>
      <c r="BB11" s="103"/>
      <c r="BC11" s="103"/>
      <c r="BD11" s="103"/>
      <c r="BE11" s="103"/>
      <c r="BF11" s="103"/>
      <c r="BG11" s="103"/>
      <c r="BH11" s="103"/>
      <c r="BI11" s="103"/>
      <c r="BJ11" s="103"/>
      <c r="BK11" s="103"/>
      <c r="BL11" s="103"/>
      <c r="BM11" s="103"/>
      <c r="BN11" s="103"/>
      <c r="BO11" s="103"/>
      <c r="BP11" s="103"/>
      <c r="BQ11" s="103"/>
      <c r="BR11" s="103"/>
      <c r="BS11" s="103"/>
      <c r="BT11" s="103"/>
      <c r="BU11" s="103"/>
      <c r="BV11" s="103"/>
      <c r="BW11" s="103"/>
      <c r="BX11" s="103"/>
      <c r="BY11" s="103"/>
      <c r="BZ11" s="103"/>
      <c r="CA11" s="103"/>
      <c r="CB11" s="103"/>
      <c r="CC11" s="103"/>
      <c r="CD11" s="103"/>
      <c r="CE11" s="103"/>
    </row>
    <row r="12" spans="1:83">
      <c r="B12" s="23">
        <v>2011</v>
      </c>
      <c r="C12" s="129">
        <f>'Future Total Energy'!AL8</f>
        <v>29117</v>
      </c>
      <c r="D12" s="129">
        <f>'Future Total Energy'!AM8</f>
        <v>26080</v>
      </c>
      <c r="E12" s="530">
        <f>'Future Total Energy'!AO8</f>
        <v>118558</v>
      </c>
      <c r="F12" s="103"/>
      <c r="G12" s="141">
        <v>2011</v>
      </c>
      <c r="H12" s="133">
        <f t="shared" si="0"/>
        <v>9317.44</v>
      </c>
      <c r="I12" s="134">
        <v>0.32</v>
      </c>
      <c r="J12" s="135">
        <f t="shared" si="1"/>
        <v>0</v>
      </c>
      <c r="K12" s="136">
        <v>0</v>
      </c>
      <c r="L12" s="137">
        <f t="shared" si="2"/>
        <v>19799.560000000001</v>
      </c>
      <c r="M12" s="138">
        <v>0.68</v>
      </c>
      <c r="N12" s="142">
        <f>'History Type Share'!H10</f>
        <v>58826</v>
      </c>
      <c r="O12" s="534"/>
      <c r="P12" s="141">
        <v>2011</v>
      </c>
      <c r="Q12" s="133">
        <f t="shared" si="3"/>
        <v>8345.6</v>
      </c>
      <c r="R12" s="134">
        <v>0.32</v>
      </c>
      <c r="S12" s="135">
        <f t="shared" si="4"/>
        <v>0</v>
      </c>
      <c r="T12" s="136">
        <v>0</v>
      </c>
      <c r="U12" s="137">
        <f t="shared" si="5"/>
        <v>17734.400000000001</v>
      </c>
      <c r="V12" s="138">
        <v>0.68</v>
      </c>
      <c r="W12" s="142">
        <f t="shared" si="6"/>
        <v>58826</v>
      </c>
      <c r="X12" s="103"/>
      <c r="Y12" s="151">
        <v>2011</v>
      </c>
      <c r="Z12" s="133">
        <v>14161</v>
      </c>
      <c r="AA12" s="147">
        <v>0.12</v>
      </c>
      <c r="AB12" s="148">
        <v>4803</v>
      </c>
      <c r="AC12" s="136">
        <v>0.04</v>
      </c>
      <c r="AD12" s="149">
        <v>99594</v>
      </c>
      <c r="AE12" s="150">
        <v>0.84</v>
      </c>
      <c r="AF12" s="142">
        <f>'Future Total Energy'!AO8</f>
        <v>118558</v>
      </c>
      <c r="AG12" s="103"/>
      <c r="AH12" s="103"/>
      <c r="AI12" s="103"/>
      <c r="AJ12" s="103"/>
      <c r="AK12" s="103"/>
      <c r="AL12" s="103"/>
      <c r="AM12" s="103"/>
      <c r="AN12" s="103"/>
      <c r="AO12" s="103"/>
      <c r="AP12" s="103"/>
      <c r="AQ12" s="103"/>
      <c r="AR12" s="103"/>
      <c r="AS12" s="103"/>
      <c r="AT12" s="103"/>
      <c r="AU12" s="103"/>
      <c r="AV12" s="103"/>
      <c r="AW12" s="103"/>
      <c r="AX12" s="103"/>
      <c r="AY12" s="103"/>
    </row>
    <row r="13" spans="1:83">
      <c r="B13" s="23">
        <v>2012</v>
      </c>
      <c r="C13" s="129">
        <f>'Future Total Energy'!AL9</f>
        <v>29268</v>
      </c>
      <c r="D13" s="129">
        <f>'Future Total Energy'!AM9</f>
        <v>26648</v>
      </c>
      <c r="E13" s="530">
        <f>'Future Total Energy'!AO9</f>
        <v>120970</v>
      </c>
      <c r="G13" s="141">
        <v>2012</v>
      </c>
      <c r="H13" s="133">
        <f t="shared" si="0"/>
        <v>9073.08</v>
      </c>
      <c r="I13" s="134">
        <v>0.31</v>
      </c>
      <c r="J13" s="135">
        <f t="shared" si="1"/>
        <v>0</v>
      </c>
      <c r="K13" s="136">
        <v>0</v>
      </c>
      <c r="L13" s="137">
        <f t="shared" si="2"/>
        <v>20194.919999999998</v>
      </c>
      <c r="M13" s="138">
        <v>0.69</v>
      </c>
      <c r="N13" s="142">
        <f>'History Type Share'!H11</f>
        <v>59932</v>
      </c>
      <c r="O13" s="534"/>
      <c r="P13" s="141">
        <v>2012</v>
      </c>
      <c r="Q13" s="133">
        <f t="shared" si="3"/>
        <v>8260.8799999999992</v>
      </c>
      <c r="R13" s="134">
        <v>0.31</v>
      </c>
      <c r="S13" s="135">
        <f t="shared" si="4"/>
        <v>0</v>
      </c>
      <c r="T13" s="136">
        <v>0</v>
      </c>
      <c r="U13" s="137">
        <f t="shared" si="5"/>
        <v>18387.12</v>
      </c>
      <c r="V13" s="138">
        <v>0.69</v>
      </c>
      <c r="W13" s="142">
        <f t="shared" si="6"/>
        <v>59932</v>
      </c>
      <c r="Y13" s="151">
        <v>2012</v>
      </c>
      <c r="Z13" s="133">
        <v>14388</v>
      </c>
      <c r="AA13" s="147">
        <v>0.12</v>
      </c>
      <c r="AB13" s="148">
        <v>4769</v>
      </c>
      <c r="AC13" s="136">
        <v>0.04</v>
      </c>
      <c r="AD13" s="149">
        <v>101813</v>
      </c>
      <c r="AE13" s="150">
        <v>0.84</v>
      </c>
      <c r="AF13" s="142">
        <f>'Future Total Energy'!AO9</f>
        <v>120970</v>
      </c>
    </row>
    <row r="14" spans="1:83">
      <c r="B14" s="23">
        <v>2013</v>
      </c>
      <c r="C14" s="129">
        <f>'Future Total Energy'!AL10</f>
        <v>28407</v>
      </c>
      <c r="D14" s="129">
        <f>'Future Total Energy'!AM10</f>
        <v>26084</v>
      </c>
      <c r="E14" s="530">
        <f>'Future Total Energy'!AO10</f>
        <v>121215</v>
      </c>
      <c r="G14" s="141">
        <v>2013</v>
      </c>
      <c r="H14" s="133">
        <f t="shared" si="0"/>
        <v>9090.24</v>
      </c>
      <c r="I14" s="134">
        <v>0.32</v>
      </c>
      <c r="J14" s="135">
        <f t="shared" si="1"/>
        <v>0</v>
      </c>
      <c r="K14" s="136">
        <v>0</v>
      </c>
      <c r="L14" s="137">
        <f t="shared" si="2"/>
        <v>19316.760000000002</v>
      </c>
      <c r="M14" s="138">
        <v>0.68</v>
      </c>
      <c r="N14" s="142">
        <f>'History Type Share'!H12</f>
        <v>58394</v>
      </c>
      <c r="O14" s="534"/>
      <c r="P14" s="141">
        <v>2013</v>
      </c>
      <c r="Q14" s="133">
        <f t="shared" si="3"/>
        <v>8346.880000000001</v>
      </c>
      <c r="R14" s="134">
        <v>0.32</v>
      </c>
      <c r="S14" s="135">
        <f t="shared" si="4"/>
        <v>0</v>
      </c>
      <c r="T14" s="136">
        <v>0</v>
      </c>
      <c r="U14" s="137">
        <f t="shared" si="5"/>
        <v>17737.120000000003</v>
      </c>
      <c r="V14" s="138">
        <v>0.68</v>
      </c>
      <c r="W14" s="142">
        <f t="shared" si="6"/>
        <v>58394</v>
      </c>
      <c r="Y14" s="151">
        <v>2013</v>
      </c>
      <c r="Z14" s="133">
        <v>14709</v>
      </c>
      <c r="AA14" s="147">
        <v>0.12</v>
      </c>
      <c r="AB14" s="148">
        <v>5026</v>
      </c>
      <c r="AC14" s="136">
        <v>0.04</v>
      </c>
      <c r="AD14" s="149">
        <v>101480</v>
      </c>
      <c r="AE14" s="150">
        <v>0.84</v>
      </c>
      <c r="AF14" s="142">
        <f>'Future Total Energy'!AO10</f>
        <v>121215</v>
      </c>
    </row>
    <row r="15" spans="1:83">
      <c r="B15" s="23">
        <v>2014</v>
      </c>
      <c r="C15" s="129">
        <f>'Future Total Energy'!AL11</f>
        <v>30480</v>
      </c>
      <c r="D15" s="129">
        <f>'Future Total Energy'!AM11</f>
        <v>27392</v>
      </c>
      <c r="E15" s="530">
        <f>'Future Total Energy'!AO11</f>
        <v>122711</v>
      </c>
      <c r="G15" s="141">
        <v>2014</v>
      </c>
      <c r="H15" s="133">
        <f t="shared" si="0"/>
        <v>9144</v>
      </c>
      <c r="I15" s="134">
        <v>0.3</v>
      </c>
      <c r="J15" s="135">
        <f t="shared" si="1"/>
        <v>0</v>
      </c>
      <c r="K15" s="136">
        <v>0</v>
      </c>
      <c r="L15" s="137">
        <f t="shared" si="2"/>
        <v>21336</v>
      </c>
      <c r="M15" s="138">
        <v>0.7</v>
      </c>
      <c r="N15" s="142">
        <f>'History Type Share'!H13</f>
        <v>61910</v>
      </c>
      <c r="O15" s="534"/>
      <c r="P15" s="141">
        <v>2014</v>
      </c>
      <c r="Q15" s="133">
        <f t="shared" si="3"/>
        <v>8217.6</v>
      </c>
      <c r="R15" s="134">
        <v>0.3</v>
      </c>
      <c r="S15" s="135">
        <f t="shared" si="4"/>
        <v>0</v>
      </c>
      <c r="T15" s="136">
        <v>0</v>
      </c>
      <c r="U15" s="137">
        <f t="shared" si="5"/>
        <v>19174.399999999998</v>
      </c>
      <c r="V15" s="138">
        <v>0.7</v>
      </c>
      <c r="W15" s="142">
        <f t="shared" si="6"/>
        <v>61910</v>
      </c>
      <c r="Y15" s="151">
        <v>2014</v>
      </c>
      <c r="Z15" s="133">
        <v>14928</v>
      </c>
      <c r="AA15" s="147">
        <v>0.12</v>
      </c>
      <c r="AB15" s="148">
        <v>5156</v>
      </c>
      <c r="AC15" s="136">
        <v>0.04</v>
      </c>
      <c r="AD15" s="149">
        <v>102627</v>
      </c>
      <c r="AE15" s="150">
        <v>0.84</v>
      </c>
      <c r="AF15" s="142">
        <f>'Future Total Energy'!AO11</f>
        <v>122711</v>
      </c>
    </row>
    <row r="16" spans="1:83">
      <c r="B16" s="23">
        <v>2015</v>
      </c>
      <c r="C16" s="129">
        <f>'Future Total Energy'!AL12</f>
        <v>29125</v>
      </c>
      <c r="D16" s="129">
        <f>'Future Total Energy'!AM12</f>
        <v>26763</v>
      </c>
      <c r="E16" s="530">
        <f>'Future Total Energy'!AO12</f>
        <v>123674</v>
      </c>
      <c r="G16" s="141">
        <v>2015</v>
      </c>
      <c r="H16" s="133">
        <f t="shared" si="0"/>
        <v>8737.5</v>
      </c>
      <c r="I16" s="134">
        <v>0.3</v>
      </c>
      <c r="J16" s="135">
        <f t="shared" si="1"/>
        <v>0</v>
      </c>
      <c r="K16" s="136">
        <v>0</v>
      </c>
      <c r="L16" s="137">
        <f t="shared" si="2"/>
        <v>20387.5</v>
      </c>
      <c r="M16" s="138">
        <v>0.7</v>
      </c>
      <c r="N16" s="142">
        <f>'History Type Share'!H14</f>
        <v>60214</v>
      </c>
      <c r="O16" s="534"/>
      <c r="P16" s="141">
        <v>2015</v>
      </c>
      <c r="Q16" s="133">
        <f t="shared" si="3"/>
        <v>8028.9</v>
      </c>
      <c r="R16" s="134">
        <v>0.3</v>
      </c>
      <c r="S16" s="135">
        <f t="shared" si="4"/>
        <v>0</v>
      </c>
      <c r="T16" s="136">
        <v>0</v>
      </c>
      <c r="U16" s="137">
        <f t="shared" si="5"/>
        <v>18734.099999999999</v>
      </c>
      <c r="V16" s="138">
        <v>0.7</v>
      </c>
      <c r="W16" s="142">
        <f t="shared" si="6"/>
        <v>60214</v>
      </c>
      <c r="Y16" s="151">
        <v>2015</v>
      </c>
      <c r="Z16" s="133">
        <v>14795</v>
      </c>
      <c r="AA16" s="147">
        <v>0.12</v>
      </c>
      <c r="AB16" s="148">
        <v>5186</v>
      </c>
      <c r="AC16" s="136">
        <v>0.04</v>
      </c>
      <c r="AD16" s="149">
        <v>103693</v>
      </c>
      <c r="AE16" s="150">
        <v>0.84</v>
      </c>
      <c r="AF16" s="142">
        <f>'Future Total Energy'!AO12</f>
        <v>123674</v>
      </c>
    </row>
    <row r="17" spans="2:32">
      <c r="B17" s="23">
        <v>2016</v>
      </c>
      <c r="C17" s="129">
        <f>'Future Total Energy'!AL13</f>
        <v>30284</v>
      </c>
      <c r="D17" s="129">
        <f>'Future Total Energy'!AM13</f>
        <v>27077</v>
      </c>
      <c r="E17" s="530">
        <f>'Future Total Energy'!AO13</f>
        <v>123969</v>
      </c>
      <c r="G17" s="144">
        <v>2016</v>
      </c>
      <c r="H17" s="537">
        <f t="shared" si="0"/>
        <v>9085.1999999999989</v>
      </c>
      <c r="I17" s="538">
        <v>0.3</v>
      </c>
      <c r="J17" s="539">
        <f t="shared" si="1"/>
        <v>0</v>
      </c>
      <c r="K17" s="540">
        <v>0</v>
      </c>
      <c r="L17" s="541">
        <f t="shared" si="2"/>
        <v>21198.799999999999</v>
      </c>
      <c r="M17" s="542">
        <v>0.7</v>
      </c>
      <c r="N17" s="543">
        <f>'History Type Share'!H15</f>
        <v>61439</v>
      </c>
      <c r="O17" s="534"/>
      <c r="P17" s="144">
        <v>2016</v>
      </c>
      <c r="Q17" s="537">
        <f t="shared" si="3"/>
        <v>8123.0999999999995</v>
      </c>
      <c r="R17" s="538">
        <v>0.3</v>
      </c>
      <c r="S17" s="539">
        <f t="shared" si="4"/>
        <v>0</v>
      </c>
      <c r="T17" s="540">
        <v>0</v>
      </c>
      <c r="U17" s="541">
        <f t="shared" si="5"/>
        <v>18953.899999999998</v>
      </c>
      <c r="V17" s="542">
        <v>0.7</v>
      </c>
      <c r="W17" s="543">
        <f t="shared" si="6"/>
        <v>61439</v>
      </c>
      <c r="Y17" s="152">
        <v>2016</v>
      </c>
      <c r="Z17" s="537">
        <v>14924</v>
      </c>
      <c r="AA17" s="569">
        <v>0.12</v>
      </c>
      <c r="AB17" s="570">
        <v>5164</v>
      </c>
      <c r="AC17" s="540">
        <v>0.04</v>
      </c>
      <c r="AD17" s="571">
        <v>103881</v>
      </c>
      <c r="AE17" s="572">
        <v>0.84</v>
      </c>
      <c r="AF17" s="543">
        <f>'Future Total Energy'!AO13</f>
        <v>123969</v>
      </c>
    </row>
    <row r="18" spans="2:32">
      <c r="B18" s="23">
        <v>2017</v>
      </c>
      <c r="C18" s="129">
        <f>'Future Total Energy'!AL14</f>
        <v>30826.871717167014</v>
      </c>
      <c r="D18" s="129">
        <f>'Future Total Energy'!AM14</f>
        <v>27636.608404858052</v>
      </c>
      <c r="E18" s="544">
        <f>'Future Total Energy'!AO14</f>
        <v>124415.30940279546</v>
      </c>
      <c r="G18" s="141">
        <v>2017</v>
      </c>
      <c r="H18" s="132">
        <f>$C18*I18</f>
        <v>9063.1002848470889</v>
      </c>
      <c r="I18" s="127">
        <f>1-M18-K18</f>
        <v>0.29399999999999959</v>
      </c>
      <c r="J18" s="132">
        <f>J17</f>
        <v>0</v>
      </c>
      <c r="K18" s="127">
        <f t="shared" ref="K18:K51" si="7">J18/C18</f>
        <v>0</v>
      </c>
      <c r="L18" s="132">
        <f>$C18*M18</f>
        <v>21763.771432319925</v>
      </c>
      <c r="M18" s="127">
        <f>TREND(M$7:M$17,$G$7:$G$17,$G18)</f>
        <v>0.70600000000000041</v>
      </c>
      <c r="N18" s="142">
        <f t="shared" ref="N18:N51" si="8">C18</f>
        <v>30826.871717167014</v>
      </c>
      <c r="O18" s="534"/>
      <c r="P18" s="141">
        <v>2017</v>
      </c>
      <c r="Q18" s="132">
        <f>$W18*R18</f>
        <v>8125.1628710282566</v>
      </c>
      <c r="R18" s="127">
        <f>1-V18-T18</f>
        <v>0.29399999999999959</v>
      </c>
      <c r="S18" s="132">
        <f>S17</f>
        <v>0</v>
      </c>
      <c r="T18" s="127">
        <f t="shared" ref="T18:T51" si="9">S18/L18</f>
        <v>0</v>
      </c>
      <c r="U18" s="132">
        <f>$W18*V18</f>
        <v>19511.445533829796</v>
      </c>
      <c r="V18" s="127">
        <f>TREND(V$7:V$17,$G$7:$G$17,$G18)</f>
        <v>0.70600000000000041</v>
      </c>
      <c r="W18" s="142">
        <f>D18</f>
        <v>27636.608404858052</v>
      </c>
      <c r="Y18" s="151">
        <v>2017</v>
      </c>
      <c r="Z18" s="132">
        <f>$AF18*AA18</f>
        <v>14952.458093681416</v>
      </c>
      <c r="AA18" s="127">
        <f>TREND(AA$7:AA$17,$G$7:$G$17,$G18)</f>
        <v>0.12018181818181817</v>
      </c>
      <c r="AB18" s="132">
        <f>AF18*AC18</f>
        <v>4592.0559652304628</v>
      </c>
      <c r="AC18" s="26">
        <f>1-AA18-AE18</f>
        <v>3.6909090909091002E-2</v>
      </c>
      <c r="AD18" s="132">
        <f>$AF18*AE18</f>
        <v>104870.79534388358</v>
      </c>
      <c r="AE18" s="127">
        <f>TREND(AE$7:AE$17,$G$7:$G$17,$G18)</f>
        <v>0.84290909090909083</v>
      </c>
      <c r="AF18" s="143">
        <f>'Future Total Energy'!AO14</f>
        <v>124415.30940279546</v>
      </c>
    </row>
    <row r="19" spans="2:32">
      <c r="B19" s="23">
        <v>2018</v>
      </c>
      <c r="C19" s="129">
        <f>'Future Total Energy'!AL15</f>
        <v>31206.484686862073</v>
      </c>
      <c r="D19" s="129">
        <f>'Future Total Energy'!AM15</f>
        <v>27934.510387419203</v>
      </c>
      <c r="E19" s="544">
        <f>'Future Total Energy'!AO15</f>
        <v>124861.61880559093</v>
      </c>
      <c r="G19" s="141">
        <v>2018</v>
      </c>
      <c r="H19" s="132">
        <f>$C19*I19</f>
        <v>9044.2066528832838</v>
      </c>
      <c r="I19" s="127">
        <f t="shared" ref="I19:I51" si="10">1-M19-K19</f>
        <v>0.28981818181818131</v>
      </c>
      <c r="J19" s="132">
        <f t="shared" ref="J19:J51" si="11">J18</f>
        <v>0</v>
      </c>
      <c r="K19" s="127">
        <f t="shared" si="7"/>
        <v>0</v>
      </c>
      <c r="L19" s="132">
        <f t="shared" ref="L19:L51" si="12">$C19*M19</f>
        <v>22162.27803397879</v>
      </c>
      <c r="M19" s="127">
        <f t="shared" ref="M19:M51" si="13">TREND(M$7:M$17,$G$7:$G$17,$G19)</f>
        <v>0.71018181818181869</v>
      </c>
      <c r="N19" s="142">
        <f t="shared" si="8"/>
        <v>31206.484686862073</v>
      </c>
      <c r="O19" s="534"/>
      <c r="P19" s="141">
        <v>2018</v>
      </c>
      <c r="Q19" s="132">
        <f t="shared" ref="Q19:Q51" si="14">$W19*R19</f>
        <v>8095.9290104629326</v>
      </c>
      <c r="R19" s="127">
        <f t="shared" ref="R19:R51" si="15">1-V19-T19</f>
        <v>0.28981818181818131</v>
      </c>
      <c r="S19" s="132">
        <f t="shared" ref="S19:S51" si="16">S18</f>
        <v>0</v>
      </c>
      <c r="T19" s="127">
        <f t="shared" si="9"/>
        <v>0</v>
      </c>
      <c r="U19" s="132">
        <f t="shared" ref="U19:U51" si="17">$W19*V19</f>
        <v>19838.58137695627</v>
      </c>
      <c r="V19" s="127">
        <f t="shared" ref="V19:V51" si="18">TREND(V$7:V$17,$G$7:$G$17,$G19)</f>
        <v>0.71018181818181869</v>
      </c>
      <c r="W19" s="142">
        <f t="shared" ref="W19:W51" si="19">D19</f>
        <v>27934.510387419203</v>
      </c>
      <c r="Y19" s="151">
        <v>2018</v>
      </c>
      <c r="Z19" s="132">
        <f t="shared" ref="Z19:Z51" si="20">$AF19*AA19</f>
        <v>15028.79848169113</v>
      </c>
      <c r="AA19" s="127">
        <f t="shared" ref="AA19:AA51" si="21">TREND(AA$7:AA$17,$G$7:$G$17,$G19)</f>
        <v>0.12036363636363639</v>
      </c>
      <c r="AB19" s="132">
        <f t="shared" ref="AB19:AB51" si="22">AF19*AC19</f>
        <v>4506.3693332563098</v>
      </c>
      <c r="AC19" s="26">
        <f t="shared" ref="AC19:AC51" si="23">1-AA19-AE19</f>
        <v>3.6090909090908951E-2</v>
      </c>
      <c r="AD19" s="132">
        <f t="shared" ref="AD19:AD51" si="24">$AF19*AE19</f>
        <v>105326.45099064348</v>
      </c>
      <c r="AE19" s="127">
        <f t="shared" ref="AE19:AE51" si="25">TREND(AE$7:AE$17,$G$7:$G$17,$G19)</f>
        <v>0.8435454545454546</v>
      </c>
      <c r="AF19" s="143">
        <f>'Future Total Energy'!AO15</f>
        <v>124861.61880559093</v>
      </c>
    </row>
    <row r="20" spans="2:32">
      <c r="B20" s="23">
        <v>2019</v>
      </c>
      <c r="C20" s="129">
        <f>'Future Total Energy'!AL16</f>
        <v>31555.794032156769</v>
      </c>
      <c r="D20" s="129">
        <f>'Future Total Energy'!AM16</f>
        <v>28197.964734378009</v>
      </c>
      <c r="E20" s="544">
        <f>'Future Total Energy'!AO16</f>
        <v>125307.92820838625</v>
      </c>
      <c r="G20" s="141">
        <v>2019</v>
      </c>
      <c r="H20" s="132">
        <f t="shared" ref="H20:H51" si="26">$C20*I20</f>
        <v>9013.4822590033054</v>
      </c>
      <c r="I20" s="127">
        <f t="shared" si="10"/>
        <v>0.28563636363636302</v>
      </c>
      <c r="J20" s="132">
        <f t="shared" si="11"/>
        <v>0</v>
      </c>
      <c r="K20" s="127">
        <f t="shared" si="7"/>
        <v>0</v>
      </c>
      <c r="L20" s="132">
        <f t="shared" si="12"/>
        <v>22542.311773153466</v>
      </c>
      <c r="M20" s="127">
        <f t="shared" si="13"/>
        <v>0.71436363636363698</v>
      </c>
      <c r="N20" s="142">
        <f t="shared" si="8"/>
        <v>31555.794032156769</v>
      </c>
      <c r="O20" s="534"/>
      <c r="P20" s="141">
        <v>2019</v>
      </c>
      <c r="Q20" s="132">
        <f t="shared" si="14"/>
        <v>8054.3641086741372</v>
      </c>
      <c r="R20" s="127">
        <f t="shared" si="15"/>
        <v>0.28563636363636302</v>
      </c>
      <c r="S20" s="132">
        <f t="shared" si="16"/>
        <v>0</v>
      </c>
      <c r="T20" s="127">
        <f t="shared" si="9"/>
        <v>0</v>
      </c>
      <c r="U20" s="132">
        <f t="shared" si="17"/>
        <v>20143.600625703872</v>
      </c>
      <c r="V20" s="127">
        <f t="shared" si="18"/>
        <v>0.71436363636363698</v>
      </c>
      <c r="W20" s="142">
        <f t="shared" si="19"/>
        <v>28197.964734378009</v>
      </c>
      <c r="Y20" s="151">
        <v>2019</v>
      </c>
      <c r="Z20" s="132">
        <f t="shared" si="20"/>
        <v>15105.301164029108</v>
      </c>
      <c r="AA20" s="127">
        <f t="shared" si="21"/>
        <v>0.12054545454545457</v>
      </c>
      <c r="AB20" s="132">
        <f t="shared" si="22"/>
        <v>4419.9523768049057</v>
      </c>
      <c r="AC20" s="26">
        <f t="shared" si="23"/>
        <v>3.5272727272727344E-2</v>
      </c>
      <c r="AD20" s="132">
        <f t="shared" si="24"/>
        <v>105782.67466755224</v>
      </c>
      <c r="AE20" s="127">
        <f t="shared" si="25"/>
        <v>0.84418181818181814</v>
      </c>
      <c r="AF20" s="143">
        <f>'Future Total Energy'!AO16</f>
        <v>125307.92820838625</v>
      </c>
    </row>
    <row r="21" spans="2:32">
      <c r="B21" s="23">
        <v>2020</v>
      </c>
      <c r="C21" s="129">
        <f>'Future Total Energy'!AL17</f>
        <v>31923.365836592031</v>
      </c>
      <c r="D21" s="129">
        <f>'Future Total Energy'!AM17</f>
        <v>28470.382375214707</v>
      </c>
      <c r="E21" s="544">
        <f>'Future Total Energy'!AO17</f>
        <v>125754.23761118173</v>
      </c>
      <c r="G21" s="141">
        <v>2020</v>
      </c>
      <c r="H21" s="132">
        <f t="shared" si="26"/>
        <v>8984.9764209171517</v>
      </c>
      <c r="I21" s="127">
        <f t="shared" si="10"/>
        <v>0.28145454545454474</v>
      </c>
      <c r="J21" s="132">
        <f t="shared" si="11"/>
        <v>0</v>
      </c>
      <c r="K21" s="127">
        <f t="shared" si="7"/>
        <v>0</v>
      </c>
      <c r="L21" s="132">
        <f t="shared" si="12"/>
        <v>22938.389415674879</v>
      </c>
      <c r="M21" s="127">
        <f t="shared" si="13"/>
        <v>0.71854545454545526</v>
      </c>
      <c r="N21" s="142">
        <f t="shared" si="8"/>
        <v>31923.365836592031</v>
      </c>
      <c r="O21" s="534"/>
      <c r="P21" s="141">
        <v>2020</v>
      </c>
      <c r="Q21" s="132">
        <f t="shared" si="14"/>
        <v>8013.1185303331367</v>
      </c>
      <c r="R21" s="127">
        <f t="shared" si="15"/>
        <v>0.28145454545454474</v>
      </c>
      <c r="S21" s="132">
        <f t="shared" si="16"/>
        <v>0</v>
      </c>
      <c r="T21" s="127">
        <f t="shared" si="9"/>
        <v>0</v>
      </c>
      <c r="U21" s="132">
        <f t="shared" si="17"/>
        <v>20457.263844881571</v>
      </c>
      <c r="V21" s="127">
        <f t="shared" si="18"/>
        <v>0.71854545454545526</v>
      </c>
      <c r="W21" s="142">
        <f t="shared" si="19"/>
        <v>28470.382375214707</v>
      </c>
      <c r="Y21" s="151">
        <v>2020</v>
      </c>
      <c r="Z21" s="132">
        <f t="shared" si="20"/>
        <v>15181.966140695395</v>
      </c>
      <c r="AA21" s="127">
        <f t="shared" si="21"/>
        <v>0.12072727272727274</v>
      </c>
      <c r="AB21" s="132">
        <f t="shared" si="22"/>
        <v>4332.8050958761505</v>
      </c>
      <c r="AC21" s="26">
        <f t="shared" si="23"/>
        <v>3.4454545454545293E-2</v>
      </c>
      <c r="AD21" s="132">
        <f t="shared" si="24"/>
        <v>106239.46637461017</v>
      </c>
      <c r="AE21" s="127">
        <f t="shared" si="25"/>
        <v>0.84481818181818191</v>
      </c>
      <c r="AF21" s="143">
        <f>'Future Total Energy'!AO17</f>
        <v>125754.23761118173</v>
      </c>
    </row>
    <row r="22" spans="2:32">
      <c r="B22" s="23">
        <v>2021</v>
      </c>
      <c r="C22" s="129">
        <f>'Future Total Energy'!AL18</f>
        <v>32270.790287957265</v>
      </c>
      <c r="D22" s="129">
        <f>'Future Total Energy'!AM18</f>
        <v>28717.436243150252</v>
      </c>
      <c r="E22" s="544">
        <f>'Future Total Energy'!AO18</f>
        <v>126725.61689961882</v>
      </c>
      <c r="G22" s="141">
        <v>2021</v>
      </c>
      <c r="H22" s="132">
        <f t="shared" si="26"/>
        <v>8947.8100343881233</v>
      </c>
      <c r="I22" s="127">
        <f t="shared" si="10"/>
        <v>0.27727272727272645</v>
      </c>
      <c r="J22" s="132">
        <f t="shared" si="11"/>
        <v>0</v>
      </c>
      <c r="K22" s="127">
        <f t="shared" si="7"/>
        <v>0</v>
      </c>
      <c r="L22" s="132">
        <f t="shared" si="12"/>
        <v>23322.980253569141</v>
      </c>
      <c r="M22" s="127">
        <f t="shared" si="13"/>
        <v>0.72272727272727355</v>
      </c>
      <c r="N22" s="142">
        <f t="shared" si="8"/>
        <v>32270.790287957265</v>
      </c>
      <c r="O22" s="534"/>
      <c r="P22" s="141">
        <v>2021</v>
      </c>
      <c r="Q22" s="132">
        <f t="shared" si="14"/>
        <v>7962.56186741891</v>
      </c>
      <c r="R22" s="127">
        <f t="shared" si="15"/>
        <v>0.27727272727272645</v>
      </c>
      <c r="S22" s="132">
        <f t="shared" si="16"/>
        <v>0</v>
      </c>
      <c r="T22" s="127">
        <f t="shared" si="9"/>
        <v>0</v>
      </c>
      <c r="U22" s="132">
        <f t="shared" si="17"/>
        <v>20754.874375731342</v>
      </c>
      <c r="V22" s="127">
        <f t="shared" si="18"/>
        <v>0.72272727272727355</v>
      </c>
      <c r="W22" s="142">
        <f t="shared" si="19"/>
        <v>28717.436243150252</v>
      </c>
      <c r="Y22" s="151">
        <v>2021</v>
      </c>
      <c r="Z22" s="132">
        <f t="shared" si="20"/>
        <v>15322.279134226639</v>
      </c>
      <c r="AA22" s="127">
        <f t="shared" si="21"/>
        <v>0.12090909090909091</v>
      </c>
      <c r="AB22" s="132">
        <f t="shared" si="22"/>
        <v>4262.5889320780943</v>
      </c>
      <c r="AC22" s="26">
        <f t="shared" si="23"/>
        <v>3.3636363636363686E-2</v>
      </c>
      <c r="AD22" s="132">
        <f t="shared" si="24"/>
        <v>107140.74883331409</v>
      </c>
      <c r="AE22" s="127">
        <f t="shared" si="25"/>
        <v>0.84545454545454546</v>
      </c>
      <c r="AF22" s="143">
        <f>'Future Total Energy'!AO18</f>
        <v>126725.61689961882</v>
      </c>
    </row>
    <row r="23" spans="2:32">
      <c r="B23" s="23">
        <v>2022</v>
      </c>
      <c r="C23" s="129">
        <f>'Future Total Energy'!AL19</f>
        <v>32615.658380992183</v>
      </c>
      <c r="D23" s="129">
        <f>'Future Total Energy'!AM19</f>
        <v>28954.825146667703</v>
      </c>
      <c r="E23" s="544">
        <f>'Future Total Energy'!AO19</f>
        <v>127696.99618805594</v>
      </c>
      <c r="G23" s="141">
        <v>2022</v>
      </c>
      <c r="H23" s="132">
        <f t="shared" si="26"/>
        <v>8907.0397978636538</v>
      </c>
      <c r="I23" s="127">
        <f t="shared" si="10"/>
        <v>0.27309090909090816</v>
      </c>
      <c r="J23" s="132">
        <f t="shared" si="11"/>
        <v>0</v>
      </c>
      <c r="K23" s="127">
        <f t="shared" si="7"/>
        <v>0</v>
      </c>
      <c r="L23" s="132">
        <f t="shared" si="12"/>
        <v>23708.618583128529</v>
      </c>
      <c r="M23" s="127">
        <f t="shared" si="13"/>
        <v>0.72690909090909184</v>
      </c>
      <c r="N23" s="142">
        <f t="shared" si="8"/>
        <v>32615.658380992183</v>
      </c>
      <c r="O23" s="534"/>
      <c r="P23" s="141">
        <v>2022</v>
      </c>
      <c r="Q23" s="132">
        <f t="shared" si="14"/>
        <v>7907.2995218717715</v>
      </c>
      <c r="R23" s="127">
        <f t="shared" si="15"/>
        <v>0.27309090909090816</v>
      </c>
      <c r="S23" s="132">
        <f t="shared" si="16"/>
        <v>0</v>
      </c>
      <c r="T23" s="127">
        <f t="shared" si="9"/>
        <v>0</v>
      </c>
      <c r="U23" s="132">
        <f t="shared" si="17"/>
        <v>21047.525624795933</v>
      </c>
      <c r="V23" s="127">
        <f t="shared" si="18"/>
        <v>0.72690909090909184</v>
      </c>
      <c r="W23" s="142">
        <f t="shared" si="19"/>
        <v>28954.825146667703</v>
      </c>
      <c r="Y23" s="151">
        <v>2022</v>
      </c>
      <c r="Z23" s="132">
        <f t="shared" si="20"/>
        <v>15462.945356590046</v>
      </c>
      <c r="AA23" s="127">
        <f t="shared" si="21"/>
        <v>0.12109090909090908</v>
      </c>
      <c r="AB23" s="132">
        <f t="shared" si="22"/>
        <v>4190.7832385352958</v>
      </c>
      <c r="AC23" s="26">
        <f t="shared" si="23"/>
        <v>3.2818181818181857E-2</v>
      </c>
      <c r="AD23" s="132">
        <f t="shared" si="24"/>
        <v>108043.2675929306</v>
      </c>
      <c r="AE23" s="127">
        <f t="shared" si="25"/>
        <v>0.846090909090909</v>
      </c>
      <c r="AF23" s="143">
        <f>'Future Total Energy'!AO19</f>
        <v>127696.99618805594</v>
      </c>
    </row>
    <row r="24" spans="2:32">
      <c r="B24" s="23">
        <v>2023</v>
      </c>
      <c r="C24" s="129">
        <f>'Future Total Energy'!AL20</f>
        <v>32955.328967069116</v>
      </c>
      <c r="D24" s="129">
        <f>'Future Total Energy'!AM20</f>
        <v>29180.196371485119</v>
      </c>
      <c r="E24" s="544">
        <f>'Future Total Energy'!AO20</f>
        <v>128668.37547649305</v>
      </c>
      <c r="G24" s="141">
        <v>2023</v>
      </c>
      <c r="H24" s="132">
        <f t="shared" si="26"/>
        <v>8861.9875531445523</v>
      </c>
      <c r="I24" s="127">
        <f t="shared" si="10"/>
        <v>0.26890909090908988</v>
      </c>
      <c r="J24" s="132">
        <f t="shared" si="11"/>
        <v>0</v>
      </c>
      <c r="K24" s="127">
        <f t="shared" si="7"/>
        <v>0</v>
      </c>
      <c r="L24" s="132">
        <f t="shared" si="12"/>
        <v>24093.341413924565</v>
      </c>
      <c r="M24" s="127">
        <f t="shared" si="13"/>
        <v>0.73109090909091012</v>
      </c>
      <c r="N24" s="142">
        <f t="shared" si="8"/>
        <v>32955.328967069116</v>
      </c>
      <c r="O24" s="534"/>
      <c r="P24" s="141">
        <v>2023</v>
      </c>
      <c r="Q24" s="132">
        <f t="shared" si="14"/>
        <v>7846.8200788047861</v>
      </c>
      <c r="R24" s="127">
        <f t="shared" si="15"/>
        <v>0.26890909090908988</v>
      </c>
      <c r="S24" s="132">
        <f t="shared" si="16"/>
        <v>0</v>
      </c>
      <c r="T24" s="127">
        <f t="shared" si="9"/>
        <v>0</v>
      </c>
      <c r="U24" s="132">
        <f t="shared" si="17"/>
        <v>21333.376292680332</v>
      </c>
      <c r="V24" s="127">
        <f t="shared" si="18"/>
        <v>0.73109090909091012</v>
      </c>
      <c r="W24" s="142">
        <f t="shared" si="19"/>
        <v>29180.196371485119</v>
      </c>
      <c r="Y24" s="151">
        <v>2023</v>
      </c>
      <c r="Z24" s="132">
        <f t="shared" si="20"/>
        <v>15603.964807785616</v>
      </c>
      <c r="AA24" s="127">
        <f t="shared" si="21"/>
        <v>0.12127272727272731</v>
      </c>
      <c r="AB24" s="132">
        <f t="shared" si="22"/>
        <v>4117.3880152477668</v>
      </c>
      <c r="AC24" s="26">
        <f t="shared" si="23"/>
        <v>3.1999999999999917E-2</v>
      </c>
      <c r="AD24" s="132">
        <f t="shared" si="24"/>
        <v>108947.02265345966</v>
      </c>
      <c r="AE24" s="127">
        <f t="shared" si="25"/>
        <v>0.84672727272727277</v>
      </c>
      <c r="AF24" s="143">
        <f>'Future Total Energy'!AO20</f>
        <v>128668.37547649305</v>
      </c>
    </row>
    <row r="25" spans="2:32">
      <c r="B25" s="23">
        <v>2024</v>
      </c>
      <c r="C25" s="129">
        <f>'Future Total Energy'!AL21</f>
        <v>33276.381015512867</v>
      </c>
      <c r="D25" s="129">
        <f>'Future Total Energy'!AM21</f>
        <v>29381.711246799878</v>
      </c>
      <c r="E25" s="544">
        <f>'Future Total Energy'!AO21</f>
        <v>129639.75476493019</v>
      </c>
      <c r="G25" s="141">
        <v>2024</v>
      </c>
      <c r="H25" s="132">
        <f t="shared" si="26"/>
        <v>8809.1655924702773</v>
      </c>
      <c r="I25" s="127">
        <f t="shared" si="10"/>
        <v>0.26472727272727159</v>
      </c>
      <c r="J25" s="132">
        <f t="shared" si="11"/>
        <v>0</v>
      </c>
      <c r="K25" s="127">
        <f t="shared" si="7"/>
        <v>0</v>
      </c>
      <c r="L25" s="132">
        <f t="shared" si="12"/>
        <v>24467.215423042588</v>
      </c>
      <c r="M25" s="127">
        <f t="shared" si="13"/>
        <v>0.73527272727272841</v>
      </c>
      <c r="N25" s="142">
        <f t="shared" si="8"/>
        <v>33276.381015512867</v>
      </c>
      <c r="O25" s="534"/>
      <c r="P25" s="141">
        <v>2024</v>
      </c>
      <c r="Q25" s="132">
        <f t="shared" si="14"/>
        <v>7778.1402864255342</v>
      </c>
      <c r="R25" s="127">
        <f t="shared" si="15"/>
        <v>0.26472727272727159</v>
      </c>
      <c r="S25" s="132">
        <f t="shared" si="16"/>
        <v>0</v>
      </c>
      <c r="T25" s="127">
        <f t="shared" si="9"/>
        <v>0</v>
      </c>
      <c r="U25" s="132">
        <f t="shared" si="17"/>
        <v>21603.570960374345</v>
      </c>
      <c r="V25" s="127">
        <f t="shared" si="18"/>
        <v>0.73527272727272841</v>
      </c>
      <c r="W25" s="142">
        <f t="shared" si="19"/>
        <v>29381.711246799878</v>
      </c>
      <c r="Y25" s="151">
        <v>2024</v>
      </c>
      <c r="Z25" s="132">
        <f t="shared" si="20"/>
        <v>15745.337487813342</v>
      </c>
      <c r="AA25" s="127">
        <f t="shared" si="21"/>
        <v>0.12145454545454548</v>
      </c>
      <c r="AB25" s="132">
        <f t="shared" si="22"/>
        <v>4042.4032622155528</v>
      </c>
      <c r="AC25" s="26">
        <f t="shared" si="23"/>
        <v>3.1181818181818199E-2</v>
      </c>
      <c r="AD25" s="132">
        <f t="shared" si="24"/>
        <v>109852.01401490129</v>
      </c>
      <c r="AE25" s="127">
        <f t="shared" si="25"/>
        <v>0.84736363636363632</v>
      </c>
      <c r="AF25" s="143">
        <f>'Future Total Energy'!AO21</f>
        <v>129639.75476493019</v>
      </c>
    </row>
    <row r="26" spans="2:32">
      <c r="B26" s="23">
        <v>2025</v>
      </c>
      <c r="C26" s="129">
        <f>'Future Total Energy'!AL22</f>
        <v>33587.166154696642</v>
      </c>
      <c r="D26" s="129">
        <f>'Future Total Energy'!AM22</f>
        <v>29566.848743714698</v>
      </c>
      <c r="E26" s="544">
        <f>'Future Total Energy'!AO22</f>
        <v>130611.13405336729</v>
      </c>
      <c r="G26" s="141">
        <v>2025</v>
      </c>
      <c r="H26" s="132">
        <f t="shared" si="26"/>
        <v>8750.9834726691606</v>
      </c>
      <c r="I26" s="127">
        <f t="shared" si="10"/>
        <v>0.26054545454545508</v>
      </c>
      <c r="J26" s="132">
        <f t="shared" si="11"/>
        <v>0</v>
      </c>
      <c r="K26" s="127">
        <f t="shared" si="7"/>
        <v>0</v>
      </c>
      <c r="L26" s="132">
        <f t="shared" si="12"/>
        <v>24836.18268202748</v>
      </c>
      <c r="M26" s="127">
        <f t="shared" si="13"/>
        <v>0.73945454545454492</v>
      </c>
      <c r="N26" s="142">
        <f t="shared" si="8"/>
        <v>33587.166154696642</v>
      </c>
      <c r="O26" s="534"/>
      <c r="P26" s="141">
        <v>2025</v>
      </c>
      <c r="Q26" s="132">
        <f t="shared" si="14"/>
        <v>7703.5080454078634</v>
      </c>
      <c r="R26" s="127">
        <f t="shared" si="15"/>
        <v>0.26054545454545508</v>
      </c>
      <c r="S26" s="132">
        <f t="shared" si="16"/>
        <v>0</v>
      </c>
      <c r="T26" s="127">
        <f t="shared" si="9"/>
        <v>0</v>
      </c>
      <c r="U26" s="132">
        <f t="shared" si="17"/>
        <v>21863.340698306834</v>
      </c>
      <c r="V26" s="127">
        <f t="shared" si="18"/>
        <v>0.73945454545454492</v>
      </c>
      <c r="W26" s="142">
        <f t="shared" si="19"/>
        <v>29566.848743714698</v>
      </c>
      <c r="Y26" s="151">
        <v>2025</v>
      </c>
      <c r="Z26" s="132">
        <f t="shared" si="20"/>
        <v>15887.063396673224</v>
      </c>
      <c r="AA26" s="127">
        <f t="shared" si="21"/>
        <v>0.12163636363636365</v>
      </c>
      <c r="AB26" s="132">
        <f t="shared" si="22"/>
        <v>3965.8289794385933</v>
      </c>
      <c r="AC26" s="26">
        <f t="shared" si="23"/>
        <v>3.0363636363636259E-2</v>
      </c>
      <c r="AD26" s="132">
        <f t="shared" si="24"/>
        <v>110758.24167725547</v>
      </c>
      <c r="AE26" s="127">
        <f t="shared" si="25"/>
        <v>0.84800000000000009</v>
      </c>
      <c r="AF26" s="143">
        <f>'Future Total Energy'!AO22</f>
        <v>130611.13405336729</v>
      </c>
    </row>
    <row r="27" spans="2:32">
      <c r="B27" s="23">
        <v>2026</v>
      </c>
      <c r="C27" s="129">
        <f>'Future Total Energy'!AL23</f>
        <v>33882.754058530241</v>
      </c>
      <c r="D27" s="129">
        <f>'Future Total Energy'!AM23</f>
        <v>29731.36033726293</v>
      </c>
      <c r="E27" s="544">
        <f>'Future Total Energy'!AO23</f>
        <v>131582.51334180441</v>
      </c>
      <c r="G27" s="141">
        <v>2026</v>
      </c>
      <c r="H27" s="132">
        <f t="shared" si="26"/>
        <v>8686.3060404595853</v>
      </c>
      <c r="I27" s="127">
        <f t="shared" si="10"/>
        <v>0.25636363636363679</v>
      </c>
      <c r="J27" s="132">
        <f t="shared" si="11"/>
        <v>0</v>
      </c>
      <c r="K27" s="127">
        <f t="shared" si="7"/>
        <v>0</v>
      </c>
      <c r="L27" s="132">
        <f t="shared" si="12"/>
        <v>25196.448018070656</v>
      </c>
      <c r="M27" s="127">
        <f t="shared" si="13"/>
        <v>0.74363636363636321</v>
      </c>
      <c r="N27" s="142">
        <f t="shared" si="8"/>
        <v>33882.754058530241</v>
      </c>
      <c r="O27" s="534"/>
      <c r="P27" s="141">
        <v>2026</v>
      </c>
      <c r="Q27" s="132">
        <f t="shared" si="14"/>
        <v>7622.039650098327</v>
      </c>
      <c r="R27" s="127">
        <f t="shared" si="15"/>
        <v>0.25636363636363679</v>
      </c>
      <c r="S27" s="132">
        <f t="shared" si="16"/>
        <v>0</v>
      </c>
      <c r="T27" s="127">
        <f t="shared" si="9"/>
        <v>0</v>
      </c>
      <c r="U27" s="132">
        <f t="shared" si="17"/>
        <v>22109.320687164603</v>
      </c>
      <c r="V27" s="127">
        <f t="shared" si="18"/>
        <v>0.74363636363636321</v>
      </c>
      <c r="W27" s="142">
        <f t="shared" si="19"/>
        <v>29731.36033726293</v>
      </c>
      <c r="Y27" s="151">
        <v>2026</v>
      </c>
      <c r="Z27" s="132">
        <f t="shared" si="20"/>
        <v>16029.142534365266</v>
      </c>
      <c r="AA27" s="127">
        <f t="shared" si="21"/>
        <v>0.12181818181818183</v>
      </c>
      <c r="AB27" s="132">
        <f t="shared" si="22"/>
        <v>3887.6651669169482</v>
      </c>
      <c r="AC27" s="26">
        <f t="shared" si="23"/>
        <v>2.9545454545454541E-2</v>
      </c>
      <c r="AD27" s="132">
        <f t="shared" si="24"/>
        <v>111665.7056405222</v>
      </c>
      <c r="AE27" s="127">
        <f t="shared" si="25"/>
        <v>0.84863636363636363</v>
      </c>
      <c r="AF27" s="143">
        <f>'Future Total Energy'!AO23</f>
        <v>131582.51334180441</v>
      </c>
    </row>
    <row r="28" spans="2:32">
      <c r="B28" s="23">
        <v>2027</v>
      </c>
      <c r="C28" s="129">
        <f>'Future Total Energy'!AL24</f>
        <v>34170.30950094224</v>
      </c>
      <c r="D28" s="129">
        <f>'Future Total Energy'!AM24</f>
        <v>29881.645867425723</v>
      </c>
      <c r="E28" s="544">
        <f>'Future Total Energy'!AO24</f>
        <v>132553.89263024152</v>
      </c>
      <c r="G28" s="141">
        <v>2027</v>
      </c>
      <c r="H28" s="132">
        <f t="shared" si="26"/>
        <v>8617.1307777830807</v>
      </c>
      <c r="I28" s="127">
        <f t="shared" si="10"/>
        <v>0.25218181818181851</v>
      </c>
      <c r="J28" s="132">
        <f t="shared" si="11"/>
        <v>0</v>
      </c>
      <c r="K28" s="127">
        <f t="shared" si="7"/>
        <v>0</v>
      </c>
      <c r="L28" s="132">
        <f t="shared" si="12"/>
        <v>25553.178723159159</v>
      </c>
      <c r="M28" s="127">
        <f t="shared" si="13"/>
        <v>0.74781818181818149</v>
      </c>
      <c r="N28" s="142">
        <f t="shared" si="8"/>
        <v>34170.30950094224</v>
      </c>
      <c r="O28" s="534"/>
      <c r="P28" s="141">
        <v>2027</v>
      </c>
      <c r="Q28" s="132">
        <f t="shared" si="14"/>
        <v>7535.607785112642</v>
      </c>
      <c r="R28" s="127">
        <f t="shared" si="15"/>
        <v>0.25218181818181851</v>
      </c>
      <c r="S28" s="132">
        <f t="shared" si="16"/>
        <v>0</v>
      </c>
      <c r="T28" s="127">
        <f t="shared" si="9"/>
        <v>0</v>
      </c>
      <c r="U28" s="132">
        <f t="shared" si="17"/>
        <v>22346.03808231308</v>
      </c>
      <c r="V28" s="127">
        <f t="shared" si="18"/>
        <v>0.74781818181818149</v>
      </c>
      <c r="W28" s="142">
        <f t="shared" si="19"/>
        <v>29881.645867425723</v>
      </c>
      <c r="Y28" s="151">
        <v>2027</v>
      </c>
      <c r="Z28" s="132">
        <f t="shared" si="20"/>
        <v>16171.574900889465</v>
      </c>
      <c r="AA28" s="127">
        <f t="shared" si="21"/>
        <v>0.122</v>
      </c>
      <c r="AB28" s="132">
        <f t="shared" si="22"/>
        <v>3807.9118246505873</v>
      </c>
      <c r="AC28" s="26">
        <f t="shared" si="23"/>
        <v>2.8727272727272823E-2</v>
      </c>
      <c r="AD28" s="132">
        <f t="shared" si="24"/>
        <v>112574.40590470147</v>
      </c>
      <c r="AE28" s="127">
        <f t="shared" si="25"/>
        <v>0.84927272727272718</v>
      </c>
      <c r="AF28" s="143">
        <f>'Future Total Energy'!AO24</f>
        <v>132553.89263024152</v>
      </c>
    </row>
    <row r="29" spans="2:32">
      <c r="B29" s="23">
        <v>2028</v>
      </c>
      <c r="C29" s="129">
        <f>'Future Total Energy'!AL25</f>
        <v>34464.100987374775</v>
      </c>
      <c r="D29" s="129">
        <f>'Future Total Energy'!AM25</f>
        <v>30030.221417619105</v>
      </c>
      <c r="E29" s="544">
        <f>'Future Total Energy'!AO25</f>
        <v>133525.27191867863</v>
      </c>
      <c r="G29" s="141">
        <v>2028</v>
      </c>
      <c r="H29" s="132">
        <f t="shared" si="26"/>
        <v>8547.0970448689513</v>
      </c>
      <c r="I29" s="127">
        <f t="shared" si="10"/>
        <v>0.24800000000000022</v>
      </c>
      <c r="J29" s="132">
        <f t="shared" si="11"/>
        <v>0</v>
      </c>
      <c r="K29" s="127">
        <f t="shared" si="7"/>
        <v>0</v>
      </c>
      <c r="L29" s="132">
        <f t="shared" si="12"/>
        <v>25917.003942505824</v>
      </c>
      <c r="M29" s="127">
        <f t="shared" si="13"/>
        <v>0.75199999999999978</v>
      </c>
      <c r="N29" s="142">
        <f t="shared" si="8"/>
        <v>34464.100987374775</v>
      </c>
      <c r="O29" s="534"/>
      <c r="P29" s="141">
        <v>2028</v>
      </c>
      <c r="Q29" s="132">
        <f t="shared" si="14"/>
        <v>7447.4949115695445</v>
      </c>
      <c r="R29" s="127">
        <f t="shared" si="15"/>
        <v>0.24800000000000022</v>
      </c>
      <c r="S29" s="132">
        <f t="shared" si="16"/>
        <v>0</v>
      </c>
      <c r="T29" s="127">
        <f t="shared" si="9"/>
        <v>0</v>
      </c>
      <c r="U29" s="132">
        <f t="shared" si="17"/>
        <v>22582.726506049559</v>
      </c>
      <c r="V29" s="127">
        <f t="shared" si="18"/>
        <v>0.75199999999999978</v>
      </c>
      <c r="W29" s="142">
        <f t="shared" si="19"/>
        <v>30030.221417619105</v>
      </c>
      <c r="Y29" s="151">
        <v>2028</v>
      </c>
      <c r="Z29" s="132">
        <f t="shared" si="20"/>
        <v>16314.360496245823</v>
      </c>
      <c r="AA29" s="127">
        <f t="shared" si="21"/>
        <v>0.12218181818181817</v>
      </c>
      <c r="AB29" s="132">
        <f t="shared" si="22"/>
        <v>3726.5689526394817</v>
      </c>
      <c r="AC29" s="26">
        <f t="shared" si="23"/>
        <v>2.7909090909090883E-2</v>
      </c>
      <c r="AD29" s="132">
        <f t="shared" si="24"/>
        <v>113484.34246979332</v>
      </c>
      <c r="AE29" s="127">
        <f t="shared" si="25"/>
        <v>0.84990909090909095</v>
      </c>
      <c r="AF29" s="143">
        <f>'Future Total Energy'!AO25</f>
        <v>133525.27191867863</v>
      </c>
    </row>
    <row r="30" spans="2:32">
      <c r="B30" s="23">
        <v>2029</v>
      </c>
      <c r="C30" s="129">
        <f>'Future Total Energy'!AL26</f>
        <v>34757.591197806396</v>
      </c>
      <c r="D30" s="129">
        <f>'Future Total Energy'!AM26</f>
        <v>30171.363570811609</v>
      </c>
      <c r="E30" s="544">
        <f>'Future Total Energy'!AO26</f>
        <v>134496.65120711573</v>
      </c>
      <c r="G30" s="141">
        <v>2029</v>
      </c>
      <c r="H30" s="132">
        <f t="shared" si="26"/>
        <v>8474.5326902287998</v>
      </c>
      <c r="I30" s="127">
        <f t="shared" si="10"/>
        <v>0.24381818181818193</v>
      </c>
      <c r="J30" s="132">
        <f t="shared" si="11"/>
        <v>0</v>
      </c>
      <c r="K30" s="127">
        <f t="shared" si="7"/>
        <v>0</v>
      </c>
      <c r="L30" s="132">
        <f t="shared" si="12"/>
        <v>26283.058507577596</v>
      </c>
      <c r="M30" s="127">
        <f t="shared" si="13"/>
        <v>0.75618181818181807</v>
      </c>
      <c r="N30" s="142">
        <f t="shared" si="8"/>
        <v>34757.591197806396</v>
      </c>
      <c r="O30" s="534"/>
      <c r="P30" s="141">
        <v>2029</v>
      </c>
      <c r="Q30" s="132">
        <f t="shared" si="14"/>
        <v>7356.3270088106156</v>
      </c>
      <c r="R30" s="127">
        <f t="shared" si="15"/>
        <v>0.24381818181818193</v>
      </c>
      <c r="S30" s="132">
        <f t="shared" si="16"/>
        <v>0</v>
      </c>
      <c r="T30" s="127">
        <f t="shared" si="9"/>
        <v>0</v>
      </c>
      <c r="U30" s="132">
        <f t="shared" si="17"/>
        <v>22815.036562000994</v>
      </c>
      <c r="V30" s="127">
        <f t="shared" si="18"/>
        <v>0.75618181818181807</v>
      </c>
      <c r="W30" s="142">
        <f t="shared" si="19"/>
        <v>30171.363570811609</v>
      </c>
      <c r="Y30" s="151">
        <v>2029</v>
      </c>
      <c r="Z30" s="132">
        <f t="shared" si="20"/>
        <v>16457.499320434348</v>
      </c>
      <c r="AA30" s="127">
        <f t="shared" si="21"/>
        <v>0.1223636363636364</v>
      </c>
      <c r="AB30" s="132">
        <f t="shared" si="22"/>
        <v>3643.6365508836757</v>
      </c>
      <c r="AC30" s="26">
        <f t="shared" si="23"/>
        <v>2.7090909090909054E-2</v>
      </c>
      <c r="AD30" s="132">
        <f t="shared" si="24"/>
        <v>114395.5153357977</v>
      </c>
      <c r="AE30" s="127">
        <f t="shared" si="25"/>
        <v>0.85054545454545449</v>
      </c>
      <c r="AF30" s="143">
        <f>'Future Total Energy'!AO26</f>
        <v>134496.65120711573</v>
      </c>
    </row>
    <row r="31" spans="2:32">
      <c r="B31" s="23">
        <v>2030</v>
      </c>
      <c r="C31" s="129">
        <f>'Future Total Energy'!AL27</f>
        <v>35043.256334684476</v>
      </c>
      <c r="D31" s="129">
        <f>'Future Total Energy'!AM27</f>
        <v>30298.582102780689</v>
      </c>
      <c r="E31" s="544">
        <f>'Future Total Energy'!AO27</f>
        <v>135468.03049555287</v>
      </c>
      <c r="G31" s="141">
        <v>2030</v>
      </c>
      <c r="H31" s="132">
        <f t="shared" si="26"/>
        <v>8397.6385180207526</v>
      </c>
      <c r="I31" s="127">
        <f t="shared" si="10"/>
        <v>0.23963636363636365</v>
      </c>
      <c r="J31" s="132">
        <f t="shared" si="11"/>
        <v>0</v>
      </c>
      <c r="K31" s="127">
        <f t="shared" si="7"/>
        <v>0</v>
      </c>
      <c r="L31" s="132">
        <f t="shared" si="12"/>
        <v>26645.617816663722</v>
      </c>
      <c r="M31" s="127">
        <f t="shared" si="13"/>
        <v>0.76036363636363635</v>
      </c>
      <c r="N31" s="142">
        <f t="shared" si="8"/>
        <v>35043.256334684476</v>
      </c>
      <c r="O31" s="534"/>
      <c r="P31" s="141">
        <v>2030</v>
      </c>
      <c r="Q31" s="132">
        <f t="shared" si="14"/>
        <v>7260.6420384481726</v>
      </c>
      <c r="R31" s="127">
        <f t="shared" si="15"/>
        <v>0.23963636363636365</v>
      </c>
      <c r="S31" s="132">
        <f t="shared" si="16"/>
        <v>0</v>
      </c>
      <c r="T31" s="127">
        <f t="shared" si="9"/>
        <v>0</v>
      </c>
      <c r="U31" s="132">
        <f t="shared" si="17"/>
        <v>23037.940064332517</v>
      </c>
      <c r="V31" s="127">
        <f t="shared" si="18"/>
        <v>0.76036363636363635</v>
      </c>
      <c r="W31" s="142">
        <f t="shared" si="19"/>
        <v>30298.582102780689</v>
      </c>
      <c r="Y31" s="151">
        <v>2030</v>
      </c>
      <c r="Z31" s="132">
        <f t="shared" si="20"/>
        <v>16600.991373455028</v>
      </c>
      <c r="AA31" s="127">
        <f t="shared" si="21"/>
        <v>0.12254545454545457</v>
      </c>
      <c r="AB31" s="132">
        <f t="shared" si="22"/>
        <v>3559.1146193831555</v>
      </c>
      <c r="AC31" s="26">
        <f t="shared" si="23"/>
        <v>2.6272727272727225E-2</v>
      </c>
      <c r="AD31" s="132">
        <f t="shared" si="24"/>
        <v>115307.9245027147</v>
      </c>
      <c r="AE31" s="127">
        <f t="shared" si="25"/>
        <v>0.85118181818181826</v>
      </c>
      <c r="AF31" s="143">
        <f>'Future Total Energy'!AO27</f>
        <v>135468.03049555287</v>
      </c>
    </row>
    <row r="32" spans="2:32">
      <c r="B32" s="23">
        <v>2031</v>
      </c>
      <c r="C32" s="129">
        <f>'Future Total Energy'!AL28</f>
        <v>35325.822583508263</v>
      </c>
      <c r="D32" s="129">
        <f>'Future Total Energy'!AM28</f>
        <v>30416.044122850672</v>
      </c>
      <c r="E32" s="544">
        <f>'Future Total Energy'!AO28</f>
        <v>136439.40978398998</v>
      </c>
      <c r="G32" s="141">
        <v>2031</v>
      </c>
      <c r="H32" s="132">
        <f t="shared" si="26"/>
        <v>8317.625499207852</v>
      </c>
      <c r="I32" s="127">
        <f t="shared" si="10"/>
        <v>0.23545454545454536</v>
      </c>
      <c r="J32" s="132">
        <f t="shared" si="11"/>
        <v>0</v>
      </c>
      <c r="K32" s="127">
        <f t="shared" si="7"/>
        <v>0</v>
      </c>
      <c r="L32" s="132">
        <f t="shared" si="12"/>
        <v>27008.197084300413</v>
      </c>
      <c r="M32" s="127">
        <f t="shared" si="13"/>
        <v>0.76454545454545464</v>
      </c>
      <c r="N32" s="142">
        <f t="shared" si="8"/>
        <v>35325.822583508263</v>
      </c>
      <c r="O32" s="534"/>
      <c r="P32" s="141">
        <v>2031</v>
      </c>
      <c r="Q32" s="132">
        <f t="shared" si="14"/>
        <v>7161.5958434712011</v>
      </c>
      <c r="R32" s="127">
        <f t="shared" si="15"/>
        <v>0.23545454545454536</v>
      </c>
      <c r="S32" s="132">
        <f t="shared" si="16"/>
        <v>0</v>
      </c>
      <c r="T32" s="127">
        <f t="shared" si="9"/>
        <v>0</v>
      </c>
      <c r="U32" s="132">
        <f t="shared" si="17"/>
        <v>23254.44827937947</v>
      </c>
      <c r="V32" s="127">
        <f t="shared" si="18"/>
        <v>0.76454545454545464</v>
      </c>
      <c r="W32" s="142">
        <f t="shared" si="19"/>
        <v>30416.044122850672</v>
      </c>
      <c r="Y32" s="151">
        <v>2031</v>
      </c>
      <c r="Z32" s="132">
        <f t="shared" si="20"/>
        <v>16744.836655307863</v>
      </c>
      <c r="AA32" s="127">
        <f t="shared" si="21"/>
        <v>0.12272727272727274</v>
      </c>
      <c r="AB32" s="132">
        <f t="shared" si="22"/>
        <v>3473.0031581379189</v>
      </c>
      <c r="AC32" s="26">
        <f t="shared" si="23"/>
        <v>2.5454545454545396E-2</v>
      </c>
      <c r="AD32" s="132">
        <f t="shared" si="24"/>
        <v>116221.56997054419</v>
      </c>
      <c r="AE32" s="127">
        <f t="shared" si="25"/>
        <v>0.85181818181818181</v>
      </c>
      <c r="AF32" s="143">
        <f>'Future Total Energy'!AO28</f>
        <v>136439.40978398998</v>
      </c>
    </row>
    <row r="33" spans="2:32">
      <c r="B33" s="23">
        <v>2032</v>
      </c>
      <c r="C33" s="129">
        <f>'Future Total Energy'!AL29</f>
        <v>35606.544269885613</v>
      </c>
      <c r="D33" s="129">
        <f>'Future Total Energy'!AM29</f>
        <v>30524.877949908485</v>
      </c>
      <c r="E33" s="544">
        <f>'Future Total Energy'!AO29</f>
        <v>137410.78907242708</v>
      </c>
      <c r="G33" s="141">
        <v>2032</v>
      </c>
      <c r="H33" s="132">
        <f t="shared" si="26"/>
        <v>8234.8226020535385</v>
      </c>
      <c r="I33" s="127">
        <f t="shared" si="10"/>
        <v>0.23127272727272707</v>
      </c>
      <c r="J33" s="132">
        <f t="shared" si="11"/>
        <v>0</v>
      </c>
      <c r="K33" s="127">
        <f t="shared" si="7"/>
        <v>0</v>
      </c>
      <c r="L33" s="132">
        <f t="shared" si="12"/>
        <v>27371.721667832076</v>
      </c>
      <c r="M33" s="127">
        <f t="shared" si="13"/>
        <v>0.76872727272727293</v>
      </c>
      <c r="N33" s="142">
        <f t="shared" si="8"/>
        <v>35606.544269885613</v>
      </c>
      <c r="O33" s="534"/>
      <c r="P33" s="141">
        <v>2032</v>
      </c>
      <c r="Q33" s="132">
        <f t="shared" si="14"/>
        <v>7059.5717731424656</v>
      </c>
      <c r="R33" s="127">
        <f t="shared" si="15"/>
        <v>0.23127272727272707</v>
      </c>
      <c r="S33" s="132">
        <f t="shared" si="16"/>
        <v>0</v>
      </c>
      <c r="T33" s="127">
        <f t="shared" si="9"/>
        <v>0</v>
      </c>
      <c r="U33" s="132">
        <f t="shared" si="17"/>
        <v>23465.306176766018</v>
      </c>
      <c r="V33" s="127">
        <f t="shared" si="18"/>
        <v>0.76872727272727293</v>
      </c>
      <c r="W33" s="142">
        <f t="shared" si="19"/>
        <v>30524.877949908485</v>
      </c>
      <c r="Y33" s="151">
        <v>2032</v>
      </c>
      <c r="Z33" s="132">
        <f t="shared" si="20"/>
        <v>16889.035165992856</v>
      </c>
      <c r="AA33" s="127">
        <f t="shared" si="21"/>
        <v>0.12290909090909091</v>
      </c>
      <c r="AB33" s="132">
        <f t="shared" si="22"/>
        <v>3385.3021671479974</v>
      </c>
      <c r="AC33" s="26">
        <f t="shared" si="23"/>
        <v>2.4636363636363789E-2</v>
      </c>
      <c r="AD33" s="132">
        <f t="shared" si="24"/>
        <v>117136.45173928623</v>
      </c>
      <c r="AE33" s="127">
        <f t="shared" si="25"/>
        <v>0.85245454545454535</v>
      </c>
      <c r="AF33" s="143">
        <f>'Future Total Energy'!AO29</f>
        <v>137410.78907242708</v>
      </c>
    </row>
    <row r="34" spans="2:32">
      <c r="B34" s="23">
        <v>2033</v>
      </c>
      <c r="C34" s="129">
        <f>'Future Total Energy'!AL30</f>
        <v>35888.922266829133</v>
      </c>
      <c r="D34" s="129">
        <f>'Future Total Energy'!AM30</f>
        <v>30628.113575801028</v>
      </c>
      <c r="E34" s="544">
        <f>'Future Total Energy'!AO30</f>
        <v>138382.16836086422</v>
      </c>
      <c r="G34" s="141">
        <v>2033</v>
      </c>
      <c r="H34" s="132">
        <f t="shared" si="26"/>
        <v>8150.0479838671872</v>
      </c>
      <c r="I34" s="127">
        <f t="shared" si="10"/>
        <v>0.22709090909090879</v>
      </c>
      <c r="J34" s="132">
        <f t="shared" si="11"/>
        <v>0</v>
      </c>
      <c r="K34" s="127">
        <f t="shared" si="7"/>
        <v>0</v>
      </c>
      <c r="L34" s="132">
        <f t="shared" si="12"/>
        <v>27738.874282961948</v>
      </c>
      <c r="M34" s="127">
        <f t="shared" si="13"/>
        <v>0.77290909090909121</v>
      </c>
      <c r="N34" s="142">
        <f t="shared" si="8"/>
        <v>35888.922266829133</v>
      </c>
      <c r="O34" s="534"/>
      <c r="P34" s="141">
        <v>2033</v>
      </c>
      <c r="Q34" s="132">
        <f t="shared" si="14"/>
        <v>6955.36615566826</v>
      </c>
      <c r="R34" s="127">
        <f t="shared" si="15"/>
        <v>0.22709090909090879</v>
      </c>
      <c r="S34" s="132">
        <f t="shared" si="16"/>
        <v>0</v>
      </c>
      <c r="T34" s="127">
        <f t="shared" si="9"/>
        <v>0</v>
      </c>
      <c r="U34" s="132">
        <f t="shared" si="17"/>
        <v>23672.747420132768</v>
      </c>
      <c r="V34" s="127">
        <f t="shared" si="18"/>
        <v>0.77290909090909121</v>
      </c>
      <c r="W34" s="142">
        <f t="shared" si="19"/>
        <v>30628.113575801028</v>
      </c>
      <c r="Y34" s="151">
        <v>2033</v>
      </c>
      <c r="Z34" s="132">
        <f t="shared" si="20"/>
        <v>17033.586905510012</v>
      </c>
      <c r="AA34" s="127">
        <f t="shared" si="21"/>
        <v>0.12309090909090908</v>
      </c>
      <c r="AB34" s="132">
        <f t="shared" si="22"/>
        <v>3296.0116464133002</v>
      </c>
      <c r="AC34" s="26">
        <f t="shared" si="23"/>
        <v>2.3818181818181738E-2</v>
      </c>
      <c r="AD34" s="132">
        <f t="shared" si="24"/>
        <v>118052.5698089409</v>
      </c>
      <c r="AE34" s="127">
        <f t="shared" si="25"/>
        <v>0.85309090909090912</v>
      </c>
      <c r="AF34" s="143">
        <f>'Future Total Energy'!AO30</f>
        <v>138382.16836086422</v>
      </c>
    </row>
    <row r="35" spans="2:32">
      <c r="B35" s="23">
        <v>2034</v>
      </c>
      <c r="C35" s="129">
        <f>'Future Total Energy'!AL31</f>
        <v>36163.995986746129</v>
      </c>
      <c r="D35" s="129">
        <f>'Future Total Energy'!AM31</f>
        <v>30718.142684357994</v>
      </c>
      <c r="E35" s="544">
        <f>'Future Total Energy'!AO31</f>
        <v>139353.54764930133</v>
      </c>
      <c r="G35" s="141">
        <v>2034</v>
      </c>
      <c r="H35" s="132">
        <f t="shared" si="26"/>
        <v>8061.2834690455766</v>
      </c>
      <c r="I35" s="127">
        <f t="shared" si="10"/>
        <v>0.2229090909090905</v>
      </c>
      <c r="J35" s="132">
        <f t="shared" si="11"/>
        <v>0</v>
      </c>
      <c r="K35" s="127">
        <f t="shared" si="7"/>
        <v>0</v>
      </c>
      <c r="L35" s="132">
        <f t="shared" si="12"/>
        <v>28102.712517700551</v>
      </c>
      <c r="M35" s="127">
        <f t="shared" si="13"/>
        <v>0.7770909090909095</v>
      </c>
      <c r="N35" s="142">
        <f t="shared" si="8"/>
        <v>36163.995986746129</v>
      </c>
      <c r="O35" s="534"/>
      <c r="P35" s="141">
        <v>2034</v>
      </c>
      <c r="Q35" s="132">
        <f t="shared" si="14"/>
        <v>6847.3532601859697</v>
      </c>
      <c r="R35" s="127">
        <f t="shared" si="15"/>
        <v>0.2229090909090905</v>
      </c>
      <c r="S35" s="132">
        <f t="shared" si="16"/>
        <v>0</v>
      </c>
      <c r="T35" s="127">
        <f t="shared" si="9"/>
        <v>0</v>
      </c>
      <c r="U35" s="132">
        <f t="shared" si="17"/>
        <v>23870.789424172024</v>
      </c>
      <c r="V35" s="127">
        <f t="shared" si="18"/>
        <v>0.7770909090909095</v>
      </c>
      <c r="W35" s="142">
        <f t="shared" si="19"/>
        <v>30718.142684357994</v>
      </c>
      <c r="Y35" s="151">
        <v>2034</v>
      </c>
      <c r="Z35" s="132">
        <f t="shared" si="20"/>
        <v>17178.491873859333</v>
      </c>
      <c r="AA35" s="127">
        <f t="shared" si="21"/>
        <v>0.12327272727272731</v>
      </c>
      <c r="AB35" s="132">
        <f t="shared" si="22"/>
        <v>3205.1315959339336</v>
      </c>
      <c r="AC35" s="26">
        <f t="shared" si="23"/>
        <v>2.300000000000002E-2</v>
      </c>
      <c r="AD35" s="132">
        <f t="shared" si="24"/>
        <v>118969.92417950806</v>
      </c>
      <c r="AE35" s="127">
        <f t="shared" si="25"/>
        <v>0.85372727272727267</v>
      </c>
      <c r="AF35" s="143">
        <f>'Future Total Energy'!AO31</f>
        <v>139353.54764930133</v>
      </c>
    </row>
    <row r="36" spans="2:32">
      <c r="B36" s="23">
        <v>2035</v>
      </c>
      <c r="C36" s="129">
        <f>'Future Total Energy'!AL32</f>
        <v>36425.357627028621</v>
      </c>
      <c r="D36" s="129">
        <f>'Future Total Energy'!AM32</f>
        <v>30789.662642065734</v>
      </c>
      <c r="E36" s="544">
        <f>'Future Total Energy'!AO32</f>
        <v>140324.92693773843</v>
      </c>
      <c r="G36" s="141">
        <v>2035</v>
      </c>
      <c r="H36" s="132">
        <f t="shared" si="26"/>
        <v>7967.219131875514</v>
      </c>
      <c r="I36" s="127">
        <f t="shared" si="10"/>
        <v>0.21872727272727222</v>
      </c>
      <c r="J36" s="132">
        <f t="shared" si="11"/>
        <v>0</v>
      </c>
      <c r="K36" s="127">
        <f t="shared" si="7"/>
        <v>0</v>
      </c>
      <c r="L36" s="132">
        <f t="shared" si="12"/>
        <v>28458.138495153107</v>
      </c>
      <c r="M36" s="127">
        <f t="shared" si="13"/>
        <v>0.78127272727272778</v>
      </c>
      <c r="N36" s="142">
        <f t="shared" si="8"/>
        <v>36425.357627028621</v>
      </c>
      <c r="O36" s="534"/>
      <c r="P36" s="141">
        <v>2035</v>
      </c>
      <c r="Q36" s="132">
        <f t="shared" si="14"/>
        <v>6734.5389378918162</v>
      </c>
      <c r="R36" s="127">
        <f t="shared" si="15"/>
        <v>0.21872727272727222</v>
      </c>
      <c r="S36" s="132">
        <f t="shared" si="16"/>
        <v>0</v>
      </c>
      <c r="T36" s="127">
        <f t="shared" si="9"/>
        <v>0</v>
      </c>
      <c r="U36" s="132">
        <f t="shared" si="17"/>
        <v>24055.123704173919</v>
      </c>
      <c r="V36" s="127">
        <f t="shared" si="18"/>
        <v>0.78127272727272778</v>
      </c>
      <c r="W36" s="142">
        <f t="shared" si="19"/>
        <v>30789.662642065734</v>
      </c>
      <c r="Y36" s="151">
        <v>2035</v>
      </c>
      <c r="Z36" s="132">
        <f t="shared" si="20"/>
        <v>17323.750071040802</v>
      </c>
      <c r="AA36" s="127">
        <f t="shared" si="21"/>
        <v>0.12345454545454548</v>
      </c>
      <c r="AB36" s="132">
        <f t="shared" si="22"/>
        <v>3112.66201570982</v>
      </c>
      <c r="AC36" s="26">
        <f t="shared" si="23"/>
        <v>2.218181818181808E-2</v>
      </c>
      <c r="AD36" s="132">
        <f t="shared" si="24"/>
        <v>119888.51485098781</v>
      </c>
      <c r="AE36" s="127">
        <f t="shared" si="25"/>
        <v>0.85436363636363644</v>
      </c>
      <c r="AF36" s="143">
        <f>'Future Total Energy'!AO32</f>
        <v>140324.92693773843</v>
      </c>
    </row>
    <row r="37" spans="2:32">
      <c r="B37" s="23">
        <v>2036</v>
      </c>
      <c r="C37" s="129">
        <f>'Future Total Energy'!AL33</f>
        <v>36675.96209044315</v>
      </c>
      <c r="D37" s="129">
        <f>'Future Total Energy'!AM33</f>
        <v>30845.360726907147</v>
      </c>
      <c r="E37" s="544">
        <f>'Future Total Energy'!AO33</f>
        <v>141296.30622617525</v>
      </c>
      <c r="G37" s="141">
        <v>2036</v>
      </c>
      <c r="H37" s="132">
        <f t="shared" si="26"/>
        <v>7868.660957585962</v>
      </c>
      <c r="I37" s="127">
        <f t="shared" si="10"/>
        <v>0.21454545454545393</v>
      </c>
      <c r="J37" s="132">
        <f t="shared" si="11"/>
        <v>0</v>
      </c>
      <c r="K37" s="127">
        <f t="shared" si="7"/>
        <v>0</v>
      </c>
      <c r="L37" s="132">
        <f t="shared" si="12"/>
        <v>28807.301132857188</v>
      </c>
      <c r="M37" s="127">
        <f t="shared" si="13"/>
        <v>0.78545454545454607</v>
      </c>
      <c r="N37" s="142">
        <f t="shared" si="8"/>
        <v>36675.96209044315</v>
      </c>
      <c r="O37" s="534"/>
      <c r="P37" s="141">
        <v>2036</v>
      </c>
      <c r="Q37" s="132">
        <f t="shared" si="14"/>
        <v>6617.7319377727872</v>
      </c>
      <c r="R37" s="127">
        <f t="shared" si="15"/>
        <v>0.21454545454545393</v>
      </c>
      <c r="S37" s="132">
        <f t="shared" si="16"/>
        <v>0</v>
      </c>
      <c r="T37" s="127">
        <f t="shared" si="9"/>
        <v>0</v>
      </c>
      <c r="U37" s="132">
        <f t="shared" si="17"/>
        <v>24227.62878913436</v>
      </c>
      <c r="V37" s="127">
        <f t="shared" si="18"/>
        <v>0.78545454545454607</v>
      </c>
      <c r="W37" s="142">
        <f t="shared" si="19"/>
        <v>30845.360726907147</v>
      </c>
      <c r="Y37" s="151">
        <v>2036</v>
      </c>
      <c r="Z37" s="132">
        <f t="shared" si="20"/>
        <v>17469.361497054397</v>
      </c>
      <c r="AA37" s="127">
        <f t="shared" si="21"/>
        <v>0.12363636363636366</v>
      </c>
      <c r="AB37" s="132">
        <f t="shared" si="22"/>
        <v>3018.6029057410165</v>
      </c>
      <c r="AC37" s="26">
        <f t="shared" si="23"/>
        <v>2.1363636363636362E-2</v>
      </c>
      <c r="AD37" s="132">
        <f t="shared" si="24"/>
        <v>120808.34182337983</v>
      </c>
      <c r="AE37" s="127">
        <f t="shared" si="25"/>
        <v>0.85499999999999998</v>
      </c>
      <c r="AF37" s="143">
        <f>'Future Total Energy'!AO33</f>
        <v>141296.30622617525</v>
      </c>
    </row>
    <row r="38" spans="2:32">
      <c r="B38" s="23">
        <v>2037</v>
      </c>
      <c r="C38" s="129">
        <f>'Future Total Energy'!AL34</f>
        <v>36914.742853285512</v>
      </c>
      <c r="D38" s="129">
        <f>'Future Total Energy'!AM34</f>
        <v>30884.518855696038</v>
      </c>
      <c r="E38" s="544">
        <f>'Future Total Energy'!AO34</f>
        <v>142267.68551461236</v>
      </c>
      <c r="G38" s="141">
        <v>2037</v>
      </c>
      <c r="H38" s="132">
        <f t="shared" si="26"/>
        <v>7765.5195420456712</v>
      </c>
      <c r="I38" s="127">
        <f t="shared" si="10"/>
        <v>0.21036363636363564</v>
      </c>
      <c r="J38" s="132">
        <f t="shared" si="11"/>
        <v>0</v>
      </c>
      <c r="K38" s="127">
        <f t="shared" si="7"/>
        <v>0</v>
      </c>
      <c r="L38" s="132">
        <f t="shared" si="12"/>
        <v>29149.223311239843</v>
      </c>
      <c r="M38" s="127">
        <f t="shared" si="13"/>
        <v>0.78963636363636436</v>
      </c>
      <c r="N38" s="142">
        <f t="shared" si="8"/>
        <v>36914.742853285512</v>
      </c>
      <c r="O38" s="534"/>
      <c r="P38" s="141">
        <v>2037</v>
      </c>
      <c r="Q38" s="132">
        <f t="shared" si="14"/>
        <v>6496.9796938254894</v>
      </c>
      <c r="R38" s="127">
        <f t="shared" si="15"/>
        <v>0.21036363636363564</v>
      </c>
      <c r="S38" s="132">
        <f t="shared" si="16"/>
        <v>0</v>
      </c>
      <c r="T38" s="127">
        <f t="shared" si="9"/>
        <v>0</v>
      </c>
      <c r="U38" s="132">
        <f t="shared" si="17"/>
        <v>24387.539161870547</v>
      </c>
      <c r="V38" s="127">
        <f t="shared" si="18"/>
        <v>0.78963636363636436</v>
      </c>
      <c r="W38" s="142">
        <f t="shared" si="19"/>
        <v>30884.518855696038</v>
      </c>
      <c r="Y38" s="151">
        <v>2037</v>
      </c>
      <c r="Z38" s="132">
        <f t="shared" si="20"/>
        <v>17615.326151900186</v>
      </c>
      <c r="AA38" s="127">
        <f t="shared" si="21"/>
        <v>0.12381818181818183</v>
      </c>
      <c r="AB38" s="132">
        <f t="shared" si="22"/>
        <v>2922.9542660275042</v>
      </c>
      <c r="AC38" s="26">
        <f t="shared" si="23"/>
        <v>2.0545454545454644E-2</v>
      </c>
      <c r="AD38" s="132">
        <f t="shared" si="24"/>
        <v>121729.40509668467</v>
      </c>
      <c r="AE38" s="127">
        <f t="shared" si="25"/>
        <v>0.85563636363636353</v>
      </c>
      <c r="AF38" s="143">
        <f>'Future Total Energy'!AO34</f>
        <v>142267.68551461236</v>
      </c>
    </row>
    <row r="39" spans="2:32">
      <c r="B39" s="23">
        <v>2038</v>
      </c>
      <c r="C39" s="129">
        <f>'Future Total Energy'!AL35</f>
        <v>37138.803960864119</v>
      </c>
      <c r="D39" s="129">
        <f>'Future Total Energy'!AM35</f>
        <v>30904.924035283948</v>
      </c>
      <c r="E39" s="544">
        <f>'Future Total Energy'!AO35</f>
        <v>143239.06480304949</v>
      </c>
      <c r="G39" s="141">
        <v>2038</v>
      </c>
      <c r="H39" s="132">
        <f t="shared" si="26"/>
        <v>7657.3461257490444</v>
      </c>
      <c r="I39" s="127">
        <f t="shared" si="10"/>
        <v>0.20618181818181736</v>
      </c>
      <c r="J39" s="132">
        <f t="shared" si="11"/>
        <v>0</v>
      </c>
      <c r="K39" s="127">
        <f t="shared" si="7"/>
        <v>0</v>
      </c>
      <c r="L39" s="132">
        <f t="shared" si="12"/>
        <v>29481.457835115074</v>
      </c>
      <c r="M39" s="127">
        <f t="shared" si="13"/>
        <v>0.79381818181818264</v>
      </c>
      <c r="N39" s="142">
        <f t="shared" si="8"/>
        <v>37138.803960864119</v>
      </c>
      <c r="O39" s="534"/>
      <c r="P39" s="141">
        <v>2038</v>
      </c>
      <c r="Q39" s="132">
        <f t="shared" si="14"/>
        <v>6372.0334283657921</v>
      </c>
      <c r="R39" s="127">
        <f t="shared" si="15"/>
        <v>0.20618181818181736</v>
      </c>
      <c r="S39" s="132">
        <f t="shared" si="16"/>
        <v>0</v>
      </c>
      <c r="T39" s="127">
        <f t="shared" si="9"/>
        <v>0</v>
      </c>
      <c r="U39" s="132">
        <f t="shared" si="17"/>
        <v>24532.890606918158</v>
      </c>
      <c r="V39" s="127">
        <f t="shared" si="18"/>
        <v>0.79381818181818264</v>
      </c>
      <c r="W39" s="142">
        <f t="shared" si="19"/>
        <v>30904.924035283948</v>
      </c>
      <c r="Y39" s="151">
        <v>2038</v>
      </c>
      <c r="Z39" s="132">
        <f t="shared" si="20"/>
        <v>17761.644035578138</v>
      </c>
      <c r="AA39" s="127">
        <f t="shared" si="21"/>
        <v>0.124</v>
      </c>
      <c r="AB39" s="132">
        <f t="shared" si="22"/>
        <v>2825.716096569246</v>
      </c>
      <c r="AC39" s="26">
        <f t="shared" si="23"/>
        <v>1.9727272727272704E-2</v>
      </c>
      <c r="AD39" s="132">
        <f t="shared" si="24"/>
        <v>122651.70467090211</v>
      </c>
      <c r="AE39" s="127">
        <f t="shared" si="25"/>
        <v>0.8562727272727273</v>
      </c>
      <c r="AF39" s="143">
        <f>'Future Total Energy'!AO35</f>
        <v>143239.06480304949</v>
      </c>
    </row>
    <row r="40" spans="2:32">
      <c r="B40" s="23">
        <v>2039</v>
      </c>
      <c r="C40" s="129">
        <f>'Future Total Energy'!AL36</f>
        <v>37343.386033208262</v>
      </c>
      <c r="D40" s="129">
        <f>'Future Total Energy'!AM36</f>
        <v>30902.88323562832</v>
      </c>
      <c r="E40" s="544">
        <f>'Future Total Energy'!AO36</f>
        <v>144210.4440914866</v>
      </c>
      <c r="G40" s="141">
        <v>2039</v>
      </c>
      <c r="H40" s="132">
        <f t="shared" si="26"/>
        <v>7543.3639787080347</v>
      </c>
      <c r="I40" s="127">
        <f t="shared" si="10"/>
        <v>0.20199999999999907</v>
      </c>
      <c r="J40" s="132">
        <f t="shared" si="11"/>
        <v>0</v>
      </c>
      <c r="K40" s="127">
        <f t="shared" si="7"/>
        <v>0</v>
      </c>
      <c r="L40" s="132">
        <f t="shared" si="12"/>
        <v>29800.022054500227</v>
      </c>
      <c r="M40" s="127">
        <f t="shared" si="13"/>
        <v>0.79800000000000093</v>
      </c>
      <c r="N40" s="142">
        <f t="shared" si="8"/>
        <v>37343.386033208262</v>
      </c>
      <c r="O40" s="534"/>
      <c r="P40" s="141">
        <v>2039</v>
      </c>
      <c r="Q40" s="132">
        <f t="shared" si="14"/>
        <v>6242.3824135968916</v>
      </c>
      <c r="R40" s="127">
        <f t="shared" si="15"/>
        <v>0.20199999999999907</v>
      </c>
      <c r="S40" s="132">
        <f t="shared" si="16"/>
        <v>0</v>
      </c>
      <c r="T40" s="127">
        <f t="shared" si="9"/>
        <v>0</v>
      </c>
      <c r="U40" s="132">
        <f t="shared" si="17"/>
        <v>24660.500822031427</v>
      </c>
      <c r="V40" s="127">
        <f t="shared" si="18"/>
        <v>0.79800000000000093</v>
      </c>
      <c r="W40" s="142">
        <f t="shared" si="19"/>
        <v>30902.88323562832</v>
      </c>
      <c r="Y40" s="151">
        <v>2039</v>
      </c>
      <c r="Z40" s="132">
        <f t="shared" si="20"/>
        <v>17908.315148088244</v>
      </c>
      <c r="AA40" s="127">
        <f t="shared" si="21"/>
        <v>0.12418181818181817</v>
      </c>
      <c r="AB40" s="132">
        <f t="shared" si="22"/>
        <v>2726.8883973663033</v>
      </c>
      <c r="AC40" s="26">
        <f t="shared" si="23"/>
        <v>1.8909090909090986E-2</v>
      </c>
      <c r="AD40" s="132">
        <f t="shared" si="24"/>
        <v>123575.24054603206</v>
      </c>
      <c r="AE40" s="127">
        <f t="shared" si="25"/>
        <v>0.85690909090909084</v>
      </c>
      <c r="AF40" s="143">
        <f>'Future Total Energy'!AO36</f>
        <v>144210.4440914866</v>
      </c>
    </row>
    <row r="41" spans="2:32">
      <c r="B41" s="23">
        <v>2040</v>
      </c>
      <c r="C41" s="129">
        <f>'Future Total Energy'!AL37</f>
        <v>37532.351080383698</v>
      </c>
      <c r="D41" s="129">
        <f>'Future Total Energy'!AM37</f>
        <v>30881.897200009356</v>
      </c>
      <c r="E41" s="544">
        <f>'Future Total Energy'!AO37</f>
        <v>145181.82337992371</v>
      </c>
      <c r="G41" s="141">
        <v>2040</v>
      </c>
      <c r="H41" s="132">
        <f t="shared" si="26"/>
        <v>7424.5814500831366</v>
      </c>
      <c r="I41" s="127">
        <f t="shared" si="10"/>
        <v>0.19781818181818078</v>
      </c>
      <c r="J41" s="132">
        <f t="shared" si="11"/>
        <v>0</v>
      </c>
      <c r="K41" s="127">
        <f t="shared" si="7"/>
        <v>0</v>
      </c>
      <c r="L41" s="132">
        <f t="shared" si="12"/>
        <v>30107.769630300561</v>
      </c>
      <c r="M41" s="127">
        <f t="shared" si="13"/>
        <v>0.80218181818181922</v>
      </c>
      <c r="N41" s="142">
        <f t="shared" si="8"/>
        <v>37532.351080383698</v>
      </c>
      <c r="O41" s="534"/>
      <c r="P41" s="141">
        <v>2040</v>
      </c>
      <c r="Q41" s="132">
        <f t="shared" si="14"/>
        <v>6109.0007552018187</v>
      </c>
      <c r="R41" s="127">
        <f t="shared" si="15"/>
        <v>0.19781818181818078</v>
      </c>
      <c r="S41" s="132">
        <f t="shared" si="16"/>
        <v>0</v>
      </c>
      <c r="T41" s="127">
        <f t="shared" si="9"/>
        <v>0</v>
      </c>
      <c r="U41" s="132">
        <f t="shared" si="17"/>
        <v>24772.896444807539</v>
      </c>
      <c r="V41" s="127">
        <f t="shared" si="18"/>
        <v>0.80218181818181922</v>
      </c>
      <c r="W41" s="142">
        <f t="shared" si="19"/>
        <v>30881.897200009356</v>
      </c>
      <c r="Y41" s="151">
        <v>2040</v>
      </c>
      <c r="Z41" s="132">
        <f t="shared" si="20"/>
        <v>18055.339489430517</v>
      </c>
      <c r="AA41" s="127">
        <f t="shared" si="21"/>
        <v>0.1243636363636364</v>
      </c>
      <c r="AB41" s="132">
        <f t="shared" si="22"/>
        <v>2626.4711684185972</v>
      </c>
      <c r="AC41" s="26">
        <f t="shared" si="23"/>
        <v>1.8090909090908935E-2</v>
      </c>
      <c r="AD41" s="132">
        <f t="shared" si="24"/>
        <v>124500.01272207458</v>
      </c>
      <c r="AE41" s="127">
        <f t="shared" si="25"/>
        <v>0.85754545454545461</v>
      </c>
      <c r="AF41" s="143">
        <f>'Future Total Energy'!AO37</f>
        <v>145181.82337992371</v>
      </c>
    </row>
    <row r="42" spans="2:32">
      <c r="B42" s="23">
        <v>2041</v>
      </c>
      <c r="C42" s="129">
        <f>'Future Total Energy'!AL38</f>
        <v>37702.737844227515</v>
      </c>
      <c r="D42" s="129">
        <f>'Future Total Energy'!AM38</f>
        <v>30839.823389246114</v>
      </c>
      <c r="E42" s="544">
        <f>'Future Total Energy'!AO38</f>
        <v>146153.20266836084</v>
      </c>
      <c r="G42" s="141">
        <v>2041</v>
      </c>
      <c r="H42" s="132">
        <f t="shared" si="26"/>
        <v>7300.6210552913517</v>
      </c>
      <c r="I42" s="127">
        <f t="shared" si="10"/>
        <v>0.19363636363636427</v>
      </c>
      <c r="J42" s="132">
        <f t="shared" si="11"/>
        <v>0</v>
      </c>
      <c r="K42" s="127">
        <f t="shared" si="7"/>
        <v>0</v>
      </c>
      <c r="L42" s="132">
        <f t="shared" si="12"/>
        <v>30402.116788936164</v>
      </c>
      <c r="M42" s="127">
        <f t="shared" si="13"/>
        <v>0.80636363636363573</v>
      </c>
      <c r="N42" s="142">
        <f t="shared" si="8"/>
        <v>37702.737844227515</v>
      </c>
      <c r="O42" s="534"/>
      <c r="P42" s="141">
        <v>2041</v>
      </c>
      <c r="Q42" s="132">
        <f t="shared" si="14"/>
        <v>5971.7112562813127</v>
      </c>
      <c r="R42" s="127">
        <f t="shared" si="15"/>
        <v>0.19363636363636427</v>
      </c>
      <c r="S42" s="132">
        <f t="shared" si="16"/>
        <v>0</v>
      </c>
      <c r="T42" s="127">
        <f t="shared" si="9"/>
        <v>0</v>
      </c>
      <c r="U42" s="132">
        <f t="shared" si="17"/>
        <v>24868.112132964801</v>
      </c>
      <c r="V42" s="127">
        <f t="shared" si="18"/>
        <v>0.80636363636363573</v>
      </c>
      <c r="W42" s="142">
        <f t="shared" si="19"/>
        <v>30839.823389246114</v>
      </c>
      <c r="Y42" s="151">
        <v>2041</v>
      </c>
      <c r="Z42" s="132">
        <f t="shared" si="20"/>
        <v>18202.717059604944</v>
      </c>
      <c r="AA42" s="127">
        <f t="shared" si="21"/>
        <v>0.12454545454545457</v>
      </c>
      <c r="AB42" s="132">
        <f t="shared" si="22"/>
        <v>2524.4644097262408</v>
      </c>
      <c r="AC42" s="26">
        <f t="shared" si="23"/>
        <v>1.7272727272727328E-2</v>
      </c>
      <c r="AD42" s="132">
        <f t="shared" si="24"/>
        <v>125426.02119902967</v>
      </c>
      <c r="AE42" s="127">
        <f t="shared" si="25"/>
        <v>0.85818181818181816</v>
      </c>
      <c r="AF42" s="143">
        <f>'Future Total Energy'!AO38</f>
        <v>146153.20266836084</v>
      </c>
    </row>
    <row r="43" spans="2:32">
      <c r="B43" s="23">
        <v>2042</v>
      </c>
      <c r="C43" s="129">
        <f>'Future Total Energy'!AL39</f>
        <v>37856.612987660301</v>
      </c>
      <c r="D43" s="129">
        <f>'Future Total Energy'!AM39</f>
        <v>30778.675186985343</v>
      </c>
      <c r="E43" s="544">
        <f>'Future Total Energy'!AO39</f>
        <v>147124.58195679795</v>
      </c>
      <c r="G43" s="141">
        <v>2042</v>
      </c>
      <c r="H43" s="132">
        <f t="shared" si="26"/>
        <v>7172.1074060258443</v>
      </c>
      <c r="I43" s="127">
        <f t="shared" si="10"/>
        <v>0.18945454545454599</v>
      </c>
      <c r="J43" s="132">
        <f t="shared" si="11"/>
        <v>0</v>
      </c>
      <c r="K43" s="127">
        <f t="shared" si="7"/>
        <v>0</v>
      </c>
      <c r="L43" s="132">
        <f t="shared" si="12"/>
        <v>30684.505581634457</v>
      </c>
      <c r="M43" s="127">
        <f t="shared" si="13"/>
        <v>0.81054545454545401</v>
      </c>
      <c r="N43" s="142">
        <f t="shared" si="8"/>
        <v>37856.612987660301</v>
      </c>
      <c r="O43" s="534"/>
      <c r="P43" s="141">
        <v>2042</v>
      </c>
      <c r="Q43" s="132">
        <f t="shared" si="14"/>
        <v>5831.1599172434217</v>
      </c>
      <c r="R43" s="127">
        <f t="shared" si="15"/>
        <v>0.18945454545454599</v>
      </c>
      <c r="S43" s="132">
        <f t="shared" si="16"/>
        <v>0</v>
      </c>
      <c r="T43" s="127">
        <f t="shared" si="9"/>
        <v>0</v>
      </c>
      <c r="U43" s="132">
        <f t="shared" si="17"/>
        <v>24947.515269741922</v>
      </c>
      <c r="V43" s="127">
        <f t="shared" si="18"/>
        <v>0.81054545454545401</v>
      </c>
      <c r="W43" s="142">
        <f t="shared" si="19"/>
        <v>30778.675186985343</v>
      </c>
      <c r="Y43" s="151">
        <v>2042</v>
      </c>
      <c r="Z43" s="132">
        <f t="shared" si="20"/>
        <v>18350.447858611529</v>
      </c>
      <c r="AA43" s="127">
        <f t="shared" si="21"/>
        <v>0.12472727272727274</v>
      </c>
      <c r="AB43" s="132">
        <f t="shared" si="22"/>
        <v>2420.8681212891038</v>
      </c>
      <c r="AC43" s="26">
        <f t="shared" si="23"/>
        <v>1.6454545454545277E-2</v>
      </c>
      <c r="AD43" s="132">
        <f t="shared" si="24"/>
        <v>126353.26597689731</v>
      </c>
      <c r="AE43" s="127">
        <f t="shared" si="25"/>
        <v>0.85881818181818192</v>
      </c>
      <c r="AF43" s="143">
        <f>'Future Total Energy'!AO39</f>
        <v>147124.58195679795</v>
      </c>
    </row>
    <row r="44" spans="2:32">
      <c r="B44" s="23">
        <v>2043</v>
      </c>
      <c r="C44" s="129">
        <f>'Future Total Energy'!AL40</f>
        <v>38001.164107921817</v>
      </c>
      <c r="D44" s="129">
        <f>'Future Total Energy'!AM40</f>
        <v>30704.572805377444</v>
      </c>
      <c r="E44" s="544">
        <f>'Future Total Energy'!AO40</f>
        <v>148095.96124523506</v>
      </c>
      <c r="G44" s="141">
        <v>2043</v>
      </c>
      <c r="H44" s="132">
        <f t="shared" si="26"/>
        <v>7040.5793138131676</v>
      </c>
      <c r="I44" s="127">
        <f t="shared" si="10"/>
        <v>0.1852727272727277</v>
      </c>
      <c r="J44" s="132">
        <f t="shared" si="11"/>
        <v>0</v>
      </c>
      <c r="K44" s="127">
        <f t="shared" si="7"/>
        <v>0</v>
      </c>
      <c r="L44" s="132">
        <f t="shared" si="12"/>
        <v>30960.58479410865</v>
      </c>
      <c r="M44" s="127">
        <f t="shared" si="13"/>
        <v>0.8147272727272723</v>
      </c>
      <c r="N44" s="142">
        <f t="shared" si="8"/>
        <v>38001.164107921817</v>
      </c>
      <c r="O44" s="534"/>
      <c r="P44" s="141">
        <v>2043</v>
      </c>
      <c r="Q44" s="132">
        <f t="shared" si="14"/>
        <v>5688.7199433963069</v>
      </c>
      <c r="R44" s="127">
        <f t="shared" si="15"/>
        <v>0.1852727272727277</v>
      </c>
      <c r="S44" s="132">
        <f t="shared" si="16"/>
        <v>0</v>
      </c>
      <c r="T44" s="127">
        <f t="shared" si="9"/>
        <v>0</v>
      </c>
      <c r="U44" s="132">
        <f t="shared" si="17"/>
        <v>25015.852861981137</v>
      </c>
      <c r="V44" s="127">
        <f t="shared" si="18"/>
        <v>0.8147272727272723</v>
      </c>
      <c r="W44" s="142">
        <f t="shared" si="19"/>
        <v>30704.572805377444</v>
      </c>
      <c r="Y44" s="151">
        <v>2043</v>
      </c>
      <c r="Z44" s="132">
        <f t="shared" si="20"/>
        <v>18498.53188645027</v>
      </c>
      <c r="AA44" s="127">
        <f t="shared" si="21"/>
        <v>0.12490909090909091</v>
      </c>
      <c r="AB44" s="132">
        <f t="shared" si="22"/>
        <v>2315.6823031073168</v>
      </c>
      <c r="AC44" s="26">
        <f t="shared" si="23"/>
        <v>1.563636363636367E-2</v>
      </c>
      <c r="AD44" s="132">
        <f t="shared" si="24"/>
        <v>127281.74705567748</v>
      </c>
      <c r="AE44" s="127">
        <f t="shared" si="25"/>
        <v>0.85945454545454547</v>
      </c>
      <c r="AF44" s="143">
        <f>'Future Total Energy'!AO40</f>
        <v>148095.96124523506</v>
      </c>
    </row>
    <row r="45" spans="2:32">
      <c r="B45" s="23">
        <v>2044</v>
      </c>
      <c r="C45" s="129">
        <f>'Future Total Energy'!AL41</f>
        <v>38134.405641740108</v>
      </c>
      <c r="D45" s="129">
        <f>'Future Total Energy'!AM41</f>
        <v>30616.132987703884</v>
      </c>
      <c r="E45" s="544">
        <f>'Future Total Energy'!AO41</f>
        <v>149067.34053367219</v>
      </c>
      <c r="G45" s="141">
        <v>2044</v>
      </c>
      <c r="H45" s="132">
        <f t="shared" si="26"/>
        <v>6905.7941853042212</v>
      </c>
      <c r="I45" s="127">
        <f t="shared" si="10"/>
        <v>0.18109090909090941</v>
      </c>
      <c r="J45" s="132">
        <f t="shared" si="11"/>
        <v>0</v>
      </c>
      <c r="K45" s="127">
        <f t="shared" si="7"/>
        <v>0</v>
      </c>
      <c r="L45" s="132">
        <f t="shared" si="12"/>
        <v>31228.611456435887</v>
      </c>
      <c r="M45" s="127">
        <f t="shared" si="13"/>
        <v>0.81890909090909059</v>
      </c>
      <c r="N45" s="142">
        <f t="shared" si="8"/>
        <v>38134.405641740108</v>
      </c>
      <c r="O45" s="534"/>
      <c r="P45" s="141">
        <v>2044</v>
      </c>
      <c r="Q45" s="132">
        <f t="shared" si="14"/>
        <v>5544.3033555914772</v>
      </c>
      <c r="R45" s="127">
        <f t="shared" si="15"/>
        <v>0.18109090909090941</v>
      </c>
      <c r="S45" s="132">
        <f t="shared" si="16"/>
        <v>0</v>
      </c>
      <c r="T45" s="127">
        <f t="shared" si="9"/>
        <v>0</v>
      </c>
      <c r="U45" s="132">
        <f t="shared" si="17"/>
        <v>25071.829632112407</v>
      </c>
      <c r="V45" s="127">
        <f t="shared" si="18"/>
        <v>0.81890909090909059</v>
      </c>
      <c r="W45" s="142">
        <f t="shared" si="19"/>
        <v>30616.132987703884</v>
      </c>
      <c r="Y45" s="151">
        <v>2044</v>
      </c>
      <c r="Z45" s="132">
        <f t="shared" si="20"/>
        <v>18646.969143121176</v>
      </c>
      <c r="AA45" s="127">
        <f t="shared" si="21"/>
        <v>0.12509090909090909</v>
      </c>
      <c r="AB45" s="132">
        <f t="shared" si="22"/>
        <v>2208.9069551807825</v>
      </c>
      <c r="AC45" s="26">
        <f t="shared" si="23"/>
        <v>1.4818181818181841E-2</v>
      </c>
      <c r="AD45" s="132">
        <f t="shared" si="24"/>
        <v>128211.46443537023</v>
      </c>
      <c r="AE45" s="127">
        <f t="shared" si="25"/>
        <v>0.86009090909090902</v>
      </c>
      <c r="AF45" s="143">
        <f>'Future Total Energy'!AO41</f>
        <v>149067.34053367219</v>
      </c>
    </row>
    <row r="46" spans="2:32">
      <c r="B46" s="23">
        <v>2045</v>
      </c>
      <c r="C46" s="129">
        <f>'Future Total Energy'!AL42</f>
        <v>38252.928523995804</v>
      </c>
      <c r="D46" s="129">
        <f>'Future Total Energy'!AM42</f>
        <v>30510.883041527926</v>
      </c>
      <c r="E46" s="544">
        <f>'Future Total Energy'!AO42</f>
        <v>150038.7198221093</v>
      </c>
      <c r="G46" s="141">
        <v>2045</v>
      </c>
      <c r="H46" s="132">
        <f t="shared" si="26"/>
        <v>6767.2908097905392</v>
      </c>
      <c r="I46" s="127">
        <f t="shared" si="10"/>
        <v>0.17690909090909113</v>
      </c>
      <c r="J46" s="132">
        <f t="shared" si="11"/>
        <v>0</v>
      </c>
      <c r="K46" s="127">
        <f t="shared" si="7"/>
        <v>0</v>
      </c>
      <c r="L46" s="132">
        <f t="shared" si="12"/>
        <v>31485.637714205266</v>
      </c>
      <c r="M46" s="127">
        <f t="shared" si="13"/>
        <v>0.82309090909090887</v>
      </c>
      <c r="N46" s="142">
        <f t="shared" si="8"/>
        <v>38252.928523995804</v>
      </c>
      <c r="O46" s="534"/>
      <c r="P46" s="141">
        <v>2045</v>
      </c>
      <c r="Q46" s="132">
        <f t="shared" si="14"/>
        <v>5397.6525817103111</v>
      </c>
      <c r="R46" s="127">
        <f t="shared" si="15"/>
        <v>0.17690909090909113</v>
      </c>
      <c r="S46" s="132">
        <f t="shared" si="16"/>
        <v>0</v>
      </c>
      <c r="T46" s="127">
        <f t="shared" si="9"/>
        <v>0</v>
      </c>
      <c r="U46" s="132">
        <f t="shared" si="17"/>
        <v>25113.230459817616</v>
      </c>
      <c r="V46" s="127">
        <f t="shared" si="18"/>
        <v>0.82309090909090887</v>
      </c>
      <c r="W46" s="142">
        <f t="shared" si="19"/>
        <v>30510.883041527926</v>
      </c>
      <c r="Y46" s="151">
        <v>2045</v>
      </c>
      <c r="Z46" s="132">
        <f t="shared" si="20"/>
        <v>18795.759628624237</v>
      </c>
      <c r="AA46" s="127">
        <f t="shared" si="21"/>
        <v>0.12527272727272726</v>
      </c>
      <c r="AB46" s="132">
        <f t="shared" si="22"/>
        <v>2100.5420775095322</v>
      </c>
      <c r="AC46" s="26">
        <f t="shared" si="23"/>
        <v>1.4000000000000012E-2</v>
      </c>
      <c r="AD46" s="132">
        <f t="shared" si="24"/>
        <v>129142.41811597554</v>
      </c>
      <c r="AE46" s="127">
        <f t="shared" si="25"/>
        <v>0.86072727272727279</v>
      </c>
      <c r="AF46" s="143">
        <f>'Future Total Energy'!AO42</f>
        <v>150038.7198221093</v>
      </c>
    </row>
    <row r="47" spans="2:32">
      <c r="B47" s="23">
        <v>2046</v>
      </c>
      <c r="C47" s="129">
        <f>'Future Total Energy'!AL43</f>
        <v>38358.419061009066</v>
      </c>
      <c r="D47" s="129">
        <f>'Future Total Energy'!AM43</f>
        <v>30390.46512529605</v>
      </c>
      <c r="E47" s="544">
        <f>'Future Total Energy'!AO43</f>
        <v>151010.09911054641</v>
      </c>
      <c r="G47" s="141">
        <v>2046</v>
      </c>
      <c r="H47" s="132">
        <f t="shared" si="26"/>
        <v>6625.5451105379343</v>
      </c>
      <c r="I47" s="127">
        <f t="shared" si="10"/>
        <v>0.17272727272727284</v>
      </c>
      <c r="J47" s="132">
        <f t="shared" si="11"/>
        <v>0</v>
      </c>
      <c r="K47" s="127">
        <f t="shared" si="7"/>
        <v>0</v>
      </c>
      <c r="L47" s="132">
        <f t="shared" si="12"/>
        <v>31732.873950471134</v>
      </c>
      <c r="M47" s="127">
        <f t="shared" si="13"/>
        <v>0.82727272727272716</v>
      </c>
      <c r="N47" s="142">
        <f t="shared" si="8"/>
        <v>38358.419061009066</v>
      </c>
      <c r="O47" s="534"/>
      <c r="P47" s="141">
        <v>2046</v>
      </c>
      <c r="Q47" s="132">
        <f t="shared" si="14"/>
        <v>5249.2621580056848</v>
      </c>
      <c r="R47" s="127">
        <f t="shared" si="15"/>
        <v>0.17272727272727284</v>
      </c>
      <c r="S47" s="132">
        <f t="shared" si="16"/>
        <v>0</v>
      </c>
      <c r="T47" s="127">
        <f t="shared" si="9"/>
        <v>0</v>
      </c>
      <c r="U47" s="132">
        <f t="shared" si="17"/>
        <v>25141.202967290366</v>
      </c>
      <c r="V47" s="127">
        <f t="shared" si="18"/>
        <v>0.82727272727272716</v>
      </c>
      <c r="W47" s="142">
        <f t="shared" si="19"/>
        <v>30390.46512529605</v>
      </c>
      <c r="Y47" s="151">
        <v>2046</v>
      </c>
      <c r="Z47" s="132">
        <f t="shared" si="20"/>
        <v>18944.903342959464</v>
      </c>
      <c r="AA47" s="127">
        <f t="shared" si="21"/>
        <v>0.12545454545454549</v>
      </c>
      <c r="AB47" s="132">
        <f t="shared" si="22"/>
        <v>1990.5876700935664</v>
      </c>
      <c r="AC47" s="26">
        <f t="shared" si="23"/>
        <v>1.3181818181818183E-2</v>
      </c>
      <c r="AD47" s="132">
        <f t="shared" si="24"/>
        <v>130074.60809749337</v>
      </c>
      <c r="AE47" s="127">
        <f t="shared" si="25"/>
        <v>0.86136363636363633</v>
      </c>
      <c r="AF47" s="143">
        <f>'Future Total Energy'!AO43</f>
        <v>151010.09911054641</v>
      </c>
    </row>
    <row r="48" spans="2:32">
      <c r="B48" s="23">
        <v>2047</v>
      </c>
      <c r="C48" s="129">
        <f>'Future Total Energy'!AL44</f>
        <v>38446.024645145058</v>
      </c>
      <c r="D48" s="129">
        <f>'Future Total Energy'!AM44</f>
        <v>30251.34637778316</v>
      </c>
      <c r="E48" s="544">
        <f>'Future Total Energy'!AO44</f>
        <v>151981.47839898354</v>
      </c>
      <c r="G48" s="141">
        <v>2047</v>
      </c>
      <c r="H48" s="132">
        <f t="shared" si="26"/>
        <v>6479.9026992817217</v>
      </c>
      <c r="I48" s="127">
        <f t="shared" si="10"/>
        <v>0.16854545454545455</v>
      </c>
      <c r="J48" s="132">
        <f t="shared" si="11"/>
        <v>0</v>
      </c>
      <c r="K48" s="127">
        <f t="shared" si="7"/>
        <v>0</v>
      </c>
      <c r="L48" s="132">
        <f t="shared" si="12"/>
        <v>31966.121945863335</v>
      </c>
      <c r="M48" s="127">
        <f t="shared" si="13"/>
        <v>0.83145454545454545</v>
      </c>
      <c r="N48" s="142">
        <f t="shared" si="8"/>
        <v>38446.024645145058</v>
      </c>
      <c r="O48" s="534"/>
      <c r="P48" s="141">
        <v>2047</v>
      </c>
      <c r="Q48" s="132">
        <f t="shared" si="14"/>
        <v>5098.7269258554525</v>
      </c>
      <c r="R48" s="127">
        <f t="shared" si="15"/>
        <v>0.16854545454545455</v>
      </c>
      <c r="S48" s="132">
        <f t="shared" si="16"/>
        <v>0</v>
      </c>
      <c r="T48" s="127">
        <f t="shared" si="9"/>
        <v>0</v>
      </c>
      <c r="U48" s="132">
        <f t="shared" si="17"/>
        <v>25152.619451927709</v>
      </c>
      <c r="V48" s="127">
        <f t="shared" si="18"/>
        <v>0.83145454545454545</v>
      </c>
      <c r="W48" s="142">
        <f t="shared" si="19"/>
        <v>30251.34637778316</v>
      </c>
      <c r="Y48" s="151">
        <v>2047</v>
      </c>
      <c r="Z48" s="132">
        <f t="shared" si="20"/>
        <v>19094.400286126845</v>
      </c>
      <c r="AA48" s="127">
        <f t="shared" si="21"/>
        <v>0.12563636363636366</v>
      </c>
      <c r="AB48" s="132">
        <f t="shared" si="22"/>
        <v>1879.0437329328693</v>
      </c>
      <c r="AC48" s="26">
        <f t="shared" si="23"/>
        <v>1.2363636363636243E-2</v>
      </c>
      <c r="AD48" s="132">
        <f t="shared" si="24"/>
        <v>131008.03437992383</v>
      </c>
      <c r="AE48" s="127">
        <f t="shared" si="25"/>
        <v>0.8620000000000001</v>
      </c>
      <c r="AF48" s="143">
        <f>'Future Total Energy'!AO44</f>
        <v>151981.47839898354</v>
      </c>
    </row>
    <row r="49" spans="2:32">
      <c r="B49" s="23">
        <v>2048</v>
      </c>
      <c r="C49" s="129">
        <f>'Future Total Energy'!AL45</f>
        <v>38523.065229508655</v>
      </c>
      <c r="D49" s="129">
        <f>'Future Total Energy'!AM45</f>
        <v>30099.617268287635</v>
      </c>
      <c r="E49" s="544">
        <f>'Future Total Energy'!AO45</f>
        <v>152952.85768742065</v>
      </c>
      <c r="G49" s="141">
        <v>2048</v>
      </c>
      <c r="H49" s="132">
        <f t="shared" si="26"/>
        <v>6331.7910849956006</v>
      </c>
      <c r="I49" s="127">
        <f t="shared" si="10"/>
        <v>0.16436363636363627</v>
      </c>
      <c r="J49" s="132">
        <f t="shared" si="11"/>
        <v>0</v>
      </c>
      <c r="K49" s="127">
        <f t="shared" si="7"/>
        <v>0</v>
      </c>
      <c r="L49" s="132">
        <f t="shared" si="12"/>
        <v>32191.274144513052</v>
      </c>
      <c r="M49" s="127">
        <f t="shared" si="13"/>
        <v>0.83563636363636373</v>
      </c>
      <c r="N49" s="142">
        <f t="shared" si="8"/>
        <v>38523.065229508655</v>
      </c>
      <c r="O49" s="534"/>
      <c r="P49" s="141">
        <v>2048</v>
      </c>
      <c r="Q49" s="132">
        <f t="shared" si="14"/>
        <v>4947.2825473694556</v>
      </c>
      <c r="R49" s="127">
        <f t="shared" si="15"/>
        <v>0.16436363636363627</v>
      </c>
      <c r="S49" s="132">
        <f t="shared" si="16"/>
        <v>0</v>
      </c>
      <c r="T49" s="127">
        <f t="shared" si="9"/>
        <v>0</v>
      </c>
      <c r="U49" s="132">
        <f t="shared" si="17"/>
        <v>25152.334720918177</v>
      </c>
      <c r="V49" s="127">
        <f t="shared" si="18"/>
        <v>0.83563636363636373</v>
      </c>
      <c r="W49" s="142">
        <f t="shared" si="19"/>
        <v>30099.617268287635</v>
      </c>
      <c r="Y49" s="151">
        <v>2048</v>
      </c>
      <c r="Z49" s="132">
        <f t="shared" si="20"/>
        <v>19244.250458126382</v>
      </c>
      <c r="AA49" s="127">
        <f t="shared" si="21"/>
        <v>0.12581818181818183</v>
      </c>
      <c r="AB49" s="132">
        <f t="shared" si="22"/>
        <v>1765.9102660274898</v>
      </c>
      <c r="AC49" s="26">
        <f t="shared" si="23"/>
        <v>1.1545454545454525E-2</v>
      </c>
      <c r="AD49" s="132">
        <f t="shared" si="24"/>
        <v>131942.69696326679</v>
      </c>
      <c r="AE49" s="127">
        <f t="shared" si="25"/>
        <v>0.86263636363636365</v>
      </c>
      <c r="AF49" s="143">
        <f>'Future Total Energy'!AO45</f>
        <v>152952.85768742065</v>
      </c>
    </row>
    <row r="50" spans="2:32">
      <c r="B50" s="23">
        <v>2049</v>
      </c>
      <c r="C50" s="129">
        <f>'Future Total Energy'!AL46</f>
        <v>38585.159410710789</v>
      </c>
      <c r="D50" s="129">
        <f>'Future Total Energy'!AM46</f>
        <v>29932.134697344358</v>
      </c>
      <c r="E50" s="544">
        <f>'Future Total Energy'!AO46</f>
        <v>153924.23697585776</v>
      </c>
      <c r="G50" s="141">
        <v>2049</v>
      </c>
      <c r="H50" s="132">
        <f t="shared" si="26"/>
        <v>6180.6409892429383</v>
      </c>
      <c r="I50" s="127">
        <f t="shared" si="10"/>
        <v>0.16018181818181798</v>
      </c>
      <c r="J50" s="132">
        <f t="shared" si="11"/>
        <v>0</v>
      </c>
      <c r="K50" s="127">
        <f t="shared" si="7"/>
        <v>0</v>
      </c>
      <c r="L50" s="132">
        <f t="shared" si="12"/>
        <v>32404.518421467848</v>
      </c>
      <c r="M50" s="127">
        <f t="shared" si="13"/>
        <v>0.83981818181818202</v>
      </c>
      <c r="N50" s="142">
        <f t="shared" si="8"/>
        <v>38585.159410710789</v>
      </c>
      <c r="O50" s="534"/>
      <c r="P50" s="141">
        <v>2049</v>
      </c>
      <c r="Q50" s="132">
        <f t="shared" si="14"/>
        <v>4794.583757883699</v>
      </c>
      <c r="R50" s="127">
        <f t="shared" si="15"/>
        <v>0.16018181818181798</v>
      </c>
      <c r="S50" s="132">
        <f t="shared" si="16"/>
        <v>0</v>
      </c>
      <c r="T50" s="127">
        <f t="shared" si="9"/>
        <v>0</v>
      </c>
      <c r="U50" s="132">
        <f t="shared" si="17"/>
        <v>25137.55093946066</v>
      </c>
      <c r="V50" s="127">
        <f t="shared" si="18"/>
        <v>0.83981818181818202</v>
      </c>
      <c r="W50" s="142">
        <f t="shared" si="19"/>
        <v>29932.134697344358</v>
      </c>
      <c r="Y50" s="151">
        <v>2049</v>
      </c>
      <c r="Z50" s="132">
        <f t="shared" si="20"/>
        <v>19394.453858958077</v>
      </c>
      <c r="AA50" s="127">
        <f t="shared" si="21"/>
        <v>0.126</v>
      </c>
      <c r="AB50" s="132">
        <f t="shared" si="22"/>
        <v>1651.1872693773955</v>
      </c>
      <c r="AC50" s="26">
        <f t="shared" si="23"/>
        <v>1.0727272727272807E-2</v>
      </c>
      <c r="AD50" s="132">
        <f t="shared" si="24"/>
        <v>132878.59584752229</v>
      </c>
      <c r="AE50" s="127">
        <f t="shared" si="25"/>
        <v>0.86327272727272719</v>
      </c>
      <c r="AF50" s="143">
        <f>'Future Total Energy'!AO46</f>
        <v>153924.23697585776</v>
      </c>
    </row>
    <row r="51" spans="2:32">
      <c r="B51" s="28">
        <v>2050</v>
      </c>
      <c r="C51" s="131">
        <f>'Future Total Energy'!AL47</f>
        <v>38633.081288637804</v>
      </c>
      <c r="D51" s="131">
        <f>'Future Total Energy'!AM47</f>
        <v>29749.828647365968</v>
      </c>
      <c r="E51" s="532">
        <f>'Future Total Energy'!AO47</f>
        <v>154895.61626429489</v>
      </c>
      <c r="G51" s="144">
        <v>2050</v>
      </c>
      <c r="H51" s="145">
        <f t="shared" si="26"/>
        <v>6026.7606810274856</v>
      </c>
      <c r="I51" s="128">
        <f t="shared" si="10"/>
        <v>0.15599999999999969</v>
      </c>
      <c r="J51" s="145">
        <f t="shared" si="11"/>
        <v>0</v>
      </c>
      <c r="K51" s="128">
        <f t="shared" si="7"/>
        <v>0</v>
      </c>
      <c r="L51" s="145">
        <f t="shared" si="12"/>
        <v>32606.32060761032</v>
      </c>
      <c r="M51" s="128">
        <f t="shared" si="13"/>
        <v>0.84400000000000031</v>
      </c>
      <c r="N51" s="543">
        <f t="shared" si="8"/>
        <v>38633.081288637804</v>
      </c>
      <c r="O51" s="534"/>
      <c r="P51" s="144">
        <v>2050</v>
      </c>
      <c r="Q51" s="145">
        <f t="shared" si="14"/>
        <v>4640.9732689890816</v>
      </c>
      <c r="R51" s="128">
        <f t="shared" si="15"/>
        <v>0.15599999999999969</v>
      </c>
      <c r="S51" s="145">
        <f t="shared" si="16"/>
        <v>0</v>
      </c>
      <c r="T51" s="128">
        <f t="shared" si="9"/>
        <v>0</v>
      </c>
      <c r="U51" s="145">
        <f t="shared" si="17"/>
        <v>25108.855378376888</v>
      </c>
      <c r="V51" s="128">
        <f t="shared" si="18"/>
        <v>0.84400000000000031</v>
      </c>
      <c r="W51" s="543">
        <f t="shared" si="19"/>
        <v>29749.828647365968</v>
      </c>
      <c r="Y51" s="152">
        <v>2050</v>
      </c>
      <c r="Z51" s="145">
        <f t="shared" si="20"/>
        <v>19545.010488621934</v>
      </c>
      <c r="AA51" s="128">
        <f t="shared" si="21"/>
        <v>0.12618181818181817</v>
      </c>
      <c r="AB51" s="145">
        <f t="shared" si="22"/>
        <v>1534.8747429825521</v>
      </c>
      <c r="AC51" s="30">
        <f t="shared" si="23"/>
        <v>9.9090909090908674E-3</v>
      </c>
      <c r="AD51" s="145">
        <f t="shared" si="24"/>
        <v>133815.73103269041</v>
      </c>
      <c r="AE51" s="128">
        <f t="shared" si="25"/>
        <v>0.86390909090909096</v>
      </c>
      <c r="AF51" s="146">
        <f>'Future Total Energy'!AO47</f>
        <v>154895.61626429489</v>
      </c>
    </row>
  </sheetData>
  <mergeCells count="11">
    <mergeCell ref="E5:E6"/>
    <mergeCell ref="C5:D5"/>
    <mergeCell ref="AD6:AE6"/>
    <mergeCell ref="H6:I6"/>
    <mergeCell ref="J6:K6"/>
    <mergeCell ref="L6:M6"/>
    <mergeCell ref="Z6:AA6"/>
    <mergeCell ref="AB6:AC6"/>
    <mergeCell ref="Q6:R6"/>
    <mergeCell ref="S6:T6"/>
    <mergeCell ref="U6:V6"/>
  </mergeCells>
  <phoneticPr fontId="3"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4"/>
  <sheetViews>
    <sheetView topLeftCell="E1" workbookViewId="0">
      <selection activeCell="G21" sqref="G21"/>
    </sheetView>
  </sheetViews>
  <sheetFormatPr defaultRowHeight="15"/>
  <cols>
    <col min="1" max="1" width="13.7109375" customWidth="1"/>
    <col min="3" max="4" width="8.7109375" style="103"/>
    <col min="6" max="6" width="10.140625" bestFit="1" customWidth="1"/>
  </cols>
  <sheetData>
    <row r="1" spans="1:6" ht="25.5" customHeight="1">
      <c r="A1" s="121" t="s">
        <v>679</v>
      </c>
    </row>
    <row r="2" spans="1:6">
      <c r="A2" t="s">
        <v>521</v>
      </c>
      <c r="B2" t="s">
        <v>749</v>
      </c>
    </row>
    <row r="4" spans="1:6">
      <c r="B4" t="s">
        <v>520</v>
      </c>
      <c r="C4" s="103">
        <v>947.8</v>
      </c>
      <c r="E4" t="s">
        <v>564</v>
      </c>
      <c r="F4">
        <f>C4*10^6</f>
        <v>947800000</v>
      </c>
    </row>
  </sheetData>
  <phoneticPr fontId="3"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sheetPr>
  <dimension ref="A1:AQ166"/>
  <sheetViews>
    <sheetView zoomScale="71" zoomScaleNormal="100" workbookViewId="0">
      <selection activeCell="AB77" sqref="AB77"/>
    </sheetView>
  </sheetViews>
  <sheetFormatPr defaultRowHeight="15"/>
  <cols>
    <col min="3" max="3" width="13.85546875" style="103" customWidth="1"/>
    <col min="4" max="5" width="8.7109375" style="103"/>
    <col min="6" max="6" width="12.85546875" style="103" customWidth="1"/>
    <col min="7" max="7" width="11.140625" style="103" customWidth="1"/>
    <col min="8" max="11" width="8.7109375" style="103"/>
    <col min="13" max="13" width="14.28515625" customWidth="1"/>
    <col min="14" max="14" width="21.7109375" customWidth="1"/>
    <col min="16" max="16" width="15.7109375" customWidth="1"/>
    <col min="17" max="17" width="15.5703125" customWidth="1"/>
    <col min="18" max="19" width="10.28515625" customWidth="1"/>
    <col min="25" max="25" width="14.7109375" bestFit="1" customWidth="1"/>
    <col min="26" max="26" width="17.85546875" customWidth="1"/>
    <col min="27" max="27" width="10.5703125" bestFit="1" customWidth="1"/>
    <col min="28" max="28" width="14.140625" customWidth="1"/>
    <col min="29" max="29" width="15.42578125" bestFit="1" customWidth="1"/>
    <col min="30" max="30" width="9.5703125" bestFit="1" customWidth="1"/>
    <col min="31" max="31" width="10.7109375" bestFit="1" customWidth="1"/>
    <col min="32" max="32" width="10.5703125" bestFit="1" customWidth="1"/>
    <col min="33" max="34" width="10.5703125" style="103" customWidth="1"/>
    <col min="35" max="35" width="14.42578125" customWidth="1"/>
    <col min="41" max="41" width="8.85546875" customWidth="1"/>
    <col min="42" max="42" width="9.28515625" customWidth="1"/>
    <col min="44" max="44" width="8.7109375" customWidth="1"/>
  </cols>
  <sheetData>
    <row r="1" spans="1:34" ht="22.5" customHeight="1">
      <c r="A1" s="121" t="s">
        <v>585</v>
      </c>
    </row>
    <row r="2" spans="1:34" s="103" customFormat="1">
      <c r="A2" s="60" t="s">
        <v>954</v>
      </c>
      <c r="B2" s="186" t="s">
        <v>953</v>
      </c>
      <c r="C2" s="118"/>
    </row>
    <row r="3" spans="1:34" s="103" customFormat="1">
      <c r="A3" s="60"/>
      <c r="C3" s="185" t="s">
        <v>747</v>
      </c>
    </row>
    <row r="4" spans="1:34" s="103" customFormat="1">
      <c r="A4" s="60"/>
      <c r="C4" s="103" t="s">
        <v>748</v>
      </c>
    </row>
    <row r="5" spans="1:34">
      <c r="B5" s="186" t="s">
        <v>955</v>
      </c>
      <c r="C5" s="118"/>
    </row>
    <row r="6" spans="1:34" s="103" customFormat="1">
      <c r="B6"/>
      <c r="C6" s="103" t="s">
        <v>951</v>
      </c>
      <c r="D6" s="118"/>
      <c r="E6" s="118"/>
      <c r="F6" s="118"/>
      <c r="G6" s="118"/>
      <c r="H6" s="118"/>
      <c r="I6" s="118"/>
      <c r="J6" s="118"/>
      <c r="K6" s="118"/>
    </row>
    <row r="7" spans="1:34">
      <c r="B7" s="103"/>
      <c r="C7" s="103" t="s">
        <v>952</v>
      </c>
    </row>
    <row r="8" spans="1:34" s="103" customFormat="1">
      <c r="B8" s="186" t="s">
        <v>957</v>
      </c>
      <c r="C8" s="118"/>
      <c r="D8" s="118"/>
      <c r="E8" s="118"/>
      <c r="F8" s="118"/>
      <c r="G8" s="118"/>
      <c r="H8" s="118"/>
      <c r="I8" s="118"/>
      <c r="J8" s="118"/>
      <c r="K8" s="118"/>
    </row>
    <row r="9" spans="1:34" s="103" customFormat="1">
      <c r="A9" s="60"/>
      <c r="C9" s="103" t="s">
        <v>959</v>
      </c>
    </row>
    <row r="10" spans="1:34" s="103" customFormat="1">
      <c r="A10" s="60"/>
      <c r="C10" s="103" t="s">
        <v>960</v>
      </c>
    </row>
    <row r="11" spans="1:34" s="103" customFormat="1">
      <c r="A11" s="60"/>
      <c r="C11" s="103" t="s">
        <v>961</v>
      </c>
    </row>
    <row r="12" spans="1:34" s="103" customFormat="1">
      <c r="A12" s="60" t="s">
        <v>958</v>
      </c>
      <c r="B12" s="103" t="s">
        <v>956</v>
      </c>
    </row>
    <row r="13" spans="1:34" s="103" customFormat="1"/>
    <row r="14" spans="1:34" s="64" customFormat="1">
      <c r="A14" s="124" t="s">
        <v>950</v>
      </c>
      <c r="M14" s="124" t="s">
        <v>950</v>
      </c>
      <c r="X14" s="124" t="s">
        <v>950</v>
      </c>
    </row>
    <row r="15" spans="1:34">
      <c r="B15" s="164" t="s">
        <v>587</v>
      </c>
      <c r="C15" s="21"/>
      <c r="D15" s="21"/>
      <c r="E15" s="21"/>
      <c r="F15" s="21"/>
      <c r="G15" s="21"/>
      <c r="H15" s="21"/>
      <c r="I15" s="21"/>
      <c r="J15" s="22"/>
      <c r="M15" s="558" t="s">
        <v>962</v>
      </c>
      <c r="N15" s="21"/>
      <c r="O15" s="21"/>
      <c r="P15" s="21"/>
      <c r="Q15" s="21"/>
      <c r="R15" s="21"/>
      <c r="S15" s="21"/>
      <c r="T15" s="21"/>
      <c r="U15" s="22"/>
      <c r="V15" s="24"/>
      <c r="W15" s="103"/>
      <c r="X15" s="164" t="s">
        <v>35</v>
      </c>
      <c r="Y15" s="21"/>
      <c r="Z15" s="21"/>
      <c r="AA15" s="21"/>
      <c r="AB15" s="21"/>
      <c r="AC15" s="21"/>
      <c r="AD15" s="21"/>
      <c r="AE15" s="21"/>
      <c r="AF15" s="22"/>
      <c r="AG15"/>
    </row>
    <row r="16" spans="1:34" s="545" customFormat="1" ht="33" customHeight="1">
      <c r="B16" s="546" t="s">
        <v>949</v>
      </c>
      <c r="C16" s="547" t="s">
        <v>21</v>
      </c>
      <c r="D16" s="547" t="s">
        <v>27</v>
      </c>
      <c r="E16" s="547" t="s">
        <v>28</v>
      </c>
      <c r="F16" s="547" t="s">
        <v>29</v>
      </c>
      <c r="G16" s="547" t="s">
        <v>30</v>
      </c>
      <c r="H16" s="547" t="s">
        <v>31</v>
      </c>
      <c r="I16" s="547" t="s">
        <v>33</v>
      </c>
      <c r="J16" s="548" t="s">
        <v>36</v>
      </c>
      <c r="M16" s="546" t="s">
        <v>949</v>
      </c>
      <c r="N16" s="547" t="s">
        <v>21</v>
      </c>
      <c r="O16" s="547" t="s">
        <v>27</v>
      </c>
      <c r="P16" s="547" t="s">
        <v>28</v>
      </c>
      <c r="Q16" s="547" t="s">
        <v>29</v>
      </c>
      <c r="R16" s="547" t="s">
        <v>30</v>
      </c>
      <c r="S16" s="547" t="s">
        <v>31</v>
      </c>
      <c r="T16" s="547" t="s">
        <v>33</v>
      </c>
      <c r="U16" s="548" t="s">
        <v>36</v>
      </c>
      <c r="V16" s="549"/>
      <c r="W16" s="103"/>
      <c r="X16" s="546" t="s">
        <v>949</v>
      </c>
      <c r="Y16" s="547" t="s">
        <v>21</v>
      </c>
      <c r="Z16" s="547" t="s">
        <v>27</v>
      </c>
      <c r="AA16" s="547" t="s">
        <v>28</v>
      </c>
      <c r="AB16" s="547" t="s">
        <v>29</v>
      </c>
      <c r="AC16" s="547" t="s">
        <v>30</v>
      </c>
      <c r="AD16" s="547" t="s">
        <v>31</v>
      </c>
      <c r="AE16" s="547" t="s">
        <v>33</v>
      </c>
      <c r="AF16" s="548" t="s">
        <v>36</v>
      </c>
      <c r="AH16" s="103"/>
    </row>
    <row r="17" spans="2:33">
      <c r="B17" s="553">
        <v>2006</v>
      </c>
      <c r="C17" s="554">
        <f>'Private,Public8EndUse'!M21</f>
        <v>0.23356606005112357</v>
      </c>
      <c r="D17" s="554">
        <f>'Private,Public8EndUse'!N21</f>
        <v>0.19358284689634123</v>
      </c>
      <c r="E17" s="554">
        <f>'Private,Public8EndUse'!O21</f>
        <v>8.1950326198924117E-2</v>
      </c>
      <c r="F17" s="554">
        <f>'Private,Public8EndUse'!P21</f>
        <v>0.10796993628629202</v>
      </c>
      <c r="G17" s="554">
        <f>'Private,Public8EndUse'!Q21</f>
        <v>8.8169089313646948E-2</v>
      </c>
      <c r="H17" s="554">
        <f>'Private,Public8EndUse'!L21</f>
        <v>0.26050131624127276</v>
      </c>
      <c r="I17" s="554">
        <f>'Private,Public8EndUse'!R21</f>
        <v>3.4260425012399377E-2</v>
      </c>
      <c r="J17" s="555">
        <f>SUM(C17:I17)</f>
        <v>0.99999999999999989</v>
      </c>
      <c r="M17" s="553">
        <v>2006</v>
      </c>
      <c r="N17" s="557">
        <f>'Private,Public8EndUse'!M71</f>
        <v>0</v>
      </c>
      <c r="O17" s="557">
        <f>'Private,Public8EndUse'!N71</f>
        <v>0.36009762050030508</v>
      </c>
      <c r="P17" s="557">
        <f>'Private,Public8EndUse'!O71</f>
        <v>0</v>
      </c>
      <c r="Q17" s="557">
        <f>'Private,Public8EndUse'!P71</f>
        <v>0</v>
      </c>
      <c r="R17" s="557">
        <f>'Private,Public8EndUse'!Q71</f>
        <v>0</v>
      </c>
      <c r="S17" s="557">
        <f>'Private,Public8EndUse'!L71</f>
        <v>0.63892617449664435</v>
      </c>
      <c r="T17" s="557">
        <f>'Private,Public8EndUse'!R71</f>
        <v>9.7620500305064064E-4</v>
      </c>
      <c r="U17" s="555">
        <f>SUM(N17:T17)</f>
        <v>1</v>
      </c>
      <c r="V17" s="26"/>
      <c r="W17" s="103"/>
      <c r="X17" s="553">
        <v>2006</v>
      </c>
      <c r="Y17" s="554">
        <f>'Private,Public8EndUse'!M51</f>
        <v>0.33980905861456484</v>
      </c>
      <c r="Z17" s="554">
        <f>'Private,Public8EndUse'!N51</f>
        <v>0.11783969804618118</v>
      </c>
      <c r="AA17" s="554">
        <f>'Private,Public8EndUse'!O51</f>
        <v>0.11922735346358793</v>
      </c>
      <c r="AB17" s="554">
        <f>'Private,Public8EndUse'!P51</f>
        <v>0.15708259325044405</v>
      </c>
      <c r="AC17" s="554">
        <f>'Private,Public8EndUse'!Q51</f>
        <v>0.12827486678507993</v>
      </c>
      <c r="AD17" s="554">
        <f>'Private,Public8EndUse'!L51</f>
        <v>8.8365896980461808E-2</v>
      </c>
      <c r="AE17" s="554">
        <f>'Private,Public8EndUse'!R51</f>
        <v>4.9400532859680282E-2</v>
      </c>
      <c r="AF17" s="555">
        <f t="shared" ref="AF17:AF22" si="0">SUM(Y17:AE17)</f>
        <v>1</v>
      </c>
      <c r="AG17"/>
    </row>
    <row r="18" spans="2:33">
      <c r="B18" s="553">
        <v>2007</v>
      </c>
      <c r="C18" s="554">
        <f>'Private,Public8EndUse'!M22</f>
        <v>0.23102532450529309</v>
      </c>
      <c r="D18" s="554">
        <f>'Private,Public8EndUse'!N22</f>
        <v>0.19092507387872668</v>
      </c>
      <c r="E18" s="554">
        <f>'Private,Public8EndUse'!O22</f>
        <v>7.8554595443833461E-2</v>
      </c>
      <c r="F18" s="554">
        <f>'Private,Public8EndUse'!P22</f>
        <v>0.11079938652601654</v>
      </c>
      <c r="G18" s="554">
        <f>'Private,Public8EndUse'!Q22</f>
        <v>9.2357760071821338E-2</v>
      </c>
      <c r="H18" s="554">
        <f>'Private,Public8EndUse'!L22</f>
        <v>0.26087607077394981</v>
      </c>
      <c r="I18" s="554">
        <f>'Private,Public8EndUse'!R22</f>
        <v>3.5461788800359106E-2</v>
      </c>
      <c r="J18" s="555">
        <f>SUM(C18:I18)</f>
        <v>1</v>
      </c>
      <c r="M18" s="553">
        <v>2007</v>
      </c>
      <c r="N18" s="557">
        <f>'Private,Public8EndUse'!M72</f>
        <v>0</v>
      </c>
      <c r="O18" s="557">
        <f>'Private,Public8EndUse'!N72</f>
        <v>0.34897758068489776</v>
      </c>
      <c r="P18" s="557">
        <f>'Private,Public8EndUse'!O72</f>
        <v>0</v>
      </c>
      <c r="Q18" s="557">
        <f>'Private,Public8EndUse'!P72</f>
        <v>0</v>
      </c>
      <c r="R18" s="557">
        <f>'Private,Public8EndUse'!Q72</f>
        <v>0</v>
      </c>
      <c r="S18" s="557">
        <f>'Private,Public8EndUse'!L72</f>
        <v>0.64991377186499133</v>
      </c>
      <c r="T18" s="557">
        <f>'Private,Public8EndUse'!R72</f>
        <v>1.1086474501108647E-3</v>
      </c>
      <c r="U18" s="555">
        <f t="shared" ref="U18:U27" si="1">SUM(N18:T18)</f>
        <v>0.99999999999999989</v>
      </c>
      <c r="V18" s="103"/>
      <c r="W18" s="103"/>
      <c r="X18" s="553">
        <v>2007</v>
      </c>
      <c r="Y18" s="554">
        <f>'Private,Public8EndUse'!M52</f>
        <v>0.33177544990598978</v>
      </c>
      <c r="Z18" s="554">
        <f>'Private,Public8EndUse'!N52</f>
        <v>0.12199838839645447</v>
      </c>
      <c r="AA18" s="554">
        <f>'Private,Public8EndUse'!O52</f>
        <v>0.11281224818694602</v>
      </c>
      <c r="AB18" s="554">
        <f>'Private,Public8EndUse'!P52</f>
        <v>0.15911899006177813</v>
      </c>
      <c r="AC18" s="554">
        <f>'Private,Public8EndUse'!Q52</f>
        <v>0.13263497179693795</v>
      </c>
      <c r="AD18" s="554">
        <f>'Private,Public8EndUse'!L52</f>
        <v>9.1216760676873496E-2</v>
      </c>
      <c r="AE18" s="554">
        <f>'Private,Public8EndUse'!R52</f>
        <v>5.0443190975020147E-2</v>
      </c>
      <c r="AF18" s="555">
        <f t="shared" si="0"/>
        <v>0.99999999999999989</v>
      </c>
      <c r="AG18"/>
    </row>
    <row r="19" spans="2:33">
      <c r="B19" s="553">
        <v>2008</v>
      </c>
      <c r="C19" s="554">
        <f>'Private,Public8EndUse'!M23</f>
        <v>0.22526262589798202</v>
      </c>
      <c r="D19" s="554">
        <f>'Private,Public8EndUse'!N23</f>
        <v>0.19215912782932024</v>
      </c>
      <c r="E19" s="554">
        <f>'Private,Public8EndUse'!O23</f>
        <v>7.4185047471210422E-2</v>
      </c>
      <c r="F19" s="554">
        <f>'Private,Public8EndUse'!P23</f>
        <v>0.11194541713295549</v>
      </c>
      <c r="G19" s="554">
        <f>'Private,Public8EndUse'!Q23</f>
        <v>9.5520017327894294E-2</v>
      </c>
      <c r="H19" s="554">
        <f>'Private,Public8EndUse'!L23</f>
        <v>0.26475578498971158</v>
      </c>
      <c r="I19" s="554">
        <f>'Private,Public8EndUse'!R23</f>
        <v>3.6171979350925962E-2</v>
      </c>
      <c r="J19" s="555">
        <f>SUM(C19:I19)</f>
        <v>1</v>
      </c>
      <c r="M19" s="553">
        <v>2008</v>
      </c>
      <c r="N19" s="557">
        <f>'Private,Public8EndUse'!M73</f>
        <v>0</v>
      </c>
      <c r="O19" s="557">
        <f>'Private,Public8EndUse'!N73</f>
        <v>0.34330484330484329</v>
      </c>
      <c r="P19" s="557">
        <f>'Private,Public8EndUse'!O73</f>
        <v>0</v>
      </c>
      <c r="Q19" s="557">
        <f>'Private,Public8EndUse'!P73</f>
        <v>0</v>
      </c>
      <c r="R19" s="557">
        <f>'Private,Public8EndUse'!Q73</f>
        <v>0</v>
      </c>
      <c r="S19" s="557">
        <f>'Private,Public8EndUse'!L73</f>
        <v>0.65550807217473883</v>
      </c>
      <c r="T19" s="557">
        <f>'Private,Public8EndUse'!R73</f>
        <v>1.1870845204178537E-3</v>
      </c>
      <c r="U19" s="555">
        <f t="shared" si="1"/>
        <v>1</v>
      </c>
      <c r="V19" s="103"/>
      <c r="W19" s="103"/>
      <c r="X19" s="553">
        <v>2008</v>
      </c>
      <c r="Y19" s="554">
        <f>'Private,Public8EndUse'!M53</f>
        <v>0.32370182082274213</v>
      </c>
      <c r="Z19" s="554">
        <f>'Private,Public8EndUse'!N53</f>
        <v>0.12610883436219328</v>
      </c>
      <c r="AA19" s="554">
        <f>'Private,Public8EndUse'!O53</f>
        <v>0.10660372464595114</v>
      </c>
      <c r="AB19" s="554">
        <f>'Private,Public8EndUse'!P53</f>
        <v>0.16086527986719926</v>
      </c>
      <c r="AC19" s="554">
        <f>'Private,Public8EndUse'!Q53</f>
        <v>0.13726202209887431</v>
      </c>
      <c r="AD19" s="554">
        <f>'Private,Public8EndUse'!L53</f>
        <v>9.3998028738911651E-2</v>
      </c>
      <c r="AE19" s="554">
        <f>'Private,Public8EndUse'!R53</f>
        <v>5.1460289464128235E-2</v>
      </c>
      <c r="AF19" s="555">
        <f t="shared" si="0"/>
        <v>0.99999999999999989</v>
      </c>
      <c r="AG19"/>
    </row>
    <row r="20" spans="2:33">
      <c r="B20" s="553">
        <v>2009</v>
      </c>
      <c r="C20" s="554">
        <f>'Private,Public8EndUse'!M24</f>
        <v>0.23612668161434977</v>
      </c>
      <c r="D20" s="554">
        <f>'Private,Public8EndUse'!N24</f>
        <v>0.18721973094170405</v>
      </c>
      <c r="E20" s="554">
        <f>'Private,Public8EndUse'!O24</f>
        <v>7.5917881165919285E-2</v>
      </c>
      <c r="F20" s="554">
        <f>'Private,Public8EndUse'!P24</f>
        <v>0.10979540358744394</v>
      </c>
      <c r="G20" s="554">
        <f>'Private,Public8EndUse'!Q24</f>
        <v>9.68329596412556E-2</v>
      </c>
      <c r="H20" s="554">
        <f>'Private,Public8EndUse'!L24</f>
        <v>0.25336322869955158</v>
      </c>
      <c r="I20" s="554">
        <f>'Private,Public8EndUse'!R24</f>
        <v>4.077914798206278E-2</v>
      </c>
      <c r="J20" s="555">
        <f>SUM(C20:I20)</f>
        <v>1.000035033632287</v>
      </c>
      <c r="M20" s="553">
        <v>2009</v>
      </c>
      <c r="N20" s="557">
        <f>'Private,Public8EndUse'!M74</f>
        <v>0</v>
      </c>
      <c r="O20" s="557">
        <f>'Private,Public8EndUse'!N74</f>
        <v>0.35245706106870228</v>
      </c>
      <c r="P20" s="557">
        <f>'Private,Public8EndUse'!O74</f>
        <v>0</v>
      </c>
      <c r="Q20" s="557">
        <f>'Private,Public8EndUse'!P74</f>
        <v>0</v>
      </c>
      <c r="R20" s="557">
        <f>'Private,Public8EndUse'!Q74</f>
        <v>0</v>
      </c>
      <c r="S20" s="557">
        <f>'Private,Public8EndUse'!L74</f>
        <v>0.64706583969465647</v>
      </c>
      <c r="T20" s="557">
        <f>'Private,Public8EndUse'!R74</f>
        <v>7.1564885496183206E-4</v>
      </c>
      <c r="U20" s="555">
        <f t="shared" si="1"/>
        <v>1.0002385496183206</v>
      </c>
      <c r="V20" s="103"/>
      <c r="W20" s="103"/>
      <c r="X20" s="553">
        <v>2009</v>
      </c>
      <c r="Y20" s="554">
        <f>'Private,Public8EndUse'!M54</f>
        <v>0.3343253968253968</v>
      </c>
      <c r="Z20" s="554">
        <f>'Private,Public8EndUse'!N54</f>
        <v>0.11850198412698412</v>
      </c>
      <c r="AA20" s="554">
        <f>'Private,Public8EndUse'!O54</f>
        <v>0.10749007936507937</v>
      </c>
      <c r="AB20" s="554">
        <f>'Private,Public8EndUse'!P54</f>
        <v>0.15545634920634921</v>
      </c>
      <c r="AC20" s="554">
        <f>'Private,Public8EndUse'!Q54</f>
        <v>0.13710317460317462</v>
      </c>
      <c r="AD20" s="554">
        <f>'Private,Public8EndUse'!L54</f>
        <v>8.9632936507936509E-2</v>
      </c>
      <c r="AE20" s="554">
        <f>'Private,Public8EndUse'!R54</f>
        <v>5.7440476190476188E-2</v>
      </c>
      <c r="AF20" s="555">
        <f t="shared" si="0"/>
        <v>0.99995039682539677</v>
      </c>
      <c r="AG20"/>
    </row>
    <row r="21" spans="2:33">
      <c r="B21" s="553">
        <v>2010</v>
      </c>
      <c r="C21" s="554">
        <f>'Private,Public8EndUse'!M25</f>
        <v>0.24187260703097807</v>
      </c>
      <c r="D21" s="554">
        <f>'Private,Public8EndUse'!N25</f>
        <v>0.18374521406195615</v>
      </c>
      <c r="E21" s="554">
        <f>'Private,Public8EndUse'!O25</f>
        <v>7.5809258614688485E-2</v>
      </c>
      <c r="F21" s="554">
        <f>'Private,Public8EndUse'!P25</f>
        <v>0.10452488687782806</v>
      </c>
      <c r="G21" s="554">
        <f>'Private,Public8EndUse'!Q25</f>
        <v>9.7981204316045942E-2</v>
      </c>
      <c r="H21" s="554">
        <f>'Private,Public8EndUse'!L25</f>
        <v>0.24963452836756003</v>
      </c>
      <c r="I21" s="554">
        <f>'Private,Public8EndUse'!R25</f>
        <v>4.6397493908806126E-2</v>
      </c>
      <c r="J21" s="555">
        <f>SUM(C21:I21)</f>
        <v>0.99996519317786281</v>
      </c>
      <c r="M21" s="553">
        <v>2010</v>
      </c>
      <c r="N21" s="557">
        <f>'Private,Public8EndUse'!M75</f>
        <v>0</v>
      </c>
      <c r="O21" s="557">
        <f>'Private,Public8EndUse'!N75</f>
        <v>0.36115056818181818</v>
      </c>
      <c r="P21" s="557">
        <f>'Private,Public8EndUse'!O75</f>
        <v>0</v>
      </c>
      <c r="Q21" s="557">
        <f>'Private,Public8EndUse'!P75</f>
        <v>0</v>
      </c>
      <c r="R21" s="557">
        <f>'Private,Public8EndUse'!Q75</f>
        <v>0</v>
      </c>
      <c r="S21" s="557">
        <f>'Private,Public8EndUse'!L75</f>
        <v>0.63837594696969702</v>
      </c>
      <c r="T21" s="557">
        <f>'Private,Public8EndUse'!R75</f>
        <v>3.5511363636363637E-4</v>
      </c>
      <c r="U21" s="555">
        <f t="shared" si="1"/>
        <v>0.99988162878787878</v>
      </c>
      <c r="V21" s="103"/>
      <c r="W21" s="103"/>
      <c r="X21" s="553">
        <v>2010</v>
      </c>
      <c r="Y21" s="554">
        <f>'Private,Public8EndUse'!M55</f>
        <v>0.34261907109752487</v>
      </c>
      <c r="Z21" s="554">
        <f>'Private,Public8EndUse'!N55</f>
        <v>0.10985109949709101</v>
      </c>
      <c r="AA21" s="554">
        <f>'Private,Public8EndUse'!O55</f>
        <v>0.10738585938270387</v>
      </c>
      <c r="AB21" s="554">
        <f>'Private,Public8EndUse'!P55</f>
        <v>0.1480623212700917</v>
      </c>
      <c r="AC21" s="554">
        <f>'Private,Public8EndUse'!Q55</f>
        <v>0.13879301843999606</v>
      </c>
      <c r="AD21" s="554">
        <f>'Private,Public8EndUse'!L55</f>
        <v>8.7713243269894492E-2</v>
      </c>
      <c r="AE21" s="554">
        <f>'Private,Public8EndUse'!R55</f>
        <v>6.5575387042697955E-2</v>
      </c>
      <c r="AF21" s="555">
        <f t="shared" si="0"/>
        <v>0.99999999999999989</v>
      </c>
      <c r="AG21"/>
    </row>
    <row r="22" spans="2:33">
      <c r="B22" s="553">
        <v>2011</v>
      </c>
      <c r="C22" s="554">
        <f>'Private,Public8EndUse'!M26</f>
        <v>0.24731256654188274</v>
      </c>
      <c r="D22" s="554">
        <f>'Private,Public8EndUse'!N26</f>
        <v>0.1805131023113645</v>
      </c>
      <c r="E22" s="554">
        <f>'Private,Public8EndUse'!O26</f>
        <v>7.5694611395404746E-2</v>
      </c>
      <c r="F22" s="554">
        <f>'Private,Public8EndUse'!P26</f>
        <v>9.9289075110760031E-2</v>
      </c>
      <c r="G22" s="554">
        <f>'Private,Public8EndUse'!Q26</f>
        <v>0.10114366177834255</v>
      </c>
      <c r="H22" s="554">
        <f>'Private,Public8EndUse'!L26</f>
        <v>0.24089020160043961</v>
      </c>
      <c r="I22" s="554">
        <f>'Private,Public8EndUse'!R26</f>
        <v>5.5156781261805815E-2</v>
      </c>
      <c r="J22" s="555">
        <f t="shared" ref="J22:J27" si="2">SUM(C22:I22)</f>
        <v>1</v>
      </c>
      <c r="M22" s="553">
        <v>2011</v>
      </c>
      <c r="N22" s="557">
        <f>'Private,Public8EndUse'!M76</f>
        <v>0</v>
      </c>
      <c r="O22" s="557">
        <f>'Private,Public8EndUse'!N76</f>
        <v>0.37837192647409884</v>
      </c>
      <c r="P22" s="557">
        <f>'Private,Public8EndUse'!O76</f>
        <v>0</v>
      </c>
      <c r="Q22" s="557">
        <f>'Private,Public8EndUse'!P76</f>
        <v>0</v>
      </c>
      <c r="R22" s="557">
        <f>'Private,Public8EndUse'!Q76</f>
        <v>0</v>
      </c>
      <c r="S22" s="557">
        <f>'Private,Public8EndUse'!L76</f>
        <v>0.62138935306755794</v>
      </c>
      <c r="T22" s="557">
        <f>'Private,Public8EndUse'!R76</f>
        <v>2.3872045834328001E-4</v>
      </c>
      <c r="U22" s="555">
        <f t="shared" si="1"/>
        <v>1.0000000000000002</v>
      </c>
      <c r="V22" s="103"/>
      <c r="W22" s="103"/>
      <c r="X22" s="553">
        <v>2011</v>
      </c>
      <c r="Y22" s="554">
        <f>'Private,Public8EndUse'!M56</f>
        <v>0.34722021312503015</v>
      </c>
      <c r="Z22" s="554">
        <f>'Private,Public8EndUse'!N56</f>
        <v>0.1005834418245817</v>
      </c>
      <c r="AA22" s="554">
        <f>'Private,Public8EndUse'!O56</f>
        <v>0.10627320507256859</v>
      </c>
      <c r="AB22" s="554">
        <f>'Private,Public8EndUse'!P56</f>
        <v>0.13939919957567867</v>
      </c>
      <c r="AC22" s="554">
        <f>'Private,Public8EndUse'!Q56</f>
        <v>0.14200298953662183</v>
      </c>
      <c r="AD22" s="554">
        <f>'Private,Public8EndUse'!L56</f>
        <v>8.7178745358985482E-2</v>
      </c>
      <c r="AE22" s="554">
        <f>'Private,Public8EndUse'!R56</f>
        <v>7.734220550653359E-2</v>
      </c>
      <c r="AF22" s="555">
        <f t="shared" si="0"/>
        <v>1</v>
      </c>
      <c r="AG22"/>
    </row>
    <row r="23" spans="2:33">
      <c r="B23" s="553">
        <v>2012</v>
      </c>
      <c r="C23" s="554">
        <f>'Private,Public8EndUse'!M27</f>
        <v>0.25160584939182723</v>
      </c>
      <c r="D23" s="554">
        <f>'Private,Public8EndUse'!N27</f>
        <v>0.17428590952576192</v>
      </c>
      <c r="E23" s="554">
        <f>'Private,Public8EndUse'!O27</f>
        <v>7.5440754407544081E-2</v>
      </c>
      <c r="F23" s="554">
        <f>'Private,Public8EndUse'!P27</f>
        <v>9.3720103867705337E-2</v>
      </c>
      <c r="G23" s="554">
        <f>'Private,Public8EndUse'!Q27</f>
        <v>0.10588355883558835</v>
      </c>
      <c r="H23" s="554">
        <f>'Private,Public8EndUse'!L27</f>
        <v>0.23042230422304222</v>
      </c>
      <c r="I23" s="554">
        <f>'Private,Public8EndUse'!R27</f>
        <v>6.8607352740194069E-2</v>
      </c>
      <c r="J23" s="555">
        <f t="shared" si="2"/>
        <v>0.99996583299166308</v>
      </c>
      <c r="M23" s="553">
        <v>2012</v>
      </c>
      <c r="N23" s="557">
        <f>'Private,Public8EndUse'!M77</f>
        <v>0</v>
      </c>
      <c r="O23" s="557">
        <f>'Private,Public8EndUse'!N77</f>
        <v>0.39341013254056734</v>
      </c>
      <c r="P23" s="557">
        <f>'Private,Public8EndUse'!O77</f>
        <v>0</v>
      </c>
      <c r="Q23" s="557">
        <f>'Private,Public8EndUse'!P77</f>
        <v>0</v>
      </c>
      <c r="R23" s="557">
        <f>'Private,Public8EndUse'!Q77</f>
        <v>0</v>
      </c>
      <c r="S23" s="557">
        <f>'Private,Public8EndUse'!L77</f>
        <v>0.60658986745943266</v>
      </c>
      <c r="T23" s="557">
        <f>'Private,Public8EndUse'!R77</f>
        <v>1.238696890870804E-4</v>
      </c>
      <c r="U23" s="555">
        <f t="shared" si="1"/>
        <v>1.0001238696890871</v>
      </c>
      <c r="V23" s="26"/>
      <c r="W23" s="103"/>
      <c r="X23" s="553">
        <v>2012</v>
      </c>
      <c r="Y23" s="554">
        <f>'Private,Public8EndUse'!M57</f>
        <v>0.34744043406463787</v>
      </c>
      <c r="Z23" s="554">
        <f>'Private,Public8EndUse'!N57</f>
        <v>9.0823307383816942E-2</v>
      </c>
      <c r="AA23" s="554">
        <f>'Private,Public8EndUse'!O57</f>
        <v>0.10417551309271054</v>
      </c>
      <c r="AB23" s="554">
        <f>'Private,Public8EndUse'!P57</f>
        <v>0.12941731540457654</v>
      </c>
      <c r="AC23" s="554">
        <f>'Private,Public8EndUse'!Q57</f>
        <v>0.1462137296532201</v>
      </c>
      <c r="AD23" s="554">
        <f>'Private,Public8EndUse'!L57</f>
        <v>8.7143194149563577E-2</v>
      </c>
      <c r="AE23" s="554">
        <f>'Private,Public8EndUse'!R57</f>
        <v>9.4692144373673043E-2</v>
      </c>
      <c r="AF23" s="556">
        <f t="shared" ref="AF23:AF61" si="3">SUM(Y23:AE23)</f>
        <v>0.99990563812219868</v>
      </c>
      <c r="AG23"/>
    </row>
    <row r="24" spans="2:33">
      <c r="B24" s="553">
        <v>2013</v>
      </c>
      <c r="C24" s="554">
        <f>'Private,Public8EndUse'!M28</f>
        <v>0.22906325905586652</v>
      </c>
      <c r="D24" s="554">
        <f>'Private,Public8EndUse'!N28</f>
        <v>0.1793219980990601</v>
      </c>
      <c r="E24" s="554">
        <f>'Private,Public8EndUse'!O28</f>
        <v>7.3819833139719085E-2</v>
      </c>
      <c r="F24" s="554">
        <f>'Private,Public8EndUse'!P28</f>
        <v>9.3814904776991587E-2</v>
      </c>
      <c r="G24" s="554">
        <f>'Private,Public8EndUse'!Q28</f>
        <v>0.11307072200513958</v>
      </c>
      <c r="H24" s="554">
        <f>'Private,Public8EndUse'!L28</f>
        <v>0.2350124969197733</v>
      </c>
      <c r="I24" s="554">
        <f>'Private,Public8EndUse'!R28</f>
        <v>7.5861583412539166E-2</v>
      </c>
      <c r="J24" s="555">
        <f t="shared" si="2"/>
        <v>0.99996479740908928</v>
      </c>
      <c r="M24" s="553">
        <v>2013</v>
      </c>
      <c r="N24" s="557">
        <f>'Private,Public8EndUse'!M78</f>
        <v>0</v>
      </c>
      <c r="O24" s="557">
        <f>'Private,Public8EndUse'!N78</f>
        <v>0.3921841406348805</v>
      </c>
      <c r="P24" s="557">
        <f>'Private,Public8EndUse'!O78</f>
        <v>0</v>
      </c>
      <c r="Q24" s="557">
        <f>'Private,Public8EndUse'!P78</f>
        <v>0</v>
      </c>
      <c r="R24" s="557">
        <f>'Private,Public8EndUse'!Q78</f>
        <v>0</v>
      </c>
      <c r="S24" s="557">
        <f>'Private,Public8EndUse'!L78</f>
        <v>0.6075629189325914</v>
      </c>
      <c r="T24" s="557">
        <f>'Private,Public8EndUse'!R78</f>
        <v>0</v>
      </c>
      <c r="U24" s="555">
        <f t="shared" si="1"/>
        <v>0.9997470595674719</v>
      </c>
      <c r="V24" s="26"/>
      <c r="W24" s="103"/>
      <c r="X24" s="553">
        <v>2013</v>
      </c>
      <c r="Y24" s="554">
        <f>'Private,Public8EndUse'!M58</f>
        <v>0.31741463414634147</v>
      </c>
      <c r="Z24" s="554">
        <f>'Private,Public8EndUse'!N58</f>
        <v>9.7219512195121954E-2</v>
      </c>
      <c r="AA24" s="554">
        <f>'Private,Public8EndUse'!O58</f>
        <v>0.10229268292682926</v>
      </c>
      <c r="AB24" s="554">
        <f>'Private,Public8EndUse'!P58</f>
        <v>0.13</v>
      </c>
      <c r="AC24" s="554">
        <f>'Private,Public8EndUse'!Q58</f>
        <v>0.15668292682926829</v>
      </c>
      <c r="AD24" s="554">
        <f>'Private,Public8EndUse'!L58</f>
        <v>9.1317073170731705E-2</v>
      </c>
      <c r="AE24" s="554">
        <f>'Private,Public8EndUse'!R58</f>
        <v>0.10512195121951219</v>
      </c>
      <c r="AF24" s="556">
        <f t="shared" si="3"/>
        <v>1.0000487804878049</v>
      </c>
      <c r="AG24"/>
    </row>
    <row r="25" spans="2:33">
      <c r="B25" s="553">
        <v>2014</v>
      </c>
      <c r="C25" s="554">
        <f>'Private,Public8EndUse'!M29</f>
        <v>0.27641076115485563</v>
      </c>
      <c r="D25" s="554">
        <f>'Private,Public8EndUse'!N29</f>
        <v>0.16758530183727033</v>
      </c>
      <c r="E25" s="554">
        <f>'Private,Public8EndUse'!O29</f>
        <v>6.8372703412073493E-2</v>
      </c>
      <c r="F25" s="554">
        <f>'Private,Public8EndUse'!P29</f>
        <v>9.3208661417322841E-2</v>
      </c>
      <c r="G25" s="554">
        <f>'Private,Public8EndUse'!Q29</f>
        <v>0.10475721784776904</v>
      </c>
      <c r="H25" s="554">
        <f>'Private,Public8EndUse'!L29</f>
        <v>0.21935695538057742</v>
      </c>
      <c r="I25" s="554">
        <f>'Private,Public8EndUse'!R29</f>
        <v>7.0308398950131232E-2</v>
      </c>
      <c r="J25" s="555">
        <f t="shared" si="2"/>
        <v>1</v>
      </c>
      <c r="M25" s="553">
        <v>2014</v>
      </c>
      <c r="N25" s="557">
        <f>'Private,Public8EndUse'!M79</f>
        <v>0</v>
      </c>
      <c r="O25" s="557">
        <f>'Private,Public8EndUse'!N79</f>
        <v>0.39356622266901231</v>
      </c>
      <c r="P25" s="557">
        <f>'Private,Public8EndUse'!O79</f>
        <v>0</v>
      </c>
      <c r="Q25" s="557">
        <f>'Private,Public8EndUse'!P79</f>
        <v>0</v>
      </c>
      <c r="R25" s="557">
        <f>'Private,Public8EndUse'!Q79</f>
        <v>0</v>
      </c>
      <c r="S25" s="557">
        <f>'Private,Public8EndUse'!L79</f>
        <v>0.60630811761749182</v>
      </c>
      <c r="T25" s="557">
        <f>'Private,Public8EndUse'!R79</f>
        <v>1.2565971349585322E-4</v>
      </c>
      <c r="U25" s="555">
        <f t="shared" si="1"/>
        <v>1</v>
      </c>
      <c r="V25" s="26"/>
      <c r="W25" s="103"/>
      <c r="X25" s="553">
        <v>2014</v>
      </c>
      <c r="Y25" s="554">
        <f>'Private,Public8EndUse'!M59</f>
        <v>0.37407867862534411</v>
      </c>
      <c r="Z25" s="554">
        <f>'Private,Public8EndUse'!N59</f>
        <v>8.7736435485303257E-2</v>
      </c>
      <c r="AA25" s="554">
        <f>'Private,Public8EndUse'!O59</f>
        <v>9.2531746736524284E-2</v>
      </c>
      <c r="AB25" s="554">
        <f>'Private,Public8EndUse'!P59</f>
        <v>0.12614332652517538</v>
      </c>
      <c r="AC25" s="554">
        <f>'Private,Public8EndUse'!Q59</f>
        <v>0.14177248912174761</v>
      </c>
      <c r="AD25" s="554">
        <f>'Private,Public8EndUse'!L59</f>
        <v>8.2630317023354938E-2</v>
      </c>
      <c r="AE25" s="554">
        <f>'Private,Public8EndUse'!R59</f>
        <v>9.5107006482550396E-2</v>
      </c>
      <c r="AF25" s="556">
        <f t="shared" si="3"/>
        <v>0.99999999999999989</v>
      </c>
      <c r="AG25"/>
    </row>
    <row r="26" spans="2:33">
      <c r="B26" s="553">
        <v>2015</v>
      </c>
      <c r="C26" s="554">
        <f>'Private,Public8EndUse'!M30</f>
        <v>0.27728755364806867</v>
      </c>
      <c r="D26" s="554">
        <f>'Private,Public8EndUse'!N30</f>
        <v>0.16418884120171673</v>
      </c>
      <c r="E26" s="554">
        <f>'Private,Public8EndUse'!O30</f>
        <v>6.8326180257510735E-2</v>
      </c>
      <c r="F26" s="554">
        <f>'Private,Public8EndUse'!P30</f>
        <v>9.7579399141630899E-2</v>
      </c>
      <c r="G26" s="554">
        <f>'Private,Public8EndUse'!Q30</f>
        <v>0.10465236051502146</v>
      </c>
      <c r="H26" s="554">
        <f>'Private,Public8EndUse'!L30</f>
        <v>0.2177167381974249</v>
      </c>
      <c r="I26" s="554">
        <f>'Private,Public8EndUse'!R30</f>
        <v>7.0248927038626605E-2</v>
      </c>
      <c r="J26" s="555">
        <f t="shared" si="2"/>
        <v>1</v>
      </c>
      <c r="M26" s="553">
        <v>2015</v>
      </c>
      <c r="N26" s="557">
        <f>'Private,Public8EndUse'!M80</f>
        <v>0</v>
      </c>
      <c r="O26" s="557">
        <f>'Private,Public8EndUse'!N80</f>
        <v>0.39536423841059604</v>
      </c>
      <c r="P26" s="557">
        <f>'Private,Public8EndUse'!O80</f>
        <v>0</v>
      </c>
      <c r="Q26" s="557">
        <f>'Private,Public8EndUse'!P80</f>
        <v>0</v>
      </c>
      <c r="R26" s="557">
        <f>'Private,Public8EndUse'!Q80</f>
        <v>0</v>
      </c>
      <c r="S26" s="557">
        <f>'Private,Public8EndUse'!L80</f>
        <v>0.60450331125827816</v>
      </c>
      <c r="T26" s="557">
        <f>'Private,Public8EndUse'!R80</f>
        <v>1.3245033112582781E-4</v>
      </c>
      <c r="U26" s="555">
        <f t="shared" si="1"/>
        <v>1</v>
      </c>
      <c r="V26" s="26"/>
      <c r="W26" s="103"/>
      <c r="X26" s="553">
        <v>2015</v>
      </c>
      <c r="Y26" s="554">
        <f>'Private,Public8EndUse'!M60</f>
        <v>0.37432213209733489</v>
      </c>
      <c r="Z26" s="554">
        <f>'Private,Public8EndUse'!N60</f>
        <v>8.3290845886442644E-2</v>
      </c>
      <c r="AA26" s="554">
        <f>'Private,Public8EndUse'!O60</f>
        <v>9.2236384704519114E-2</v>
      </c>
      <c r="AB26" s="554">
        <f>'Private,Public8EndUse'!P60</f>
        <v>0.13172653534183082</v>
      </c>
      <c r="AC26" s="554">
        <f>'Private,Public8EndUse'!Q60</f>
        <v>0.14127462340672073</v>
      </c>
      <c r="AD26" s="554">
        <f>'Private,Public8EndUse'!L60</f>
        <v>8.2363847045191188E-2</v>
      </c>
      <c r="AE26" s="554">
        <f>'Private,Public8EndUse'!R60</f>
        <v>9.47856315179606E-2</v>
      </c>
      <c r="AF26" s="556">
        <f t="shared" si="3"/>
        <v>0.99999999999999989</v>
      </c>
      <c r="AG26"/>
    </row>
    <row r="27" spans="2:33">
      <c r="B27" s="553">
        <v>2016</v>
      </c>
      <c r="C27" s="554">
        <f>'Private,Public8EndUse'!M31</f>
        <v>0.2706709813763043</v>
      </c>
      <c r="D27" s="554">
        <f>'Private,Public8EndUse'!N31</f>
        <v>0.16820763439439967</v>
      </c>
      <c r="E27" s="554">
        <f>'Private,Public8EndUse'!O31</f>
        <v>6.9574692907145685E-2</v>
      </c>
      <c r="F27" s="554">
        <f>'Private,Public8EndUse'!P31</f>
        <v>9.4043059041077792E-2</v>
      </c>
      <c r="G27" s="554">
        <f>'Private,Public8EndUse'!Q31</f>
        <v>0.10662395984678379</v>
      </c>
      <c r="H27" s="554">
        <f>'Private,Public8EndUse'!L31</f>
        <v>0.21932373530577204</v>
      </c>
      <c r="I27" s="554">
        <f>'Private,Public8EndUse'!R31</f>
        <v>7.1555937128516711E-2</v>
      </c>
      <c r="J27" s="555">
        <f t="shared" si="2"/>
        <v>0.99999999999999989</v>
      </c>
      <c r="M27" s="553">
        <v>2016</v>
      </c>
      <c r="N27" s="557">
        <f>'Private,Public8EndUse'!M81</f>
        <v>0</v>
      </c>
      <c r="O27" s="557">
        <f>'Private,Public8EndUse'!N81</f>
        <v>0.39652768977315928</v>
      </c>
      <c r="P27" s="557">
        <f>'Private,Public8EndUse'!O81</f>
        <v>0</v>
      </c>
      <c r="Q27" s="557">
        <f>'Private,Public8EndUse'!P81</f>
        <v>0</v>
      </c>
      <c r="R27" s="557">
        <f>'Private,Public8EndUse'!Q81</f>
        <v>0</v>
      </c>
      <c r="S27" s="557">
        <f>'Private,Public8EndUse'!L81</f>
        <v>0.6032188569256115</v>
      </c>
      <c r="T27" s="557">
        <f>'Private,Public8EndUse'!R81</f>
        <v>1.2672665061462426E-4</v>
      </c>
      <c r="U27" s="555">
        <f t="shared" si="1"/>
        <v>0.99987327334938536</v>
      </c>
      <c r="V27" s="26"/>
      <c r="W27" s="103"/>
      <c r="X27" s="553">
        <v>2016</v>
      </c>
      <c r="Y27" s="554">
        <f>'Private,Public8EndUse'!M61</f>
        <v>0.36605189121600501</v>
      </c>
      <c r="Z27" s="554">
        <f>'Private,Public8EndUse'!N61</f>
        <v>8.7750636359576653E-2</v>
      </c>
      <c r="AA27" s="554">
        <f>'Private,Public8EndUse'!O61</f>
        <v>9.4091903719912467E-2</v>
      </c>
      <c r="AB27" s="554">
        <f>'Private,Public8EndUse'!P61</f>
        <v>0.12718260170589024</v>
      </c>
      <c r="AC27" s="554">
        <f>'Private,Public8EndUse'!Q61</f>
        <v>0.1441968472290448</v>
      </c>
      <c r="AD27" s="554">
        <f>'Private,Public8EndUse'!L61</f>
        <v>8.4044120930647975E-2</v>
      </c>
      <c r="AE27" s="554">
        <f>'Private,Public8EndUse'!R61</f>
        <v>9.6726655651319604E-2</v>
      </c>
      <c r="AF27" s="556">
        <f t="shared" si="3"/>
        <v>1.0000446568123966</v>
      </c>
      <c r="AG27"/>
    </row>
    <row r="28" spans="2:33">
      <c r="B28" s="23">
        <v>2017</v>
      </c>
      <c r="C28" s="127">
        <f>1-SUM(D28:I28)</f>
        <v>0.28373480269138296</v>
      </c>
      <c r="D28" s="127">
        <f>TREND($D$63:$D$64,$B$63:$B$64,$B28)</f>
        <v>0.16620152750044781</v>
      </c>
      <c r="E28" s="26">
        <v>0.06</v>
      </c>
      <c r="F28" s="127">
        <f t="shared" ref="F28:F61" si="4">TREND($F$63:$F$64,$B$63:$B$64,$B28)</f>
        <v>9.4512380833987275E-2</v>
      </c>
      <c r="G28" s="127">
        <f>G27</f>
        <v>0.10662395984678379</v>
      </c>
      <c r="H28" s="127">
        <f t="shared" ref="H28:H61" si="5">TREND($H$63:$H$64,$B$63:$B$64,$B28)</f>
        <v>0.21699068426736723</v>
      </c>
      <c r="I28" s="127">
        <f t="shared" ref="I28:I61" si="6">TREND($I$63:$I$64,$B$63:$B$64,$B28)</f>
        <v>7.1936644860030929E-2</v>
      </c>
      <c r="J28" s="27">
        <f t="shared" ref="J28:J61" si="7">SUM(C28:I28)</f>
        <v>0.99999999999999989</v>
      </c>
      <c r="M28" s="23">
        <v>2017</v>
      </c>
      <c r="N28" s="54">
        <f>TREND($N$23:$N$27,$M$23:$M$27,M28)</f>
        <v>0</v>
      </c>
      <c r="O28" s="54">
        <f t="shared" ref="O28:O61" si="8">TREND(O$23:O$27,$M$23:$M$27,$M28)</f>
        <v>0.39703504847791304</v>
      </c>
      <c r="P28" s="54">
        <f t="shared" ref="P28:R43" si="9">TREND(P$22:P$27,$M$22:$M$27,$M28)</f>
        <v>0</v>
      </c>
      <c r="Q28" s="54">
        <f t="shared" si="9"/>
        <v>0</v>
      </c>
      <c r="R28" s="54">
        <f t="shared" si="9"/>
        <v>0</v>
      </c>
      <c r="S28" s="54">
        <f>1-SUM(N28:R28)-T28</f>
        <v>0.60283822487147232</v>
      </c>
      <c r="T28" s="54">
        <f>T27</f>
        <v>1.2672665061462426E-4</v>
      </c>
      <c r="U28" s="27">
        <f>SUM(N28:T28)</f>
        <v>1</v>
      </c>
      <c r="V28" s="26"/>
      <c r="W28" s="103"/>
      <c r="X28" s="23">
        <v>2017</v>
      </c>
      <c r="Y28" s="127">
        <f>(C28-(N28*(1-'Future Type Share'!$M18)))/'Future Type Share'!$M18</f>
        <v>0.40189065537023061</v>
      </c>
      <c r="Z28" s="127">
        <f>(D28-(O28*(1-'Future Type Share'!$M18)))/'Future Type Share'!$M18</f>
        <v>7.0075387036744347E-2</v>
      </c>
      <c r="AA28" s="127">
        <f>(E28-(P28*(1-'Future Type Share'!$M18)))/'Future Type Share'!$M18</f>
        <v>8.4985835694050937E-2</v>
      </c>
      <c r="AB28" s="127">
        <f>(F28-(Q28*(1-'Future Type Share'!$M18)))/'Future Type Share'!$M18</f>
        <v>0.13387022781018021</v>
      </c>
      <c r="AC28" s="127">
        <f>(G28-(R28*(1-'Future Type Share'!$M18)))/'Future Type Share'!$M18</f>
        <v>0.15102543887646419</v>
      </c>
      <c r="AD28" s="127">
        <f>(H28-(S28*(1-'Future Type Share'!$M18)))/'Future Type Share'!$M18</f>
        <v>5.6311963392570233E-2</v>
      </c>
      <c r="AE28" s="127">
        <f>(I28-(T28*(1-'Future Type Share'!$M18)))/'Future Type Share'!$M18</f>
        <v>0.10184049181975947</v>
      </c>
      <c r="AF28" s="27">
        <f t="shared" si="3"/>
        <v>1</v>
      </c>
      <c r="AG28"/>
    </row>
    <row r="29" spans="2:33">
      <c r="B29" s="23">
        <v>2018</v>
      </c>
      <c r="C29" s="127">
        <f t="shared" ref="C29:C61" si="10">1-SUM(D29:I29)</f>
        <v>0.28722393109931788</v>
      </c>
      <c r="D29" s="127">
        <f t="shared" ref="D29:D61" si="11">TREND($D$63:$D$64,$B$63:$B$64,$B29)</f>
        <v>0.16419542060649484</v>
      </c>
      <c r="E29" s="26">
        <v>0.06</v>
      </c>
      <c r="F29" s="127">
        <f t="shared" si="4"/>
        <v>9.4981702626896758E-2</v>
      </c>
      <c r="G29" s="127">
        <f t="shared" ref="G29:G60" si="12">G28</f>
        <v>0.10662395984678379</v>
      </c>
      <c r="H29" s="127">
        <f t="shared" si="5"/>
        <v>0.21465763322896159</v>
      </c>
      <c r="I29" s="127">
        <f t="shared" si="6"/>
        <v>7.2317352591545148E-2</v>
      </c>
      <c r="J29" s="27">
        <f t="shared" si="7"/>
        <v>1</v>
      </c>
      <c r="M29" s="23">
        <v>2018</v>
      </c>
      <c r="N29" s="54">
        <f t="shared" ref="N29:N61" si="13">TREND($N$22:$N$27,$M$22:$M$27,M29)</f>
        <v>0</v>
      </c>
      <c r="O29" s="54">
        <f t="shared" si="8"/>
        <v>0.39797656970200301</v>
      </c>
      <c r="P29" s="54">
        <f t="shared" si="9"/>
        <v>0</v>
      </c>
      <c r="Q29" s="54">
        <f t="shared" si="9"/>
        <v>0</v>
      </c>
      <c r="R29" s="54">
        <f t="shared" si="9"/>
        <v>0</v>
      </c>
      <c r="S29" s="54">
        <f t="shared" ref="S29:S61" si="14">1-SUM(N29:R29)-T29</f>
        <v>0.60189670364738235</v>
      </c>
      <c r="T29" s="54">
        <f t="shared" ref="T29:T61" si="15">T28</f>
        <v>1.2672665061462426E-4</v>
      </c>
      <c r="U29" s="27">
        <f t="shared" ref="U29:U61" si="16">SUM(N29:T29)</f>
        <v>1</v>
      </c>
      <c r="V29" s="26"/>
      <c r="W29" s="103"/>
      <c r="X29" s="23">
        <v>2018</v>
      </c>
      <c r="Y29" s="127">
        <f>(C29-(N29*(1-'Future Type Share'!$M19)))/'Future Type Share'!$M19</f>
        <v>0.4044371789672932</v>
      </c>
      <c r="Z29" s="127">
        <f>(D29-(O29*(1-'Future Type Share'!$M19)))/'Future Type Share'!$M19</f>
        <v>6.8791643940278979E-2</v>
      </c>
      <c r="AA29" s="127">
        <f>(E29-(P29*(1-'Future Type Share'!$M19)))/'Future Type Share'!$M19</f>
        <v>8.4485407066052162E-2</v>
      </c>
      <c r="AB29" s="127">
        <f>(F29-(Q29*(1-'Future Type Share'!$M19)))/'Future Type Share'!$M19</f>
        <v>0.13374279683766815</v>
      </c>
      <c r="AC29" s="127">
        <f>(G29-(R29*(1-'Future Type Share'!$M19)))/'Future Type Share'!$M19</f>
        <v>0.15013614417749882</v>
      </c>
      <c r="AD29" s="127">
        <f>(H29-(S29*(1-'Future Type Share'!$M19)))/'Future Type Share'!$M19</f>
        <v>5.6629195377717052E-2</v>
      </c>
      <c r="AE29" s="127">
        <f>(I29-(T29*(1-'Future Type Share'!$M19)))/'Future Type Share'!$M19</f>
        <v>0.10177763363349163</v>
      </c>
      <c r="AF29" s="27">
        <f t="shared" si="3"/>
        <v>1</v>
      </c>
      <c r="AG29"/>
    </row>
    <row r="30" spans="2:33">
      <c r="B30" s="23">
        <v>2019</v>
      </c>
      <c r="C30" s="127">
        <f t="shared" si="10"/>
        <v>0.2907130595072519</v>
      </c>
      <c r="D30" s="127">
        <f t="shared" si="11"/>
        <v>0.16218931371254186</v>
      </c>
      <c r="E30" s="26">
        <v>0.06</v>
      </c>
      <c r="F30" s="127">
        <f t="shared" si="4"/>
        <v>9.5451024419806241E-2</v>
      </c>
      <c r="G30" s="127">
        <f t="shared" si="12"/>
        <v>0.10662395984678379</v>
      </c>
      <c r="H30" s="127">
        <f t="shared" si="5"/>
        <v>0.21232458219055683</v>
      </c>
      <c r="I30" s="127">
        <f t="shared" si="6"/>
        <v>7.2698060323059366E-2</v>
      </c>
      <c r="J30" s="27">
        <f t="shared" si="7"/>
        <v>0.99999999999999989</v>
      </c>
      <c r="M30" s="23">
        <v>2019</v>
      </c>
      <c r="N30" s="54">
        <f t="shared" si="13"/>
        <v>0</v>
      </c>
      <c r="O30" s="54">
        <f t="shared" si="8"/>
        <v>0.39891809092609298</v>
      </c>
      <c r="P30" s="54">
        <f t="shared" si="9"/>
        <v>0</v>
      </c>
      <c r="Q30" s="54">
        <f t="shared" si="9"/>
        <v>0</v>
      </c>
      <c r="R30" s="54">
        <f t="shared" si="9"/>
        <v>0</v>
      </c>
      <c r="S30" s="54">
        <f t="shared" si="14"/>
        <v>0.60095518242329238</v>
      </c>
      <c r="T30" s="54">
        <f t="shared" si="15"/>
        <v>1.2672665061462426E-4</v>
      </c>
      <c r="U30" s="27">
        <f t="shared" si="16"/>
        <v>1</v>
      </c>
      <c r="V30" s="26"/>
      <c r="W30" s="103"/>
      <c r="X30" s="23">
        <v>2019</v>
      </c>
      <c r="Y30" s="127">
        <f>(C30-(N30*(1-'Future Type Share'!$M20)))/'Future Type Share'!$M20</f>
        <v>0.40695388834051516</v>
      </c>
      <c r="Z30" s="127">
        <f>(D30-(O30*(1-'Future Type Share'!$M20)))/'Future Type Share'!$M20</f>
        <v>6.7533953823896486E-2</v>
      </c>
      <c r="AA30" s="127">
        <f>(E30-(P30*(1-'Future Type Share'!$M20)))/'Future Type Share'!$M20</f>
        <v>8.3990837363196666E-2</v>
      </c>
      <c r="AB30" s="127">
        <f>(F30-(Q30*(1-'Future Type Share'!$M20)))/'Future Type Share'!$M20</f>
        <v>0.13361685780324101</v>
      </c>
      <c r="AC30" s="127">
        <f>(G30-(R30*(1-'Future Type Share'!$M20)))/'Future Type Share'!$M20</f>
        <v>0.14925726117518714</v>
      </c>
      <c r="AD30" s="127">
        <f>(H30-(S30*(1-'Future Type Share'!$M20)))/'Future Type Share'!$M20</f>
        <v>5.6931690114805818E-2</v>
      </c>
      <c r="AE30" s="127">
        <f>(I30-(T30*(1-'Future Type Share'!$M20)))/'Future Type Share'!$M20</f>
        <v>0.1017155113791577</v>
      </c>
      <c r="AF30" s="27">
        <f t="shared" si="3"/>
        <v>0.99999999999999989</v>
      </c>
      <c r="AG30"/>
    </row>
    <row r="31" spans="2:33">
      <c r="B31" s="23">
        <v>2020</v>
      </c>
      <c r="C31" s="127">
        <f t="shared" si="10"/>
        <v>0.29420218791518593</v>
      </c>
      <c r="D31" s="127">
        <f t="shared" si="11"/>
        <v>0.16018320681858889</v>
      </c>
      <c r="E31" s="26">
        <v>0.06</v>
      </c>
      <c r="F31" s="127">
        <f t="shared" si="4"/>
        <v>9.5920346212715724E-2</v>
      </c>
      <c r="G31" s="127">
        <f t="shared" si="12"/>
        <v>0.10662395984678379</v>
      </c>
      <c r="H31" s="127">
        <f t="shared" si="5"/>
        <v>0.20999153115215208</v>
      </c>
      <c r="I31" s="127">
        <f t="shared" si="6"/>
        <v>7.3078768054573584E-2</v>
      </c>
      <c r="J31" s="27">
        <f t="shared" si="7"/>
        <v>1</v>
      </c>
      <c r="M31" s="23">
        <v>2020</v>
      </c>
      <c r="N31" s="54">
        <f t="shared" si="13"/>
        <v>0</v>
      </c>
      <c r="O31" s="54">
        <f t="shared" si="8"/>
        <v>0.39985961215018295</v>
      </c>
      <c r="P31" s="54">
        <f t="shared" si="9"/>
        <v>0</v>
      </c>
      <c r="Q31" s="54">
        <f t="shared" si="9"/>
        <v>0</v>
      </c>
      <c r="R31" s="54">
        <f t="shared" si="9"/>
        <v>0</v>
      </c>
      <c r="S31" s="54">
        <f t="shared" si="14"/>
        <v>0.60001366119920241</v>
      </c>
      <c r="T31" s="54">
        <f t="shared" si="15"/>
        <v>1.2672665061462426E-4</v>
      </c>
      <c r="U31" s="27">
        <f t="shared" si="16"/>
        <v>1</v>
      </c>
      <c r="V31" s="26"/>
      <c r="W31" s="103"/>
      <c r="X31" s="23">
        <v>2020</v>
      </c>
      <c r="Y31" s="127">
        <f>(C31-(N31*(1-'Future Type Share'!$M21)))/'Future Type Share'!$M21</f>
        <v>0.40944130403176138</v>
      </c>
      <c r="Z31" s="127">
        <f>(D31-(O31*(1-'Future Type Share'!$M21)))/'Future Type Share'!$M21</f>
        <v>6.6301861815221907E-2</v>
      </c>
      <c r="AA31" s="127">
        <f>(E31-(P31*(1-'Future Type Share'!$M21)))/'Future Type Share'!$M21</f>
        <v>8.3502024291497889E-2</v>
      </c>
      <c r="AB31" s="127">
        <f>(F31-(Q31*(1-'Future Type Share'!$M21)))/'Future Type Share'!$M21</f>
        <v>0.13349238465838462</v>
      </c>
      <c r="AC31" s="127">
        <f>(G31-(R31*(1-'Future Type Share'!$M21)))/'Future Type Share'!$M21</f>
        <v>0.14838860808636392</v>
      </c>
      <c r="AD31" s="127">
        <f>(H31-(S31*(1-'Future Type Share'!$M21)))/'Future Type Share'!$M21</f>
        <v>5.7219704909026628E-2</v>
      </c>
      <c r="AE31" s="127">
        <f>(I31-(T31*(1-'Future Type Share'!$M21)))/'Future Type Share'!$M21</f>
        <v>0.10165411220774365</v>
      </c>
      <c r="AF31" s="27">
        <f t="shared" si="3"/>
        <v>1</v>
      </c>
      <c r="AG31"/>
    </row>
    <row r="32" spans="2:33">
      <c r="B32" s="23">
        <v>2021</v>
      </c>
      <c r="C32" s="127">
        <f t="shared" si="10"/>
        <v>0.29769131632312096</v>
      </c>
      <c r="D32" s="127">
        <f t="shared" si="11"/>
        <v>0.15817709992463591</v>
      </c>
      <c r="E32" s="26">
        <v>0.06</v>
      </c>
      <c r="F32" s="127">
        <f t="shared" si="4"/>
        <v>9.6389668005625095E-2</v>
      </c>
      <c r="G32" s="127">
        <f t="shared" si="12"/>
        <v>0.10662395984678379</v>
      </c>
      <c r="H32" s="127">
        <f t="shared" si="5"/>
        <v>0.20765848011374644</v>
      </c>
      <c r="I32" s="127">
        <f t="shared" si="6"/>
        <v>7.3459475786087802E-2</v>
      </c>
      <c r="J32" s="27">
        <f t="shared" si="7"/>
        <v>1</v>
      </c>
      <c r="M32" s="23">
        <v>2021</v>
      </c>
      <c r="N32" s="54">
        <f t="shared" si="13"/>
        <v>0</v>
      </c>
      <c r="O32" s="54">
        <f t="shared" si="8"/>
        <v>0.4008011333742727</v>
      </c>
      <c r="P32" s="54">
        <f t="shared" si="9"/>
        <v>0</v>
      </c>
      <c r="Q32" s="54">
        <f t="shared" si="9"/>
        <v>0</v>
      </c>
      <c r="R32" s="54">
        <f t="shared" si="9"/>
        <v>0</v>
      </c>
      <c r="S32" s="54">
        <f t="shared" si="14"/>
        <v>0.59907213997511266</v>
      </c>
      <c r="T32" s="54">
        <f t="shared" si="15"/>
        <v>1.2672665061462426E-4</v>
      </c>
      <c r="U32" s="27">
        <f t="shared" si="16"/>
        <v>1</v>
      </c>
      <c r="V32" s="26"/>
      <c r="W32" s="103"/>
      <c r="X32" s="23">
        <v>2021</v>
      </c>
      <c r="Y32" s="127">
        <f>(C32-(N32*(1-'Future Type Share'!$M22)))/'Future Type Share'!$M22</f>
        <v>0.41189993453513546</v>
      </c>
      <c r="Z32" s="127">
        <f>(D32-(O32*(1-'Future Type Share'!$M22)))/'Future Type Share'!$M22</f>
        <v>6.5094923569744181E-2</v>
      </c>
      <c r="AA32" s="127">
        <f>(E32-(P32*(1-'Future Type Share'!$M22)))/'Future Type Share'!$M22</f>
        <v>8.30188679245282E-2</v>
      </c>
      <c r="AB32" s="127">
        <f>(F32-(Q32*(1-'Future Type Share'!$M22)))/'Future Type Share'!$M22</f>
        <v>0.13336935195746855</v>
      </c>
      <c r="AC32" s="127">
        <f>(G32-(R32*(1-'Future Type Share'!$M22)))/'Future Type Share'!$M22</f>
        <v>0.14753000733517235</v>
      </c>
      <c r="AD32" s="127">
        <f>(H32-(S32*(1-'Future Type Share'!$M22)))/'Future Type Share'!$M22</f>
        <v>5.7493491110329809E-2</v>
      </c>
      <c r="AE32" s="127">
        <f>(I32-(T32*(1-'Future Type Share'!$M22)))/'Future Type Share'!$M22</f>
        <v>0.10159342356762142</v>
      </c>
      <c r="AF32" s="27">
        <f t="shared" si="3"/>
        <v>1</v>
      </c>
      <c r="AG32"/>
    </row>
    <row r="33" spans="2:33">
      <c r="B33" s="23">
        <v>2022</v>
      </c>
      <c r="C33" s="127">
        <f t="shared" si="10"/>
        <v>0.30118044473105499</v>
      </c>
      <c r="D33" s="127">
        <f t="shared" si="11"/>
        <v>0.15617099303068294</v>
      </c>
      <c r="E33" s="26">
        <v>0.06</v>
      </c>
      <c r="F33" s="127">
        <f t="shared" si="4"/>
        <v>9.6858989798534578E-2</v>
      </c>
      <c r="G33" s="127">
        <f t="shared" si="12"/>
        <v>0.10662395984678379</v>
      </c>
      <c r="H33" s="127">
        <f t="shared" si="5"/>
        <v>0.20532542907534168</v>
      </c>
      <c r="I33" s="127">
        <f t="shared" si="6"/>
        <v>7.384018351760202E-2</v>
      </c>
      <c r="J33" s="27">
        <f t="shared" si="7"/>
        <v>0.99999999999999989</v>
      </c>
      <c r="M33" s="23">
        <v>2022</v>
      </c>
      <c r="N33" s="54">
        <f t="shared" si="13"/>
        <v>0</v>
      </c>
      <c r="O33" s="54">
        <f t="shared" si="8"/>
        <v>0.40174265459836267</v>
      </c>
      <c r="P33" s="54">
        <f t="shared" si="9"/>
        <v>0</v>
      </c>
      <c r="Q33" s="54">
        <f t="shared" si="9"/>
        <v>0</v>
      </c>
      <c r="R33" s="54">
        <f t="shared" si="9"/>
        <v>0</v>
      </c>
      <c r="S33" s="54">
        <f t="shared" si="14"/>
        <v>0.59813061875102269</v>
      </c>
      <c r="T33" s="54">
        <f t="shared" si="15"/>
        <v>1.2672665061462426E-4</v>
      </c>
      <c r="U33" s="27">
        <f t="shared" si="16"/>
        <v>1</v>
      </c>
      <c r="V33" s="26"/>
      <c r="W33" s="103"/>
      <c r="X33" s="23">
        <v>2022</v>
      </c>
      <c r="Y33" s="127">
        <f>(C33-(N33*(1-'Future Type Share'!$M23)))/'Future Type Share'!$M23</f>
        <v>0.41433027664352184</v>
      </c>
      <c r="Z33" s="127">
        <f>(D33-(O33*(1-'Future Type Share'!$M23)))/'Future Type Share'!$M23</f>
        <v>6.3912704967988274E-2</v>
      </c>
      <c r="AA33" s="127">
        <f>(E33-(P33*(1-'Future Type Share'!$M23)))/'Future Type Share'!$M23</f>
        <v>8.2541270635317548E-2</v>
      </c>
      <c r="AB33" s="127">
        <f>(F33-(Q33*(1-'Future Type Share'!$M23)))/'Future Type Share'!$M23</f>
        <v>0.13324773484040509</v>
      </c>
      <c r="AC33" s="127">
        <f>(G33-(R33*(1-'Future Type Share'!$M23)))/'Future Type Share'!$M23</f>
        <v>0.14668128543204353</v>
      </c>
      <c r="AD33" s="127">
        <f>(H33-(S33*(1-'Future Type Share'!$M23)))/'Future Type Share'!$M23</f>
        <v>5.7753294284728862E-2</v>
      </c>
      <c r="AE33" s="127">
        <f>(I33-(T33*(1-'Future Type Share'!$M23)))/'Future Type Share'!$M23</f>
        <v>0.10153343319599485</v>
      </c>
      <c r="AF33" s="27">
        <f t="shared" si="3"/>
        <v>1</v>
      </c>
      <c r="AG33"/>
    </row>
    <row r="34" spans="2:33">
      <c r="B34" s="23">
        <v>2023</v>
      </c>
      <c r="C34" s="127">
        <f t="shared" si="10"/>
        <v>0.30466957313898901</v>
      </c>
      <c r="D34" s="127">
        <f t="shared" si="11"/>
        <v>0.15416488613672996</v>
      </c>
      <c r="E34" s="26">
        <v>0.06</v>
      </c>
      <c r="F34" s="127">
        <f t="shared" si="4"/>
        <v>9.7328311591444061E-2</v>
      </c>
      <c r="G34" s="127">
        <f t="shared" si="12"/>
        <v>0.10662395984678379</v>
      </c>
      <c r="H34" s="127">
        <f t="shared" si="5"/>
        <v>0.20299237803693693</v>
      </c>
      <c r="I34" s="127">
        <f t="shared" si="6"/>
        <v>7.4220891249116239E-2</v>
      </c>
      <c r="J34" s="27">
        <f t="shared" si="7"/>
        <v>1</v>
      </c>
      <c r="M34" s="23">
        <v>2023</v>
      </c>
      <c r="N34" s="54">
        <f t="shared" si="13"/>
        <v>0</v>
      </c>
      <c r="O34" s="54">
        <f t="shared" si="8"/>
        <v>0.40268417582245264</v>
      </c>
      <c r="P34" s="54">
        <f t="shared" si="9"/>
        <v>0</v>
      </c>
      <c r="Q34" s="54">
        <f t="shared" si="9"/>
        <v>0</v>
      </c>
      <c r="R34" s="54">
        <f t="shared" si="9"/>
        <v>0</v>
      </c>
      <c r="S34" s="54">
        <f t="shared" si="14"/>
        <v>0.59718909752693272</v>
      </c>
      <c r="T34" s="54">
        <f t="shared" si="15"/>
        <v>1.2672665061462426E-4</v>
      </c>
      <c r="U34" s="27">
        <f t="shared" si="16"/>
        <v>1</v>
      </c>
      <c r="V34" s="26"/>
      <c r="W34" s="103"/>
      <c r="X34" s="23">
        <v>2023</v>
      </c>
      <c r="Y34" s="127">
        <f>(C34-(N34*(1-'Future Type Share'!$M24)))/'Future Type Share'!$M24</f>
        <v>0.41673281578324728</v>
      </c>
      <c r="Z34" s="127">
        <f>(D34-(O34*(1-'Future Type Share'!$M24)))/'Future Type Share'!$M24</f>
        <v>6.2754781823081154E-2</v>
      </c>
      <c r="AA34" s="127">
        <f>(E34-(P34*(1-'Future Type Share'!$M24)))/'Future Type Share'!$M24</f>
        <v>8.2069137030589281E-2</v>
      </c>
      <c r="AB34" s="127">
        <f>(F34-(Q34*(1-'Future Type Share'!$M24)))/'Future Type Share'!$M24</f>
        <v>0.13312750901590192</v>
      </c>
      <c r="AC34" s="127">
        <f>(G34-(R34*(1-'Future Type Share'!$M24)))/'Future Type Share'!$M24</f>
        <v>0.14584227285682916</v>
      </c>
      <c r="AD34" s="127">
        <f>(H34-(S34*(1-'Future Type Share'!$M24)))/'Future Type Share'!$M24</f>
        <v>5.7999354379712161E-2</v>
      </c>
      <c r="AE34" s="127">
        <f>(I34-(T34*(1-'Future Type Share'!$M24)))/'Future Type Share'!$M24</f>
        <v>0.10147412911063908</v>
      </c>
      <c r="AF34" s="27">
        <f t="shared" si="3"/>
        <v>1</v>
      </c>
      <c r="AG34"/>
    </row>
    <row r="35" spans="2:33">
      <c r="B35" s="23">
        <v>2024</v>
      </c>
      <c r="C35" s="127">
        <f t="shared" si="10"/>
        <v>0.30815870154692393</v>
      </c>
      <c r="D35" s="127">
        <f t="shared" si="11"/>
        <v>0.15215877924277699</v>
      </c>
      <c r="E35" s="26">
        <v>0.06</v>
      </c>
      <c r="F35" s="127">
        <f t="shared" si="4"/>
        <v>9.7797633384353544E-2</v>
      </c>
      <c r="G35" s="127">
        <f t="shared" si="12"/>
        <v>0.10662395984678379</v>
      </c>
      <c r="H35" s="127">
        <f t="shared" si="5"/>
        <v>0.20065932699853128</v>
      </c>
      <c r="I35" s="127">
        <f t="shared" si="6"/>
        <v>7.4601598980630457E-2</v>
      </c>
      <c r="J35" s="27">
        <f t="shared" si="7"/>
        <v>0.99999999999999989</v>
      </c>
      <c r="M35" s="23">
        <v>2024</v>
      </c>
      <c r="N35" s="54">
        <f t="shared" si="13"/>
        <v>0</v>
      </c>
      <c r="O35" s="54">
        <f t="shared" si="8"/>
        <v>0.40362569704654261</v>
      </c>
      <c r="P35" s="54">
        <f t="shared" si="9"/>
        <v>0</v>
      </c>
      <c r="Q35" s="54">
        <f t="shared" si="9"/>
        <v>0</v>
      </c>
      <c r="R35" s="54">
        <f t="shared" si="9"/>
        <v>0</v>
      </c>
      <c r="S35" s="54">
        <f t="shared" si="14"/>
        <v>0.59624757630284275</v>
      </c>
      <c r="T35" s="54">
        <f t="shared" si="15"/>
        <v>1.2672665061462426E-4</v>
      </c>
      <c r="U35" s="27">
        <f t="shared" si="16"/>
        <v>1</v>
      </c>
      <c r="V35" s="26"/>
      <c r="W35" s="103"/>
      <c r="X35" s="23">
        <v>2024</v>
      </c>
      <c r="Y35" s="127">
        <f>(C35-(N35*(1-'Future Type Share'!$M25)))/'Future Type Share'!$M25</f>
        <v>0.41910802633730937</v>
      </c>
      <c r="Z35" s="127">
        <f>(D35-(O35*(1-'Future Type Share'!$M25)))/'Future Type Share'!$M25</f>
        <v>6.1620739598296129E-2</v>
      </c>
      <c r="AA35" s="127">
        <f>(E35-(P35*(1-'Future Type Share'!$M25)))/'Future Type Share'!$M25</f>
        <v>8.1602373887240232E-2</v>
      </c>
      <c r="AB35" s="127">
        <f>(F35-(Q35*(1-'Future Type Share'!$M25)))/'Future Type Share'!$M25</f>
        <v>0.13300865074528775</v>
      </c>
      <c r="AC35" s="127">
        <f>(G35-(R35*(1-'Future Type Share'!$M25)))/'Future Type Share'!$M25</f>
        <v>0.14501280394592234</v>
      </c>
      <c r="AD35" s="127">
        <f>(H35-(S35*(1-'Future Type Share'!$M25)))/'Future Type Share'!$M25</f>
        <v>5.8231905884022356E-2</v>
      </c>
      <c r="AE35" s="127">
        <f>(I35-(T35*(1-'Future Type Share'!$M25)))/'Future Type Share'!$M25</f>
        <v>0.10141549960192185</v>
      </c>
      <c r="AF35" s="27">
        <f t="shared" si="3"/>
        <v>1</v>
      </c>
      <c r="AG35"/>
    </row>
    <row r="36" spans="2:33">
      <c r="B36" s="23">
        <v>2025</v>
      </c>
      <c r="C36" s="127">
        <f t="shared" si="10"/>
        <v>0.31164782995485796</v>
      </c>
      <c r="D36" s="127">
        <f t="shared" si="11"/>
        <v>0.15015267234882401</v>
      </c>
      <c r="E36" s="26">
        <v>0.06</v>
      </c>
      <c r="F36" s="127">
        <f t="shared" si="4"/>
        <v>9.8266955177263027E-2</v>
      </c>
      <c r="G36" s="127">
        <f t="shared" si="12"/>
        <v>0.10662395984678379</v>
      </c>
      <c r="H36" s="127">
        <f t="shared" si="5"/>
        <v>0.19832627596012653</v>
      </c>
      <c r="I36" s="127">
        <f t="shared" si="6"/>
        <v>7.4982306712144675E-2</v>
      </c>
      <c r="J36" s="27">
        <f t="shared" si="7"/>
        <v>1</v>
      </c>
      <c r="M36" s="23">
        <v>2025</v>
      </c>
      <c r="N36" s="54">
        <f t="shared" si="13"/>
        <v>0</v>
      </c>
      <c r="O36" s="54">
        <f t="shared" si="8"/>
        <v>0.40456721827063258</v>
      </c>
      <c r="P36" s="54">
        <f t="shared" si="9"/>
        <v>0</v>
      </c>
      <c r="Q36" s="54">
        <f t="shared" si="9"/>
        <v>0</v>
      </c>
      <c r="R36" s="54">
        <f t="shared" si="9"/>
        <v>0</v>
      </c>
      <c r="S36" s="54">
        <f t="shared" si="14"/>
        <v>0.59530605507875278</v>
      </c>
      <c r="T36" s="54">
        <f t="shared" si="15"/>
        <v>1.2672665061462426E-4</v>
      </c>
      <c r="U36" s="27">
        <f t="shared" si="16"/>
        <v>1</v>
      </c>
      <c r="V36" s="26"/>
      <c r="W36" s="103"/>
      <c r="X36" s="23">
        <v>2025</v>
      </c>
      <c r="Y36" s="127">
        <f>(C36-(N36*(1-'Future Type Share'!$M26)))/'Future Type Share'!$M26</f>
        <v>0.42145637195763952</v>
      </c>
      <c r="Z36" s="127">
        <f>(D36-(O36*(1-'Future Type Share'!$M26)))/'Future Type Share'!$M26</f>
        <v>6.0510173134181111E-2</v>
      </c>
      <c r="AA36" s="127">
        <f>(E36-(P36*(1-'Future Type Share'!$M26)))/'Future Type Share'!$M26</f>
        <v>8.1140890090976206E-2</v>
      </c>
      <c r="AB36" s="127">
        <f>(F36-(Q36*(1-'Future Type Share'!$M26)))/'Future Type Share'!$M26</f>
        <v>0.13289113682688641</v>
      </c>
      <c r="AC36" s="127">
        <f>(G36-(R36*(1-'Future Type Share'!$M26)))/'Future Type Share'!$M26</f>
        <v>0.14419271678320905</v>
      </c>
      <c r="AD36" s="127">
        <f>(H36-(S36*(1-'Future Type Share'!$M26)))/'Future Type Share'!$M26</f>
        <v>5.8451177982011715E-2</v>
      </c>
      <c r="AE36" s="127">
        <f>(I36-(T36*(1-'Future Type Share'!$M26)))/'Future Type Share'!$M26</f>
        <v>0.10135753322509596</v>
      </c>
      <c r="AF36" s="27">
        <f t="shared" si="3"/>
        <v>1</v>
      </c>
      <c r="AG36"/>
    </row>
    <row r="37" spans="2:33">
      <c r="B37" s="23">
        <v>2026</v>
      </c>
      <c r="C37" s="127">
        <f t="shared" si="10"/>
        <v>0.31513695836279199</v>
      </c>
      <c r="D37" s="127">
        <f t="shared" si="11"/>
        <v>0.14814656545487104</v>
      </c>
      <c r="E37" s="26">
        <v>0.06</v>
      </c>
      <c r="F37" s="127">
        <f t="shared" si="4"/>
        <v>9.873627697017251E-2</v>
      </c>
      <c r="G37" s="127">
        <f t="shared" si="12"/>
        <v>0.10662395984678379</v>
      </c>
      <c r="H37" s="127">
        <f t="shared" si="5"/>
        <v>0.19599322492172178</v>
      </c>
      <c r="I37" s="127">
        <f t="shared" si="6"/>
        <v>7.5363014443658893E-2</v>
      </c>
      <c r="J37" s="27">
        <f t="shared" si="7"/>
        <v>0.99999999999999989</v>
      </c>
      <c r="M37" s="23">
        <v>2026</v>
      </c>
      <c r="N37" s="54">
        <f t="shared" si="13"/>
        <v>0</v>
      </c>
      <c r="O37" s="54">
        <f t="shared" si="8"/>
        <v>0.40550873949472255</v>
      </c>
      <c r="P37" s="54">
        <f t="shared" si="9"/>
        <v>0</v>
      </c>
      <c r="Q37" s="54">
        <f t="shared" si="9"/>
        <v>0</v>
      </c>
      <c r="R37" s="54">
        <f t="shared" si="9"/>
        <v>0</v>
      </c>
      <c r="S37" s="54">
        <f t="shared" si="14"/>
        <v>0.59436453385466281</v>
      </c>
      <c r="T37" s="54">
        <f t="shared" si="15"/>
        <v>1.2672665061462426E-4</v>
      </c>
      <c r="U37" s="27">
        <f t="shared" si="16"/>
        <v>1</v>
      </c>
      <c r="V37" s="26"/>
      <c r="W37" s="103"/>
      <c r="X37" s="23">
        <v>2026</v>
      </c>
      <c r="Y37" s="127">
        <f>(C37-(N37*(1-'Future Type Share'!$M27)))/'Future Type Share'!$M27</f>
        <v>0.42377830586683546</v>
      </c>
      <c r="Z37" s="127">
        <f>(D37-(O37*(1-'Future Type Share'!$M27)))/'Future Type Share'!$M27</f>
        <v>5.9422686384897568E-2</v>
      </c>
      <c r="AA37" s="127">
        <f>(E37-(P37*(1-'Future Type Share'!$M27)))/'Future Type Share'!$M27</f>
        <v>8.0684596577017154E-2</v>
      </c>
      <c r="AB37" s="127">
        <f>(F37-(Q37*(1-'Future Type Share'!$M27)))/'Future Type Share'!$M27</f>
        <v>0.13277494458091665</v>
      </c>
      <c r="AC37" s="127">
        <f>(G37-(R37*(1-'Future Type Share'!$M27)))/'Future Type Share'!$M27</f>
        <v>0.14338185309469711</v>
      </c>
      <c r="AD37" s="127">
        <f>(H37-(S37*(1-'Future Type Share'!$M27)))/'Future Type Share'!$M27</f>
        <v>5.8657394702785789E-2</v>
      </c>
      <c r="AE37" s="127">
        <f>(I37-(T37*(1-'Future Type Share'!$M27)))/'Future Type Share'!$M27</f>
        <v>0.10130021879285026</v>
      </c>
      <c r="AF37" s="27">
        <f t="shared" si="3"/>
        <v>0.99999999999999989</v>
      </c>
      <c r="AG37"/>
    </row>
    <row r="38" spans="2:33">
      <c r="B38" s="23">
        <v>2027</v>
      </c>
      <c r="C38" s="127">
        <f t="shared" si="10"/>
        <v>0.3186260867707269</v>
      </c>
      <c r="D38" s="127">
        <f t="shared" si="11"/>
        <v>0.14614045856091806</v>
      </c>
      <c r="E38" s="26">
        <v>0.06</v>
      </c>
      <c r="F38" s="127">
        <f t="shared" si="4"/>
        <v>9.9205598763081992E-2</v>
      </c>
      <c r="G38" s="127">
        <f t="shared" si="12"/>
        <v>0.10662395984678379</v>
      </c>
      <c r="H38" s="127">
        <f t="shared" si="5"/>
        <v>0.19366017388331613</v>
      </c>
      <c r="I38" s="127">
        <f t="shared" si="6"/>
        <v>7.5743722175173112E-2</v>
      </c>
      <c r="J38" s="27">
        <f t="shared" si="7"/>
        <v>1</v>
      </c>
      <c r="M38" s="23">
        <v>2027</v>
      </c>
      <c r="N38" s="54">
        <f t="shared" si="13"/>
        <v>0</v>
      </c>
      <c r="O38" s="54">
        <f t="shared" si="8"/>
        <v>0.40645026071881252</v>
      </c>
      <c r="P38" s="54">
        <f t="shared" si="9"/>
        <v>0</v>
      </c>
      <c r="Q38" s="54">
        <f t="shared" si="9"/>
        <v>0</v>
      </c>
      <c r="R38" s="54">
        <f t="shared" si="9"/>
        <v>0</v>
      </c>
      <c r="S38" s="54">
        <f t="shared" si="14"/>
        <v>0.59342301263057284</v>
      </c>
      <c r="T38" s="54">
        <f t="shared" si="15"/>
        <v>1.2672665061462426E-4</v>
      </c>
      <c r="U38" s="27">
        <f t="shared" si="16"/>
        <v>1</v>
      </c>
      <c r="V38" s="26"/>
      <c r="W38" s="103"/>
      <c r="X38" s="23">
        <v>2027</v>
      </c>
      <c r="Y38" s="127">
        <f>(C38-(N38*(1-'Future Type Share'!$M28)))/'Future Type Share'!$M28</f>
        <v>0.4260742711497687</v>
      </c>
      <c r="Z38" s="127">
        <f>(D38-(O38*(1-'Future Type Share'!$M28)))/'Future Type Share'!$M28</f>
        <v>5.8357892163397949E-2</v>
      </c>
      <c r="AA38" s="127">
        <f>(E38-(P38*(1-'Future Type Share'!$M28)))/'Future Type Share'!$M28</f>
        <v>8.0233406272793614E-2</v>
      </c>
      <c r="AB38" s="127">
        <f>(F38-(Q38*(1-'Future Type Share'!$M28)))/'Future Type Share'!$M28</f>
        <v>0.13266005183490182</v>
      </c>
      <c r="AC38" s="127">
        <f>(G38-(R38*(1-'Future Type Share'!$M28)))/'Future Type Share'!$M28</f>
        <v>0.14258005814668395</v>
      </c>
      <c r="AD38" s="127">
        <f>(H38-(S38*(1-'Future Type Share'!$M28)))/'Future Type Share'!$M28</f>
        <v>5.8850775064340693E-2</v>
      </c>
      <c r="AE38" s="127">
        <f>(I38-(T38*(1-'Future Type Share'!$M28)))/'Future Type Share'!$M28</f>
        <v>0.10124354536811325</v>
      </c>
      <c r="AF38" s="27">
        <f t="shared" si="3"/>
        <v>1</v>
      </c>
      <c r="AG38"/>
    </row>
    <row r="39" spans="2:33">
      <c r="B39" s="23">
        <v>2028</v>
      </c>
      <c r="C39" s="127">
        <f t="shared" si="10"/>
        <v>0.32211521517866093</v>
      </c>
      <c r="D39" s="127">
        <f t="shared" si="11"/>
        <v>0.14413435166696509</v>
      </c>
      <c r="E39" s="26">
        <v>0.06</v>
      </c>
      <c r="F39" s="127">
        <f t="shared" si="4"/>
        <v>9.9674920555991475E-2</v>
      </c>
      <c r="G39" s="127">
        <f t="shared" si="12"/>
        <v>0.10662395984678379</v>
      </c>
      <c r="H39" s="127">
        <f t="shared" si="5"/>
        <v>0.19132712284491138</v>
      </c>
      <c r="I39" s="127">
        <f t="shared" si="6"/>
        <v>7.612442990668733E-2</v>
      </c>
      <c r="J39" s="27">
        <f t="shared" si="7"/>
        <v>0.99999999999999989</v>
      </c>
      <c r="M39" s="23">
        <v>2028</v>
      </c>
      <c r="N39" s="54">
        <f t="shared" si="13"/>
        <v>0</v>
      </c>
      <c r="O39" s="54">
        <f t="shared" si="8"/>
        <v>0.40739178194290249</v>
      </c>
      <c r="P39" s="54">
        <f t="shared" si="9"/>
        <v>0</v>
      </c>
      <c r="Q39" s="54">
        <f t="shared" si="9"/>
        <v>0</v>
      </c>
      <c r="R39" s="54">
        <f t="shared" si="9"/>
        <v>0</v>
      </c>
      <c r="S39" s="54">
        <f t="shared" si="14"/>
        <v>0.59248149140648287</v>
      </c>
      <c r="T39" s="54">
        <f t="shared" si="15"/>
        <v>1.2672665061462426E-4</v>
      </c>
      <c r="U39" s="27">
        <f t="shared" si="16"/>
        <v>1</v>
      </c>
      <c r="V39" s="26"/>
      <c r="W39" s="103"/>
      <c r="X39" s="23">
        <v>2028</v>
      </c>
      <c r="Y39" s="127">
        <f>(C39-(N39*(1-'Future Type Share'!$M29)))/'Future Type Share'!$M29</f>
        <v>0.42834470103545347</v>
      </c>
      <c r="Z39" s="127">
        <f>(D39-(O39*(1-'Future Type Share'!$M29)))/'Future Type Share'!$M29</f>
        <v>5.7315411895113293E-2</v>
      </c>
      <c r="AA39" s="127">
        <f>(E39-(P39*(1-'Future Type Share'!$M29)))/'Future Type Share'!$M29</f>
        <v>7.978723404255321E-2</v>
      </c>
      <c r="AB39" s="127">
        <f>(F39-(Q39*(1-'Future Type Share'!$M29)))/'Future Type Share'!$M29</f>
        <v>0.13254643690956316</v>
      </c>
      <c r="AC39" s="127">
        <f>(G39-(R39*(1-'Future Type Share'!$M29)))/'Future Type Share'!$M29</f>
        <v>0.14178718064731891</v>
      </c>
      <c r="AD39" s="127">
        <f>(H39-(S39*(1-'Future Type Share'!$M29)))/'Future Type Share'!$M29</f>
        <v>5.9031533212903615E-2</v>
      </c>
      <c r="AE39" s="127">
        <f>(I39-(T39*(1-'Future Type Share'!$M29)))/'Future Type Share'!$M29</f>
        <v>0.10118750225709432</v>
      </c>
      <c r="AF39" s="27">
        <f t="shared" si="3"/>
        <v>0.99999999999999989</v>
      </c>
      <c r="AG39"/>
    </row>
    <row r="40" spans="2:33">
      <c r="B40" s="23">
        <v>2029</v>
      </c>
      <c r="C40" s="127">
        <f t="shared" si="10"/>
        <v>0.32560434358659496</v>
      </c>
      <c r="D40" s="127">
        <f t="shared" si="11"/>
        <v>0.14212824477301211</v>
      </c>
      <c r="E40" s="26">
        <v>0.06</v>
      </c>
      <c r="F40" s="127">
        <f t="shared" si="4"/>
        <v>0.10014424234890096</v>
      </c>
      <c r="G40" s="127">
        <f t="shared" si="12"/>
        <v>0.10662395984678379</v>
      </c>
      <c r="H40" s="127">
        <f t="shared" si="5"/>
        <v>0.18899407180650662</v>
      </c>
      <c r="I40" s="127">
        <f t="shared" si="6"/>
        <v>7.6505137638201548E-2</v>
      </c>
      <c r="J40" s="27">
        <f t="shared" si="7"/>
        <v>1</v>
      </c>
      <c r="M40" s="23">
        <v>2029</v>
      </c>
      <c r="N40" s="54">
        <f t="shared" si="13"/>
        <v>0</v>
      </c>
      <c r="O40" s="54">
        <f t="shared" si="8"/>
        <v>0.40833330316699223</v>
      </c>
      <c r="P40" s="54">
        <f t="shared" si="9"/>
        <v>0</v>
      </c>
      <c r="Q40" s="54">
        <f t="shared" si="9"/>
        <v>0</v>
      </c>
      <c r="R40" s="54">
        <f t="shared" si="9"/>
        <v>0</v>
      </c>
      <c r="S40" s="54">
        <f t="shared" si="14"/>
        <v>0.59153997018239313</v>
      </c>
      <c r="T40" s="54">
        <f t="shared" si="15"/>
        <v>1.2672665061462426E-4</v>
      </c>
      <c r="U40" s="27">
        <f t="shared" si="16"/>
        <v>1</v>
      </c>
      <c r="V40" s="26"/>
      <c r="W40" s="103"/>
      <c r="X40" s="23">
        <v>2029</v>
      </c>
      <c r="Y40" s="127">
        <f>(C40-(N40*(1-'Future Type Share'!$M30)))/'Future Type Share'!$M30</f>
        <v>0.43059001916957745</v>
      </c>
      <c r="Z40" s="127">
        <f>(D40-(O40*(1-'Future Type Share'!$M30)))/'Future Type Share'!$M30</f>
        <v>5.6294875379810011E-2</v>
      </c>
      <c r="AA40" s="127">
        <f>(E40-(P40*(1-'Future Type Share'!$M30)))/'Future Type Share'!$M30</f>
        <v>7.9345996633806218E-2</v>
      </c>
      <c r="AB40" s="127">
        <f>(F40-(Q40*(1-'Future Type Share'!$M30)))/'Future Type Share'!$M30</f>
        <v>0.13243407860518283</v>
      </c>
      <c r="AC40" s="127">
        <f>(G40-(R40*(1-'Future Type Share'!$M30)))/'Future Type Share'!$M30</f>
        <v>0.14100307265143325</v>
      </c>
      <c r="AD40" s="127">
        <f>(H40-(S40*(1-'Future Type Share'!$M30)))/'Future Type Share'!$M30</f>
        <v>5.9199878557633291E-2</v>
      </c>
      <c r="AE40" s="127">
        <f>(I40-(T40*(1-'Future Type Share'!$M30)))/'Future Type Share'!$M30</f>
        <v>0.10113207900255695</v>
      </c>
      <c r="AF40" s="27">
        <f t="shared" si="3"/>
        <v>1</v>
      </c>
      <c r="AG40"/>
    </row>
    <row r="41" spans="2:33">
      <c r="B41" s="23">
        <v>2030</v>
      </c>
      <c r="C41" s="127">
        <f t="shared" si="10"/>
        <v>0.32909347199452987</v>
      </c>
      <c r="D41" s="127">
        <f t="shared" si="11"/>
        <v>0.14012213787905914</v>
      </c>
      <c r="E41" s="26">
        <v>0.06</v>
      </c>
      <c r="F41" s="127">
        <f t="shared" si="4"/>
        <v>0.10061356414181044</v>
      </c>
      <c r="G41" s="127">
        <f t="shared" si="12"/>
        <v>0.10662395984678379</v>
      </c>
      <c r="H41" s="127">
        <f t="shared" si="5"/>
        <v>0.18666102076810098</v>
      </c>
      <c r="I41" s="127">
        <f t="shared" si="6"/>
        <v>7.6885845369715766E-2</v>
      </c>
      <c r="J41" s="27">
        <f t="shared" si="7"/>
        <v>0.99999999999999989</v>
      </c>
      <c r="M41" s="23">
        <v>2030</v>
      </c>
      <c r="N41" s="54">
        <f t="shared" si="13"/>
        <v>0</v>
      </c>
      <c r="O41" s="54">
        <f t="shared" si="8"/>
        <v>0.4092748243910822</v>
      </c>
      <c r="P41" s="54">
        <f t="shared" si="9"/>
        <v>0</v>
      </c>
      <c r="Q41" s="54">
        <f t="shared" si="9"/>
        <v>0</v>
      </c>
      <c r="R41" s="54">
        <f t="shared" si="9"/>
        <v>0</v>
      </c>
      <c r="S41" s="54">
        <f t="shared" si="14"/>
        <v>0.59059844895830316</v>
      </c>
      <c r="T41" s="54">
        <f t="shared" si="15"/>
        <v>1.2672665061462426E-4</v>
      </c>
      <c r="U41" s="27">
        <f t="shared" si="16"/>
        <v>1</v>
      </c>
      <c r="V41" s="26"/>
      <c r="W41" s="103"/>
      <c r="X41" s="23">
        <v>2030</v>
      </c>
      <c r="Y41" s="127">
        <f>(C41-(N41*(1-'Future Type Share'!$M31)))/'Future Type Share'!$M31</f>
        <v>0.43281063987802831</v>
      </c>
      <c r="Z41" s="127">
        <f>(D41-(O41*(1-'Future Type Share'!$M31)))/'Future Type Share'!$M31</f>
        <v>5.5295920561305327E-2</v>
      </c>
      <c r="AA41" s="127">
        <f>(E41-(P41*(1-'Future Type Share'!$M31)))/'Future Type Share'!$M31</f>
        <v>7.8909612625538014E-2</v>
      </c>
      <c r="AB41" s="127">
        <f>(F41-(Q41*(1-'Future Type Share'!$M31)))/'Future Type Share'!$M31</f>
        <v>0.13232295618841641</v>
      </c>
      <c r="AC41" s="127">
        <f>(G41-(R41*(1-'Future Type Share'!$M31)))/'Future Type Share'!$M31</f>
        <v>0.14022758946851049</v>
      </c>
      <c r="AD41" s="127">
        <f>(H41-(S41*(1-'Future Type Share'!$M31)))/'Future Type Share'!$M31</f>
        <v>5.9356015900887585E-2</v>
      </c>
      <c r="AE41" s="127">
        <f>(I41-(T41*(1-'Future Type Share'!$M31)))/'Future Type Share'!$M31</f>
        <v>0.10107726537731389</v>
      </c>
      <c r="AF41" s="27">
        <f t="shared" si="3"/>
        <v>1</v>
      </c>
      <c r="AG41"/>
    </row>
    <row r="42" spans="2:33">
      <c r="B42" s="23">
        <v>2031</v>
      </c>
      <c r="C42" s="127">
        <f t="shared" si="10"/>
        <v>0.3325826004024639</v>
      </c>
      <c r="D42" s="127">
        <f t="shared" si="11"/>
        <v>0.13811603098510616</v>
      </c>
      <c r="E42" s="26">
        <v>0.06</v>
      </c>
      <c r="F42" s="127">
        <f t="shared" si="4"/>
        <v>0.10108288593471992</v>
      </c>
      <c r="G42" s="127">
        <f t="shared" si="12"/>
        <v>0.10662395984678379</v>
      </c>
      <c r="H42" s="127">
        <f t="shared" si="5"/>
        <v>0.18432796972969623</v>
      </c>
      <c r="I42" s="127">
        <f t="shared" si="6"/>
        <v>7.7266553101229984E-2</v>
      </c>
      <c r="J42" s="27">
        <f t="shared" si="7"/>
        <v>1</v>
      </c>
      <c r="M42" s="23">
        <v>2031</v>
      </c>
      <c r="N42" s="54">
        <f t="shared" si="13"/>
        <v>0</v>
      </c>
      <c r="O42" s="54">
        <f t="shared" si="8"/>
        <v>0.41021634561517217</v>
      </c>
      <c r="P42" s="54">
        <f t="shared" si="9"/>
        <v>0</v>
      </c>
      <c r="Q42" s="54">
        <f t="shared" si="9"/>
        <v>0</v>
      </c>
      <c r="R42" s="54">
        <f t="shared" si="9"/>
        <v>0</v>
      </c>
      <c r="S42" s="54">
        <f t="shared" si="14"/>
        <v>0.58965692773421319</v>
      </c>
      <c r="T42" s="54">
        <f t="shared" si="15"/>
        <v>1.2672665061462426E-4</v>
      </c>
      <c r="U42" s="27">
        <f t="shared" si="16"/>
        <v>1</v>
      </c>
      <c r="V42" s="26"/>
      <c r="W42" s="103"/>
      <c r="X42" s="23">
        <v>2031</v>
      </c>
      <c r="Y42" s="127">
        <f>(C42-(N42*(1-'Future Type Share'!$M32)))/'Future Type Share'!$M32</f>
        <v>0.435006968421772</v>
      </c>
      <c r="Z42" s="127">
        <f>(D42-(O42*(1-'Future Type Share'!$M32)))/'Future Type Share'!$M32</f>
        <v>5.431819330474106E-2</v>
      </c>
      <c r="AA42" s="127">
        <f>(E42-(P42*(1-'Future Type Share'!$M32)))/'Future Type Share'!$M32</f>
        <v>7.8478002378121275E-2</v>
      </c>
      <c r="AB42" s="127">
        <f>(F42-(Q42*(1-'Future Type Share'!$M32)))/'Future Type Share'!$M32</f>
        <v>0.13221304937953854</v>
      </c>
      <c r="AC42" s="127">
        <f>(G42-(R42*(1-'Future Type Share'!$M32)))/'Future Type Share'!$M32</f>
        <v>0.13946058957367674</v>
      </c>
      <c r="AD42" s="127">
        <f>(H42-(S42*(1-'Future Type Share'!$M32)))/'Future Type Share'!$M32</f>
        <v>5.9500145564214839E-2</v>
      </c>
      <c r="AE42" s="127">
        <f>(I42-(T42*(1-'Future Type Share'!$M32)))/'Future Type Share'!$M32</f>
        <v>0.10102305137793555</v>
      </c>
      <c r="AF42" s="27">
        <f t="shared" si="3"/>
        <v>1</v>
      </c>
      <c r="AG42"/>
    </row>
    <row r="43" spans="2:33">
      <c r="B43" s="23">
        <v>2032</v>
      </c>
      <c r="C43" s="127">
        <f t="shared" si="10"/>
        <v>0.33607172881039804</v>
      </c>
      <c r="D43" s="127">
        <f t="shared" si="11"/>
        <v>0.13610992409115319</v>
      </c>
      <c r="E43" s="26">
        <v>0.06</v>
      </c>
      <c r="F43" s="127">
        <f t="shared" si="4"/>
        <v>0.10155220772762941</v>
      </c>
      <c r="G43" s="127">
        <f t="shared" si="12"/>
        <v>0.10662395984678379</v>
      </c>
      <c r="H43" s="127">
        <f t="shared" si="5"/>
        <v>0.18199491869129147</v>
      </c>
      <c r="I43" s="127">
        <f t="shared" si="6"/>
        <v>7.7647260832744092E-2</v>
      </c>
      <c r="J43" s="27">
        <f t="shared" si="7"/>
        <v>1</v>
      </c>
      <c r="M43" s="23">
        <v>2032</v>
      </c>
      <c r="N43" s="54">
        <f t="shared" si="13"/>
        <v>0</v>
      </c>
      <c r="O43" s="54">
        <f t="shared" si="8"/>
        <v>0.41115786683926214</v>
      </c>
      <c r="P43" s="54">
        <f t="shared" si="9"/>
        <v>0</v>
      </c>
      <c r="Q43" s="54">
        <f t="shared" si="9"/>
        <v>0</v>
      </c>
      <c r="R43" s="54">
        <f t="shared" si="9"/>
        <v>0</v>
      </c>
      <c r="S43" s="54">
        <f t="shared" si="14"/>
        <v>0.58871540651012322</v>
      </c>
      <c r="T43" s="54">
        <f t="shared" si="15"/>
        <v>1.2672665061462426E-4</v>
      </c>
      <c r="U43" s="27">
        <f t="shared" si="16"/>
        <v>1</v>
      </c>
      <c r="V43" s="26"/>
      <c r="W43" s="103"/>
      <c r="X43" s="23">
        <v>2032</v>
      </c>
      <c r="Y43" s="127">
        <f>(C43-(N43*(1-'Future Type Share'!$M33)))/'Future Type Share'!$M33</f>
        <v>0.43717940124342214</v>
      </c>
      <c r="Z43" s="127">
        <f>(D43-(O43*(1-'Future Type Share'!$M33)))/'Future Type Share'!$M33</f>
        <v>5.336134718112618E-2</v>
      </c>
      <c r="AA43" s="127">
        <f>(E43-(P43*(1-'Future Type Share'!$M33)))/'Future Type Share'!$M33</f>
        <v>7.8051087984862794E-2</v>
      </c>
      <c r="AB43" s="127">
        <f>(F43-(Q43*(1-'Future Type Share'!$M33)))/'Future Type Share'!$M33</f>
        <v>0.13210433834010443</v>
      </c>
      <c r="AC43" s="127">
        <f>(G43-(R43*(1-'Future Type Share'!$M33)))/'Future Type Share'!$M33</f>
        <v>0.13870193452159665</v>
      </c>
      <c r="AD43" s="127">
        <f>(H43-(S43*(1-'Future Type Share'!$M33)))/'Future Type Share'!$M33</f>
        <v>5.9632463510223978E-2</v>
      </c>
      <c r="AE43" s="127">
        <f>(I43-(T43*(1-'Future Type Share'!$M33)))/'Future Type Share'!$M33</f>
        <v>0.10096942721866381</v>
      </c>
      <c r="AF43" s="27">
        <f t="shared" si="3"/>
        <v>1</v>
      </c>
      <c r="AG43"/>
    </row>
    <row r="44" spans="2:33">
      <c r="B44" s="23">
        <v>2033</v>
      </c>
      <c r="C44" s="127">
        <f t="shared" si="10"/>
        <v>0.33956085721833296</v>
      </c>
      <c r="D44" s="127">
        <f t="shared" si="11"/>
        <v>0.13410381719720021</v>
      </c>
      <c r="E44" s="26">
        <v>0.06</v>
      </c>
      <c r="F44" s="127">
        <f t="shared" si="4"/>
        <v>0.10202152952053889</v>
      </c>
      <c r="G44" s="127">
        <f t="shared" si="12"/>
        <v>0.10662395984678379</v>
      </c>
      <c r="H44" s="127">
        <f t="shared" si="5"/>
        <v>0.17966186765288583</v>
      </c>
      <c r="I44" s="127">
        <f t="shared" si="6"/>
        <v>7.802796856425831E-2</v>
      </c>
      <c r="J44" s="27">
        <f t="shared" si="7"/>
        <v>0.99999999999999989</v>
      </c>
      <c r="M44" s="23">
        <v>2033</v>
      </c>
      <c r="N44" s="54">
        <f t="shared" si="13"/>
        <v>0</v>
      </c>
      <c r="O44" s="54">
        <f t="shared" si="8"/>
        <v>0.41209938806335211</v>
      </c>
      <c r="P44" s="54">
        <f t="shared" ref="P44:R61" si="17">TREND(P$22:P$27,$M$22:$M$27,$M44)</f>
        <v>0</v>
      </c>
      <c r="Q44" s="54">
        <f t="shared" si="17"/>
        <v>0</v>
      </c>
      <c r="R44" s="54">
        <f t="shared" si="17"/>
        <v>0</v>
      </c>
      <c r="S44" s="54">
        <f t="shared" si="14"/>
        <v>0.58777388528603325</v>
      </c>
      <c r="T44" s="54">
        <f t="shared" si="15"/>
        <v>1.2672665061462426E-4</v>
      </c>
      <c r="U44" s="27">
        <f t="shared" si="16"/>
        <v>1</v>
      </c>
      <c r="V44" s="26"/>
      <c r="W44" s="103"/>
      <c r="X44" s="23">
        <v>2033</v>
      </c>
      <c r="Y44" s="127">
        <f>(C44-(N44*(1-'Future Type Share'!$M34)))/'Future Type Share'!$M34</f>
        <v>0.43932832620579404</v>
      </c>
      <c r="Z44" s="127">
        <f>(D44-(O44*(1-'Future Type Share'!$M34)))/'Future Type Share'!$M34</f>
        <v>5.2425043258874385E-2</v>
      </c>
      <c r="AA44" s="127">
        <f>(E44-(P44*(1-'Future Type Share'!$M34)))/'Future Type Share'!$M34</f>
        <v>7.7628793225123463E-2</v>
      </c>
      <c r="AB44" s="127">
        <f>(F44-(Q44*(1-'Future Type Share'!$M34)))/'Future Type Share'!$M34</f>
        <v>0.13199680366101238</v>
      </c>
      <c r="AC44" s="127">
        <f>(G44-(R44*(1-'Future Type Share'!$M34)))/'Future Type Share'!$M34</f>
        <v>0.13795148886316411</v>
      </c>
      <c r="AD44" s="127">
        <f>(H44-(S44*(1-'Future Type Share'!$M34)))/'Future Type Share'!$M34</f>
        <v>5.9753161460507513E-2</v>
      </c>
      <c r="AE44" s="127">
        <f>(I44-(T44*(1-'Future Type Share'!$M34)))/'Future Type Share'!$M34</f>
        <v>0.10091638332552409</v>
      </c>
      <c r="AF44" s="27">
        <f t="shared" si="3"/>
        <v>1</v>
      </c>
      <c r="AG44"/>
    </row>
    <row r="45" spans="2:33">
      <c r="B45" s="23">
        <v>2034</v>
      </c>
      <c r="C45" s="127">
        <f t="shared" si="10"/>
        <v>0.34304998562626698</v>
      </c>
      <c r="D45" s="127">
        <f t="shared" si="11"/>
        <v>0.13209771030324724</v>
      </c>
      <c r="E45" s="26">
        <v>0.06</v>
      </c>
      <c r="F45" s="127">
        <f t="shared" si="4"/>
        <v>0.10249085131344837</v>
      </c>
      <c r="G45" s="127">
        <f t="shared" si="12"/>
        <v>0.10662395984678379</v>
      </c>
      <c r="H45" s="127">
        <f t="shared" si="5"/>
        <v>0.17732881661448108</v>
      </c>
      <c r="I45" s="127">
        <f t="shared" si="6"/>
        <v>7.8408676295772528E-2</v>
      </c>
      <c r="J45" s="27">
        <f t="shared" si="7"/>
        <v>1</v>
      </c>
      <c r="M45" s="23">
        <v>2034</v>
      </c>
      <c r="N45" s="54">
        <f t="shared" si="13"/>
        <v>0</v>
      </c>
      <c r="O45" s="54">
        <f t="shared" si="8"/>
        <v>0.41304090928744208</v>
      </c>
      <c r="P45" s="54">
        <f t="shared" si="17"/>
        <v>0</v>
      </c>
      <c r="Q45" s="54">
        <f t="shared" si="17"/>
        <v>0</v>
      </c>
      <c r="R45" s="54">
        <f t="shared" si="17"/>
        <v>0</v>
      </c>
      <c r="S45" s="54">
        <f t="shared" si="14"/>
        <v>0.58683236406194328</v>
      </c>
      <c r="T45" s="54">
        <f t="shared" si="15"/>
        <v>1.2672665061462426E-4</v>
      </c>
      <c r="U45" s="27">
        <f t="shared" si="16"/>
        <v>1</v>
      </c>
      <c r="V45" s="26"/>
      <c r="W45" s="103"/>
      <c r="X45" s="23">
        <v>2034</v>
      </c>
      <c r="Y45" s="127">
        <f>(C45-(N45*(1-'Future Type Share'!$M35)))/'Future Type Share'!$M35</f>
        <v>0.44145412282275792</v>
      </c>
      <c r="Z45" s="127">
        <f>(D45-(O45*(1-'Future Type Share'!$M35)))/'Future Type Share'!$M35</f>
        <v>5.1508949902072207E-2</v>
      </c>
      <c r="AA45" s="127">
        <f>(E45-(P45*(1-'Future Type Share'!$M35)))/'Future Type Share'!$M35</f>
        <v>7.7211043518951764E-2</v>
      </c>
      <c r="AB45" s="127">
        <f>(F45-(Q45*(1-'Future Type Share'!$M35)))/'Future Type Share'!$M35</f>
        <v>0.13189042635095127</v>
      </c>
      <c r="AC45" s="127">
        <f>(G45-(R45*(1-'Future Type Share'!$M35)))/'Future Type Share'!$M35</f>
        <v>0.13720912006488314</v>
      </c>
      <c r="AD45" s="127">
        <f>(H45-(S45*(1-'Future Type Share'!$M35)))/'Future Type Share'!$M35</f>
        <v>5.9862427009757767E-2</v>
      </c>
      <c r="AE45" s="127">
        <f>(I45-(T45*(1-'Future Type Share'!$M35)))/'Future Type Share'!$M35</f>
        <v>0.10086391033062592</v>
      </c>
      <c r="AF45" s="27">
        <f t="shared" si="3"/>
        <v>1</v>
      </c>
      <c r="AG45"/>
    </row>
    <row r="46" spans="2:33">
      <c r="B46" s="23">
        <v>2035</v>
      </c>
      <c r="C46" s="127">
        <f t="shared" si="10"/>
        <v>0.3465391140342019</v>
      </c>
      <c r="D46" s="127">
        <f t="shared" si="11"/>
        <v>0.13009160340929427</v>
      </c>
      <c r="E46" s="26">
        <v>0.06</v>
      </c>
      <c r="F46" s="127">
        <f t="shared" si="4"/>
        <v>0.10296017310635786</v>
      </c>
      <c r="G46" s="127">
        <f t="shared" si="12"/>
        <v>0.10662395984678379</v>
      </c>
      <c r="H46" s="127">
        <f t="shared" si="5"/>
        <v>0.17499576557607543</v>
      </c>
      <c r="I46" s="127">
        <f t="shared" si="6"/>
        <v>7.8789384027286746E-2</v>
      </c>
      <c r="J46" s="27">
        <f t="shared" si="7"/>
        <v>0.99999999999999989</v>
      </c>
      <c r="M46" s="23">
        <v>2035</v>
      </c>
      <c r="N46" s="54">
        <f t="shared" si="13"/>
        <v>0</v>
      </c>
      <c r="O46" s="54">
        <f t="shared" si="8"/>
        <v>0.41398243051153205</v>
      </c>
      <c r="P46" s="54">
        <f t="shared" si="17"/>
        <v>0</v>
      </c>
      <c r="Q46" s="54">
        <f t="shared" si="17"/>
        <v>0</v>
      </c>
      <c r="R46" s="54">
        <f t="shared" si="17"/>
        <v>0</v>
      </c>
      <c r="S46" s="54">
        <f t="shared" si="14"/>
        <v>0.58589084283785331</v>
      </c>
      <c r="T46" s="54">
        <f t="shared" si="15"/>
        <v>1.2672665061462426E-4</v>
      </c>
      <c r="U46" s="27">
        <f t="shared" si="16"/>
        <v>1</v>
      </c>
      <c r="V46" s="26"/>
      <c r="W46" s="103"/>
      <c r="X46" s="23">
        <v>2035</v>
      </c>
      <c r="Y46" s="127">
        <f>(C46-(N46*(1-'Future Type Share'!$M36)))/'Future Type Share'!$M36</f>
        <v>0.44355716248268773</v>
      </c>
      <c r="Z46" s="127">
        <f>(D46-(O46*(1-'Future Type Share'!$M36)))/'Future Type Share'!$M36</f>
        <v>5.0612742575226077E-2</v>
      </c>
      <c r="AA46" s="127">
        <f>(E46-(P46*(1-'Future Type Share'!$M36)))/'Future Type Share'!$M36</f>
        <v>7.679776588317426E-2</v>
      </c>
      <c r="AB46" s="127">
        <f>(F46-(Q46*(1-'Future Type Share'!$M36)))/'Future Type Share'!$M36</f>
        <v>0.13178518782521942</v>
      </c>
      <c r="AC46" s="127">
        <f>(G46-(R46*(1-'Future Type Share'!$M36)))/'Future Type Share'!$M36</f>
        <v>0.1364746984308379</v>
      </c>
      <c r="AD46" s="127">
        <f>(H46-(S46*(1-'Future Type Share'!$M36)))/'Future Type Share'!$M36</f>
        <v>5.996044373620639E-2</v>
      </c>
      <c r="AE46" s="127">
        <f>(I46-(T46*(1-'Future Type Share'!$M36)))/'Future Type Share'!$M36</f>
        <v>0.10081199906664823</v>
      </c>
      <c r="AF46" s="27">
        <f t="shared" si="3"/>
        <v>1</v>
      </c>
      <c r="AG46"/>
    </row>
    <row r="47" spans="2:33">
      <c r="B47" s="23">
        <v>2036</v>
      </c>
      <c r="C47" s="127">
        <f t="shared" si="10"/>
        <v>0.35002824244213593</v>
      </c>
      <c r="D47" s="127">
        <f t="shared" si="11"/>
        <v>0.12808549651534129</v>
      </c>
      <c r="E47" s="26">
        <v>0.06</v>
      </c>
      <c r="F47" s="127">
        <f t="shared" si="4"/>
        <v>0.10342949489926734</v>
      </c>
      <c r="G47" s="127">
        <f t="shared" si="12"/>
        <v>0.10662395984678379</v>
      </c>
      <c r="H47" s="127">
        <f t="shared" si="5"/>
        <v>0.17266271453767068</v>
      </c>
      <c r="I47" s="127">
        <f t="shared" si="6"/>
        <v>7.9170091758800964E-2</v>
      </c>
      <c r="J47" s="27">
        <f t="shared" si="7"/>
        <v>1</v>
      </c>
      <c r="M47" s="23">
        <v>2036</v>
      </c>
      <c r="N47" s="54">
        <f t="shared" si="13"/>
        <v>0</v>
      </c>
      <c r="O47" s="54">
        <f t="shared" si="8"/>
        <v>0.41492395173562202</v>
      </c>
      <c r="P47" s="54">
        <f t="shared" si="17"/>
        <v>0</v>
      </c>
      <c r="Q47" s="54">
        <f t="shared" si="17"/>
        <v>0</v>
      </c>
      <c r="R47" s="54">
        <f t="shared" si="17"/>
        <v>0</v>
      </c>
      <c r="S47" s="54">
        <f t="shared" si="14"/>
        <v>0.58494932161376334</v>
      </c>
      <c r="T47" s="54">
        <f t="shared" si="15"/>
        <v>1.2672665061462426E-4</v>
      </c>
      <c r="U47" s="27">
        <f t="shared" si="16"/>
        <v>1</v>
      </c>
      <c r="V47" s="26"/>
      <c r="W47" s="103"/>
      <c r="X47" s="23">
        <v>2036</v>
      </c>
      <c r="Y47" s="127">
        <f>(C47-(N47*(1-'Future Type Share'!$M37)))/'Future Type Share'!$M37</f>
        <v>0.44563780866475605</v>
      </c>
      <c r="Z47" s="127">
        <f>(D47-(O47*(1-'Future Type Share'!$M37)))/'Future Type Share'!$M37</f>
        <v>4.9736103654246376E-2</v>
      </c>
      <c r="AA47" s="127">
        <f>(E47-(P47*(1-'Future Type Share'!$M37)))/'Future Type Share'!$M37</f>
        <v>7.6388888888888826E-2</v>
      </c>
      <c r="AB47" s="127">
        <f>(F47-(Q47*(1-'Future Type Share'!$M37)))/'Future Type Share'!$M37</f>
        <v>0.13168106989490044</v>
      </c>
      <c r="AC47" s="127">
        <f>(G47-(R47*(1-'Future Type Share'!$M37)))/'Future Type Share'!$M37</f>
        <v>0.13574809702715518</v>
      </c>
      <c r="AD47" s="127">
        <f>(H47-(S47*(1-'Future Type Share'!$M37)))/'Future Type Share'!$M37</f>
        <v>6.0047391308553195E-2</v>
      </c>
      <c r="AE47" s="127">
        <f>(I47-(T47*(1-'Future Type Share'!$M37)))/'Future Type Share'!$M37</f>
        <v>0.10076064056149994</v>
      </c>
      <c r="AF47" s="27">
        <f t="shared" si="3"/>
        <v>1</v>
      </c>
      <c r="AG47"/>
    </row>
    <row r="48" spans="2:33">
      <c r="B48" s="23">
        <v>2037</v>
      </c>
      <c r="C48" s="127">
        <f t="shared" si="10"/>
        <v>0.35351737085006996</v>
      </c>
      <c r="D48" s="127">
        <f t="shared" si="11"/>
        <v>0.12607938962138832</v>
      </c>
      <c r="E48" s="26">
        <v>0.06</v>
      </c>
      <c r="F48" s="127">
        <f t="shared" si="4"/>
        <v>0.10389881669217682</v>
      </c>
      <c r="G48" s="127">
        <f t="shared" si="12"/>
        <v>0.10662395984678379</v>
      </c>
      <c r="H48" s="127">
        <f t="shared" si="5"/>
        <v>0.17032966349926593</v>
      </c>
      <c r="I48" s="127">
        <f t="shared" si="6"/>
        <v>7.9550799490315183E-2</v>
      </c>
      <c r="J48" s="27">
        <f t="shared" si="7"/>
        <v>0.99999999999999989</v>
      </c>
      <c r="M48" s="23">
        <v>2037</v>
      </c>
      <c r="N48" s="54">
        <f t="shared" si="13"/>
        <v>0</v>
      </c>
      <c r="O48" s="54">
        <f t="shared" si="8"/>
        <v>0.41586547295971177</v>
      </c>
      <c r="P48" s="54">
        <f t="shared" si="17"/>
        <v>0</v>
      </c>
      <c r="Q48" s="54">
        <f t="shared" si="17"/>
        <v>0</v>
      </c>
      <c r="R48" s="54">
        <f t="shared" si="17"/>
        <v>0</v>
      </c>
      <c r="S48" s="54">
        <f t="shared" si="14"/>
        <v>0.58400780038967359</v>
      </c>
      <c r="T48" s="54">
        <f t="shared" si="15"/>
        <v>1.2672665061462426E-4</v>
      </c>
      <c r="U48" s="27">
        <f t="shared" si="16"/>
        <v>1</v>
      </c>
      <c r="V48" s="26"/>
      <c r="W48" s="103"/>
      <c r="X48" s="23">
        <v>2037</v>
      </c>
      <c r="Y48" s="127">
        <f>(C48-(N48*(1-'Future Type Share'!$M38)))/'Future Type Share'!$M38</f>
        <v>0.44769641714837277</v>
      </c>
      <c r="Z48" s="127">
        <f>(D48-(O48*(1-'Future Type Share'!$M38)))/'Future Type Share'!$M38</f>
        <v>4.8878722243437867E-2</v>
      </c>
      <c r="AA48" s="127">
        <f>(E48-(P48*(1-'Future Type Share'!$M38)))/'Future Type Share'!$M38</f>
        <v>7.5984342620308468E-2</v>
      </c>
      <c r="AB48" s="127">
        <f>(F48-(Q48*(1-'Future Type Share'!$M38)))/'Future Type Share'!$M38</f>
        <v>0.13157805475638315</v>
      </c>
      <c r="AC48" s="127">
        <f>(G48-(R48*(1-'Future Type Share'!$M38)))/'Future Type Share'!$M38</f>
        <v>0.1350291916088672</v>
      </c>
      <c r="AD48" s="127">
        <f>(H48-(S48*(1-'Future Type Share'!$M38)))/'Future Type Share'!$M38</f>
        <v>6.012344558948015E-2</v>
      </c>
      <c r="AE48" s="127">
        <f>(I48-(T48*(1-'Future Type Share'!$M38)))/'Future Type Share'!$M38</f>
        <v>0.10070982603315036</v>
      </c>
      <c r="AF48" s="27">
        <f t="shared" si="3"/>
        <v>1</v>
      </c>
      <c r="AG48"/>
    </row>
    <row r="49" spans="2:43">
      <c r="B49" s="23">
        <v>2038</v>
      </c>
      <c r="C49" s="127">
        <f t="shared" si="10"/>
        <v>0.35700649925800398</v>
      </c>
      <c r="D49" s="127">
        <f t="shared" si="11"/>
        <v>0.12407328272743623</v>
      </c>
      <c r="E49" s="26">
        <v>0.06</v>
      </c>
      <c r="F49" s="127">
        <f t="shared" si="4"/>
        <v>0.1043681384850863</v>
      </c>
      <c r="G49" s="127">
        <f t="shared" si="12"/>
        <v>0.10662395984678379</v>
      </c>
      <c r="H49" s="127">
        <f t="shared" si="5"/>
        <v>0.16799661246086028</v>
      </c>
      <c r="I49" s="127">
        <f t="shared" si="6"/>
        <v>7.9931507221829401E-2</v>
      </c>
      <c r="J49" s="27">
        <f t="shared" si="7"/>
        <v>1</v>
      </c>
      <c r="M49" s="23">
        <v>2038</v>
      </c>
      <c r="N49" s="54">
        <f t="shared" si="13"/>
        <v>0</v>
      </c>
      <c r="O49" s="54">
        <f t="shared" si="8"/>
        <v>0.41680699418380174</v>
      </c>
      <c r="P49" s="54">
        <f t="shared" si="17"/>
        <v>0</v>
      </c>
      <c r="Q49" s="54">
        <f t="shared" si="17"/>
        <v>0</v>
      </c>
      <c r="R49" s="54">
        <f t="shared" si="17"/>
        <v>0</v>
      </c>
      <c r="S49" s="54">
        <f t="shared" si="14"/>
        <v>0.58306627916558362</v>
      </c>
      <c r="T49" s="54">
        <f t="shared" si="15"/>
        <v>1.2672665061462426E-4</v>
      </c>
      <c r="U49" s="27">
        <f t="shared" si="16"/>
        <v>1</v>
      </c>
      <c r="V49" s="26"/>
      <c r="W49" s="103"/>
      <c r="X49" s="23">
        <v>2038</v>
      </c>
      <c r="Y49" s="127">
        <f>(C49-(N49*(1-'Future Type Share'!$M39)))/'Future Type Share'!$M39</f>
        <v>0.44973333621599171</v>
      </c>
      <c r="Z49" s="127">
        <f>(D49-(O49*(1-'Future Type Share'!$M39)))/'Future Type Share'!$M39</f>
        <v>4.8040293998275259E-2</v>
      </c>
      <c r="AA49" s="127">
        <f>(E49-(P49*(1-'Future Type Share'!$M39)))/'Future Type Share'!$M39</f>
        <v>7.5584058634906012E-2</v>
      </c>
      <c r="AB49" s="127">
        <f>(F49-(Q49*(1-'Future Type Share'!$M39)))/'Future Type Share'!$M39</f>
        <v>0.13147612498121256</v>
      </c>
      <c r="AC49" s="127">
        <f>(G49-(R49*(1-'Future Type Share'!$M39)))/'Future Type Share'!$M39</f>
        <v>0.13431786054908618</v>
      </c>
      <c r="AD49" s="127">
        <f>(H49-(S49*(1-'Future Type Share'!$M39)))/'Future Type Share'!$M39</f>
        <v>6.0188778735905203E-2</v>
      </c>
      <c r="AE49" s="127">
        <f>(I49-(T49*(1-'Future Type Share'!$M39)))/'Future Type Share'!$M39</f>
        <v>0.10065954688462307</v>
      </c>
      <c r="AF49" s="27">
        <f t="shared" si="3"/>
        <v>0.99999999999999989</v>
      </c>
      <c r="AG49"/>
    </row>
    <row r="50" spans="2:43">
      <c r="B50" s="23">
        <v>2039</v>
      </c>
      <c r="C50" s="127">
        <f t="shared" si="10"/>
        <v>0.36049562766593812</v>
      </c>
      <c r="D50" s="127">
        <f t="shared" si="11"/>
        <v>0.12206717583348325</v>
      </c>
      <c r="E50" s="26">
        <v>0.06</v>
      </c>
      <c r="F50" s="127">
        <f t="shared" si="4"/>
        <v>0.10483746027799568</v>
      </c>
      <c r="G50" s="127">
        <f t="shared" si="12"/>
        <v>0.10662395984678379</v>
      </c>
      <c r="H50" s="127">
        <f t="shared" si="5"/>
        <v>0.16566356142245553</v>
      </c>
      <c r="I50" s="127">
        <f t="shared" si="6"/>
        <v>8.0312214953343619E-2</v>
      </c>
      <c r="J50" s="27">
        <f t="shared" si="7"/>
        <v>1</v>
      </c>
      <c r="M50" s="23">
        <v>2039</v>
      </c>
      <c r="N50" s="54">
        <f t="shared" si="13"/>
        <v>0</v>
      </c>
      <c r="O50" s="54">
        <f t="shared" si="8"/>
        <v>0.41774851540789171</v>
      </c>
      <c r="P50" s="54">
        <f t="shared" si="17"/>
        <v>0</v>
      </c>
      <c r="Q50" s="54">
        <f t="shared" si="17"/>
        <v>0</v>
      </c>
      <c r="R50" s="54">
        <f t="shared" si="17"/>
        <v>0</v>
      </c>
      <c r="S50" s="54">
        <f t="shared" si="14"/>
        <v>0.58212475794149365</v>
      </c>
      <c r="T50" s="54">
        <f t="shared" si="15"/>
        <v>1.2672665061462426E-4</v>
      </c>
      <c r="U50" s="27">
        <f t="shared" si="16"/>
        <v>1</v>
      </c>
      <c r="V50" s="26"/>
      <c r="W50" s="103"/>
      <c r="X50" s="23">
        <v>2039</v>
      </c>
      <c r="Y50" s="127">
        <f>(C50-(N50*(1-'Future Type Share'!$M40)))/'Future Type Share'!$M40</f>
        <v>0.45174890684954599</v>
      </c>
      <c r="Z50" s="127">
        <f>(D50-(O50*(1-'Future Type Share'!$M40)))/'Future Type Share'!$M40</f>
        <v>4.7220520953746202E-2</v>
      </c>
      <c r="AA50" s="127">
        <f>(E50-(P50*(1-'Future Type Share'!$M40)))/'Future Type Share'!$M40</f>
        <v>7.5187969924811943E-2</v>
      </c>
      <c r="AB50" s="127">
        <f>(F50-(Q50*(1-'Future Type Share'!$M40)))/'Future Type Share'!$M40</f>
        <v>0.13137526350626008</v>
      </c>
      <c r="AC50" s="127">
        <f>(G50-(R50*(1-'Future Type Share'!$M40)))/'Future Type Share'!$M40</f>
        <v>0.13361398477040559</v>
      </c>
      <c r="AD50" s="127">
        <f>(H50-(S50*(1-'Future Type Share'!$M40)))/'Future Type Share'!$M40</f>
        <v>6.024355929608307E-2</v>
      </c>
      <c r="AE50" s="127">
        <f>(I50-(T50*(1-'Future Type Share'!$M40)))/'Future Type Share'!$M40</f>
        <v>0.10060979469914708</v>
      </c>
      <c r="AF50" s="27">
        <f t="shared" si="3"/>
        <v>1</v>
      </c>
      <c r="AG50"/>
    </row>
    <row r="51" spans="2:43">
      <c r="B51" s="23">
        <v>2040</v>
      </c>
      <c r="C51" s="127">
        <f t="shared" si="10"/>
        <v>0.36398475607387215</v>
      </c>
      <c r="D51" s="127">
        <f t="shared" si="11"/>
        <v>0.12006106893953028</v>
      </c>
      <c r="E51" s="26">
        <v>0.06</v>
      </c>
      <c r="F51" s="127">
        <f t="shared" si="4"/>
        <v>0.10530678207090516</v>
      </c>
      <c r="G51" s="127">
        <f t="shared" si="12"/>
        <v>0.10662395984678379</v>
      </c>
      <c r="H51" s="127">
        <f t="shared" si="5"/>
        <v>0.16333051038405078</v>
      </c>
      <c r="I51" s="127">
        <f t="shared" si="6"/>
        <v>8.0692922684857837E-2</v>
      </c>
      <c r="J51" s="27">
        <f t="shared" si="7"/>
        <v>0.99999999999999989</v>
      </c>
      <c r="M51" s="23">
        <v>2040</v>
      </c>
      <c r="N51" s="54">
        <f t="shared" si="13"/>
        <v>0</v>
      </c>
      <c r="O51" s="54">
        <f t="shared" si="8"/>
        <v>0.41869003663198168</v>
      </c>
      <c r="P51" s="54">
        <f t="shared" si="17"/>
        <v>0</v>
      </c>
      <c r="Q51" s="54">
        <f t="shared" si="17"/>
        <v>0</v>
      </c>
      <c r="R51" s="54">
        <f t="shared" si="17"/>
        <v>0</v>
      </c>
      <c r="S51" s="54">
        <f t="shared" si="14"/>
        <v>0.58118323671740368</v>
      </c>
      <c r="T51" s="54">
        <f t="shared" si="15"/>
        <v>1.2672665061462426E-4</v>
      </c>
      <c r="U51" s="27">
        <f t="shared" si="16"/>
        <v>1</v>
      </c>
      <c r="V51" s="26"/>
      <c r="W51" s="103"/>
      <c r="X51" s="23">
        <v>2040</v>
      </c>
      <c r="Y51" s="127">
        <f>(C51-(N51*(1-'Future Type Share'!$M41)))/'Future Type Share'!$M41</f>
        <v>0.45374346292073758</v>
      </c>
      <c r="Z51" s="127">
        <f>(D51-(O51*(1-'Future Type Share'!$M41)))/'Future Type Share'!$M41</f>
        <v>4.6419111358074035E-2</v>
      </c>
      <c r="AA51" s="127">
        <f>(E51-(P51*(1-'Future Type Share'!$M41)))/'Future Type Share'!$M41</f>
        <v>7.4796010879419658E-2</v>
      </c>
      <c r="AB51" s="127">
        <f>(F51-(Q51*(1-'Future Type Share'!$M41)))/'Future Type Share'!$M41</f>
        <v>0.13127545362420165</v>
      </c>
      <c r="AC51" s="127">
        <f>(G51-(R51*(1-'Future Type Share'!$M41)))/'Future Type Share'!$M41</f>
        <v>0.13291744767844743</v>
      </c>
      <c r="AD51" s="127">
        <f>(H51-(S51*(1-'Future Type Share'!$M41)))/'Future Type Share'!$M41</f>
        <v>6.0287952303659791E-2</v>
      </c>
      <c r="AE51" s="127">
        <f>(I51-(T51*(1-'Future Type Share'!$M41)))/'Future Type Share'!$M41</f>
        <v>0.10056056123545984</v>
      </c>
      <c r="AF51" s="27">
        <f t="shared" si="3"/>
        <v>1</v>
      </c>
      <c r="AG51"/>
    </row>
    <row r="52" spans="2:43">
      <c r="B52" s="23">
        <v>2041</v>
      </c>
      <c r="C52" s="127">
        <f t="shared" si="10"/>
        <v>0.36747388448180707</v>
      </c>
      <c r="D52" s="127">
        <f t="shared" si="11"/>
        <v>0.11805496204557731</v>
      </c>
      <c r="E52" s="26">
        <v>0.06</v>
      </c>
      <c r="F52" s="127">
        <f t="shared" si="4"/>
        <v>0.10577610386381464</v>
      </c>
      <c r="G52" s="127">
        <f t="shared" si="12"/>
        <v>0.10662395984678379</v>
      </c>
      <c r="H52" s="127">
        <f t="shared" si="5"/>
        <v>0.16099745934564513</v>
      </c>
      <c r="I52" s="127">
        <f t="shared" si="6"/>
        <v>8.1073630416372056E-2</v>
      </c>
      <c r="J52" s="27">
        <f t="shared" si="7"/>
        <v>1</v>
      </c>
      <c r="M52" s="23">
        <v>2041</v>
      </c>
      <c r="N52" s="54">
        <f t="shared" si="13"/>
        <v>0</v>
      </c>
      <c r="O52" s="54">
        <f t="shared" si="8"/>
        <v>0.41963155785607165</v>
      </c>
      <c r="P52" s="54">
        <f t="shared" si="17"/>
        <v>0</v>
      </c>
      <c r="Q52" s="54">
        <f t="shared" si="17"/>
        <v>0</v>
      </c>
      <c r="R52" s="54">
        <f t="shared" si="17"/>
        <v>0</v>
      </c>
      <c r="S52" s="54">
        <f t="shared" si="14"/>
        <v>0.58024171549331371</v>
      </c>
      <c r="T52" s="54">
        <f t="shared" si="15"/>
        <v>1.2672665061462426E-4</v>
      </c>
      <c r="U52" s="27">
        <f t="shared" si="16"/>
        <v>1</v>
      </c>
      <c r="V52" s="26"/>
      <c r="W52" s="103"/>
      <c r="X52" s="23">
        <v>2041</v>
      </c>
      <c r="Y52" s="127">
        <f>(C52-(N52*(1-'Future Type Share'!$M42)))/'Future Type Share'!$M42</f>
        <v>0.45571733137540937</v>
      </c>
      <c r="Z52" s="127">
        <f>(D52-(O52*(1-'Future Type Share'!$M42)))/'Future Type Share'!$M42</f>
        <v>4.5635779511602616E-2</v>
      </c>
      <c r="AA52" s="127">
        <f>(E52-(P52*(1-'Future Type Share'!$M42)))/'Future Type Share'!$M42</f>
        <v>7.4408117249154512E-2</v>
      </c>
      <c r="AB52" s="127">
        <f>(F52-(Q52*(1-'Future Type Share'!$M42)))/'Future Type Share'!$M42</f>
        <v>0.13117667897429108</v>
      </c>
      <c r="AC52" s="127">
        <f>(G52-(R52*(1-'Future Type Share'!$M42)))/'Future Type Share'!$M42</f>
        <v>0.13222813509747719</v>
      </c>
      <c r="AD52" s="127">
        <f>(H52-(S52*(1-'Future Type Share'!$M42)))/'Future Type Share'!$M42</f>
        <v>6.0322119368808859E-2</v>
      </c>
      <c r="AE52" s="127">
        <f>(I52-(T52*(1-'Future Type Share'!$M42)))/'Future Type Share'!$M42</f>
        <v>0.10051183842325638</v>
      </c>
      <c r="AF52" s="27">
        <f t="shared" si="3"/>
        <v>1</v>
      </c>
      <c r="AG52"/>
    </row>
    <row r="53" spans="2:43">
      <c r="B53" s="23">
        <v>2042</v>
      </c>
      <c r="C53" s="127">
        <f t="shared" si="10"/>
        <v>0.3709630128897411</v>
      </c>
      <c r="D53" s="127">
        <f t="shared" si="11"/>
        <v>0.11604885515162433</v>
      </c>
      <c r="E53" s="26">
        <v>0.06</v>
      </c>
      <c r="F53" s="127">
        <f t="shared" si="4"/>
        <v>0.10624542565672412</v>
      </c>
      <c r="G53" s="127">
        <f t="shared" si="12"/>
        <v>0.10662395984678379</v>
      </c>
      <c r="H53" s="127">
        <f t="shared" si="5"/>
        <v>0.15866440830724038</v>
      </c>
      <c r="I53" s="127">
        <f t="shared" si="6"/>
        <v>8.1454338147886274E-2</v>
      </c>
      <c r="J53" s="27">
        <f t="shared" si="7"/>
        <v>0.99999999999999989</v>
      </c>
      <c r="M53" s="23">
        <v>2042</v>
      </c>
      <c r="N53" s="54">
        <f t="shared" si="13"/>
        <v>0</v>
      </c>
      <c r="O53" s="54">
        <f t="shared" si="8"/>
        <v>0.42057307908016162</v>
      </c>
      <c r="P53" s="54">
        <f t="shared" si="17"/>
        <v>0</v>
      </c>
      <c r="Q53" s="54">
        <f t="shared" si="17"/>
        <v>0</v>
      </c>
      <c r="R53" s="54">
        <f t="shared" si="17"/>
        <v>0</v>
      </c>
      <c r="S53" s="54">
        <f t="shared" si="14"/>
        <v>0.57930019426922374</v>
      </c>
      <c r="T53" s="54">
        <f t="shared" si="15"/>
        <v>1.2672665061462426E-4</v>
      </c>
      <c r="U53" s="27">
        <f t="shared" si="16"/>
        <v>1</v>
      </c>
      <c r="V53" s="26"/>
      <c r="W53" s="103"/>
      <c r="X53" s="23">
        <v>2042</v>
      </c>
      <c r="Y53" s="127">
        <f>(C53-(N53*(1-'Future Type Share'!$M43)))/'Future Type Share'!$M43</f>
        <v>0.45767083241219769</v>
      </c>
      <c r="Z53" s="127">
        <f>(D53-(O53*(1-'Future Type Share'!$M43)))/'Future Type Share'!$M43</f>
        <v>4.48702456106784E-2</v>
      </c>
      <c r="AA53" s="127">
        <f>(E53-(P53*(1-'Future Type Share'!$M43)))/'Future Type Share'!$M43</f>
        <v>7.4024226110363439E-2</v>
      </c>
      <c r="AB53" s="127">
        <f>(F53-(Q53*(1-'Future Type Share'!$M43)))/'Future Type Share'!$M43</f>
        <v>0.13107892353341927</v>
      </c>
      <c r="AC53" s="127">
        <f>(G53-(R53*(1-'Future Type Share'!$M43)))/'Future Type Share'!$M43</f>
        <v>0.13154593520801058</v>
      </c>
      <c r="AD53" s="127">
        <f>(H53-(S53*(1-'Future Type Share'!$M43)))/'Future Type Share'!$M43</f>
        <v>6.0346218766552141E-2</v>
      </c>
      <c r="AE53" s="127">
        <f>(I53-(T53*(1-'Future Type Share'!$M43)))/'Future Type Share'!$M43</f>
        <v>0.10046361835877846</v>
      </c>
      <c r="AF53" s="27">
        <f t="shared" si="3"/>
        <v>1</v>
      </c>
      <c r="AG53"/>
    </row>
    <row r="54" spans="2:43">
      <c r="B54" s="23">
        <v>2043</v>
      </c>
      <c r="C54" s="127">
        <f t="shared" si="10"/>
        <v>0.37445214129767512</v>
      </c>
      <c r="D54" s="127">
        <f t="shared" si="11"/>
        <v>0.11404274825767136</v>
      </c>
      <c r="E54" s="26">
        <v>0.06</v>
      </c>
      <c r="F54" s="127">
        <f t="shared" si="4"/>
        <v>0.10671474744963361</v>
      </c>
      <c r="G54" s="127">
        <f t="shared" si="12"/>
        <v>0.10662395984678379</v>
      </c>
      <c r="H54" s="127">
        <f t="shared" si="5"/>
        <v>0.15633135726883562</v>
      </c>
      <c r="I54" s="127">
        <f t="shared" si="6"/>
        <v>8.1835045879400492E-2</v>
      </c>
      <c r="J54" s="27">
        <f t="shared" si="7"/>
        <v>1</v>
      </c>
      <c r="M54" s="23">
        <v>2043</v>
      </c>
      <c r="N54" s="54">
        <f t="shared" si="13"/>
        <v>0</v>
      </c>
      <c r="O54" s="54">
        <f t="shared" si="8"/>
        <v>0.42151460030425159</v>
      </c>
      <c r="P54" s="54">
        <f t="shared" si="17"/>
        <v>0</v>
      </c>
      <c r="Q54" s="54">
        <f t="shared" si="17"/>
        <v>0</v>
      </c>
      <c r="R54" s="54">
        <f t="shared" si="17"/>
        <v>0</v>
      </c>
      <c r="S54" s="54">
        <f t="shared" si="14"/>
        <v>0.57835867304513378</v>
      </c>
      <c r="T54" s="54">
        <f t="shared" si="15"/>
        <v>1.2672665061462426E-4</v>
      </c>
      <c r="U54" s="27">
        <f t="shared" si="16"/>
        <v>1</v>
      </c>
      <c r="V54" s="26"/>
      <c r="W54" s="103"/>
      <c r="X54" s="23">
        <v>2043</v>
      </c>
      <c r="Y54" s="127">
        <f>(C54-(N54*(1-'Future Type Share'!$M44)))/'Future Type Share'!$M44</f>
        <v>0.45960427965570505</v>
      </c>
      <c r="Z54" s="127">
        <f>(D54-(O54*(1-'Future Type Share'!$M44)))/'Future Type Share'!$M44</f>
        <v>4.4122235596331008E-2</v>
      </c>
      <c r="AA54" s="127">
        <f>(E54-(P54*(1-'Future Type Share'!$M44)))/'Future Type Share'!$M44</f>
        <v>7.36442758312877E-2</v>
      </c>
      <c r="AB54" s="127">
        <f>(F54-(Q54*(1-'Future Type Share'!$M44)))/'Future Type Share'!$M44</f>
        <v>0.13098217160745038</v>
      </c>
      <c r="AC54" s="127">
        <f>(G54-(R54*(1-'Future Type Share'!$M44)))/'Future Type Share'!$M44</f>
        <v>0.13087073848634481</v>
      </c>
      <c r="AD54" s="127">
        <f>(H54-(S54*(1-'Future Type Share'!$M44)))/'Future Type Share'!$M44</f>
        <v>6.0360405522339518E-2</v>
      </c>
      <c r="AE54" s="127">
        <f>(I54-(T54*(1-'Future Type Share'!$M44)))/'Future Type Share'!$M44</f>
        <v>0.10041589330054153</v>
      </c>
      <c r="AF54" s="27">
        <f t="shared" si="3"/>
        <v>1</v>
      </c>
      <c r="AG54"/>
    </row>
    <row r="55" spans="2:43">
      <c r="B55" s="23">
        <v>2044</v>
      </c>
      <c r="C55" s="127">
        <f t="shared" si="10"/>
        <v>0.37794126970561004</v>
      </c>
      <c r="D55" s="127">
        <f t="shared" si="11"/>
        <v>0.11203664136371838</v>
      </c>
      <c r="E55" s="26">
        <v>0.06</v>
      </c>
      <c r="F55" s="127">
        <f t="shared" si="4"/>
        <v>0.10718406924254309</v>
      </c>
      <c r="G55" s="127">
        <f t="shared" si="12"/>
        <v>0.10662395984678379</v>
      </c>
      <c r="H55" s="127">
        <f t="shared" si="5"/>
        <v>0.15399830623042998</v>
      </c>
      <c r="I55" s="127">
        <f t="shared" si="6"/>
        <v>8.221575361091471E-2</v>
      </c>
      <c r="J55" s="27">
        <f t="shared" si="7"/>
        <v>0.99999999999999989</v>
      </c>
      <c r="M55" s="23">
        <v>2044</v>
      </c>
      <c r="N55" s="54">
        <f t="shared" si="13"/>
        <v>0</v>
      </c>
      <c r="O55" s="54">
        <f t="shared" si="8"/>
        <v>0.42245612152834155</v>
      </c>
      <c r="P55" s="54">
        <f t="shared" si="17"/>
        <v>0</v>
      </c>
      <c r="Q55" s="54">
        <f t="shared" si="17"/>
        <v>0</v>
      </c>
      <c r="R55" s="54">
        <f t="shared" si="17"/>
        <v>0</v>
      </c>
      <c r="S55" s="54">
        <f t="shared" si="14"/>
        <v>0.57741715182104381</v>
      </c>
      <c r="T55" s="54">
        <f t="shared" si="15"/>
        <v>1.2672665061462426E-4</v>
      </c>
      <c r="U55" s="27">
        <f t="shared" si="16"/>
        <v>1</v>
      </c>
      <c r="V55" s="26"/>
      <c r="W55" s="103"/>
      <c r="X55" s="23">
        <v>2044</v>
      </c>
      <c r="Y55" s="127">
        <f>(C55-(N55*(1-'Future Type Share'!$M45)))/'Future Type Share'!$M45</f>
        <v>0.46151798032434638</v>
      </c>
      <c r="Z55" s="127">
        <f>(D55-(O55*(1-'Future Type Share'!$M45)))/'Future Type Share'!$M45</f>
        <v>4.3391481007598189E-2</v>
      </c>
      <c r="AA55" s="127">
        <f>(E55-(P55*(1-'Future Type Share'!$M45)))/'Future Type Share'!$M45</f>
        <v>7.3268206039076397E-2</v>
      </c>
      <c r="AB55" s="127">
        <f>(F55-(Q55*(1-'Future Type Share'!$M45)))/'Future Type Share'!$M45</f>
        <v>0.13088640782282132</v>
      </c>
      <c r="AC55" s="127">
        <f>(G55-(R55*(1-'Future Type Share'!$M45)))/'Future Type Share'!$M45</f>
        <v>0.13020243764593939</v>
      </c>
      <c r="AD55" s="127">
        <f>(H55-(S55*(1-'Future Type Share'!$M45)))/'Future Type Share'!$M45</f>
        <v>6.036483149502761E-2</v>
      </c>
      <c r="AE55" s="127">
        <f>(I55-(T55*(1-'Future Type Share'!$M45)))/'Future Type Share'!$M45</f>
        <v>0.1003686556651907</v>
      </c>
      <c r="AF55" s="27">
        <f t="shared" si="3"/>
        <v>1</v>
      </c>
      <c r="AG55"/>
    </row>
    <row r="56" spans="2:43">
      <c r="B56" s="23">
        <v>2045</v>
      </c>
      <c r="C56" s="127">
        <f t="shared" si="10"/>
        <v>0.38143039811354407</v>
      </c>
      <c r="D56" s="127">
        <f t="shared" si="11"/>
        <v>0.11003053446976541</v>
      </c>
      <c r="E56" s="26">
        <v>0.06</v>
      </c>
      <c r="F56" s="127">
        <f t="shared" si="4"/>
        <v>0.10765339103545257</v>
      </c>
      <c r="G56" s="127">
        <f t="shared" si="12"/>
        <v>0.10662395984678379</v>
      </c>
      <c r="H56" s="127">
        <f t="shared" si="5"/>
        <v>0.15166525519202523</v>
      </c>
      <c r="I56" s="127">
        <f t="shared" si="6"/>
        <v>8.2596461342428928E-2</v>
      </c>
      <c r="J56" s="27">
        <f t="shared" si="7"/>
        <v>1</v>
      </c>
      <c r="M56" s="23">
        <v>2045</v>
      </c>
      <c r="N56" s="54">
        <f t="shared" si="13"/>
        <v>0</v>
      </c>
      <c r="O56" s="54">
        <f t="shared" si="8"/>
        <v>0.4233976427524313</v>
      </c>
      <c r="P56" s="54">
        <f t="shared" si="17"/>
        <v>0</v>
      </c>
      <c r="Q56" s="54">
        <f t="shared" si="17"/>
        <v>0</v>
      </c>
      <c r="R56" s="54">
        <f t="shared" si="17"/>
        <v>0</v>
      </c>
      <c r="S56" s="54">
        <f t="shared" si="14"/>
        <v>0.57647563059695406</v>
      </c>
      <c r="T56" s="54">
        <f t="shared" si="15"/>
        <v>1.2672665061462426E-4</v>
      </c>
      <c r="U56" s="27">
        <f t="shared" si="16"/>
        <v>1</v>
      </c>
      <c r="V56" s="26"/>
      <c r="W56" s="103"/>
      <c r="X56" s="23">
        <v>2045</v>
      </c>
      <c r="Y56" s="127">
        <f>(C56-(N56*(1-'Future Type Share'!$M46)))/'Future Type Share'!$M46</f>
        <v>0.46341223539308435</v>
      </c>
      <c r="Z56" s="127">
        <f>(D56-(O56*(1-'Future Type Share'!$M46)))/'Future Type Share'!$M46</f>
        <v>4.2677718839318222E-2</v>
      </c>
      <c r="AA56" s="127">
        <f>(E56-(P56*(1-'Future Type Share'!$M46)))/'Future Type Share'!$M46</f>
        <v>7.2895957587806509E-2</v>
      </c>
      <c r="AB56" s="127">
        <f>(F56-(Q56*(1-'Future Type Share'!$M46)))/'Future Type Share'!$M46</f>
        <v>0.13079161711839835</v>
      </c>
      <c r="AC56" s="127">
        <f>(G56-(R56*(1-'Future Type Share'!$M46)))/'Future Type Share'!$M46</f>
        <v>0.12954092758058558</v>
      </c>
      <c r="AD56" s="127">
        <f>(H56-(S56*(1-'Future Type Share'!$M46)))/'Future Type Share'!$M46</f>
        <v>6.0359645457323127E-2</v>
      </c>
      <c r="AE56" s="127">
        <f>(I56-(T56*(1-'Future Type Share'!$M46)))/'Future Type Share'!$M46</f>
        <v>0.1003218980234838</v>
      </c>
      <c r="AF56" s="27">
        <f t="shared" si="3"/>
        <v>0.99999999999999989</v>
      </c>
      <c r="AG56"/>
    </row>
    <row r="57" spans="2:43">
      <c r="B57" s="23">
        <v>2046</v>
      </c>
      <c r="C57" s="127">
        <f t="shared" si="10"/>
        <v>0.38491952652147809</v>
      </c>
      <c r="D57" s="127">
        <f t="shared" si="11"/>
        <v>0.10802442757581243</v>
      </c>
      <c r="E57" s="26">
        <v>0.06</v>
      </c>
      <c r="F57" s="127">
        <f t="shared" si="4"/>
        <v>0.10812271282836206</v>
      </c>
      <c r="G57" s="127">
        <f t="shared" si="12"/>
        <v>0.10662395984678379</v>
      </c>
      <c r="H57" s="127">
        <f t="shared" si="5"/>
        <v>0.14933220415362047</v>
      </c>
      <c r="I57" s="127">
        <f t="shared" si="6"/>
        <v>8.2977169073943147E-2</v>
      </c>
      <c r="J57" s="27">
        <f t="shared" si="7"/>
        <v>0.99999999999999989</v>
      </c>
      <c r="M57" s="23">
        <v>2046</v>
      </c>
      <c r="N57" s="54">
        <f t="shared" si="13"/>
        <v>0</v>
      </c>
      <c r="O57" s="54">
        <f t="shared" si="8"/>
        <v>0.42433916397652127</v>
      </c>
      <c r="P57" s="54">
        <f t="shared" si="17"/>
        <v>0</v>
      </c>
      <c r="Q57" s="54">
        <f t="shared" si="17"/>
        <v>0</v>
      </c>
      <c r="R57" s="54">
        <f t="shared" si="17"/>
        <v>0</v>
      </c>
      <c r="S57" s="54">
        <f t="shared" si="14"/>
        <v>0.57553410937286409</v>
      </c>
      <c r="T57" s="54">
        <f t="shared" si="15"/>
        <v>1.2672665061462426E-4</v>
      </c>
      <c r="U57" s="27">
        <f t="shared" si="16"/>
        <v>1</v>
      </c>
      <c r="V57" s="26"/>
      <c r="W57" s="103"/>
      <c r="X57" s="23">
        <v>2046</v>
      </c>
      <c r="Y57" s="127">
        <f>(C57-(N57*(1-'Future Type Share'!$M47)))/'Future Type Share'!$M47</f>
        <v>0.46528733975123732</v>
      </c>
      <c r="Z57" s="127">
        <f>(D57-(O57*(1-'Future Type Share'!$M47)))/'Future Type Share'!$M47</f>
        <v>4.1980691404235805E-2</v>
      </c>
      <c r="AA57" s="127">
        <f>(E57-(P57*(1-'Future Type Share'!$M47)))/'Future Type Share'!$M47</f>
        <v>7.2527472527472533E-2</v>
      </c>
      <c r="AB57" s="127">
        <f>(F57-(Q57*(1-'Future Type Share'!$M47)))/'Future Type Share'!$M47</f>
        <v>0.13069778473758054</v>
      </c>
      <c r="AC57" s="127">
        <f>(G57-(R57*(1-'Future Type Share'!$M47)))/'Future Type Share'!$M47</f>
        <v>0.12888610530929909</v>
      </c>
      <c r="AD57" s="127">
        <f>(H57-(S57*(1-'Future Type Share'!$M47)))/'Future Type Share'!$M47</f>
        <v>6.0344993173778332E-2</v>
      </c>
      <c r="AE57" s="127">
        <f>(I57-(T57*(1-'Future Type Share'!$M47)))/'Future Type Share'!$M47</f>
        <v>0.10027561309639636</v>
      </c>
      <c r="AF57" s="27">
        <f t="shared" si="3"/>
        <v>0.99999999999999989</v>
      </c>
      <c r="AG57"/>
    </row>
    <row r="58" spans="2:43">
      <c r="B58" s="23">
        <v>2047</v>
      </c>
      <c r="C58" s="127">
        <f t="shared" si="10"/>
        <v>0.38840865492941301</v>
      </c>
      <c r="D58" s="127">
        <f t="shared" si="11"/>
        <v>0.10601832068185946</v>
      </c>
      <c r="E58" s="26">
        <v>0.06</v>
      </c>
      <c r="F58" s="127">
        <f t="shared" si="4"/>
        <v>0.10859203462127154</v>
      </c>
      <c r="G58" s="127">
        <f t="shared" si="12"/>
        <v>0.10662395984678379</v>
      </c>
      <c r="H58" s="127">
        <f t="shared" si="5"/>
        <v>0.14699915311521483</v>
      </c>
      <c r="I58" s="127">
        <f t="shared" si="6"/>
        <v>8.3357876805457365E-2</v>
      </c>
      <c r="J58" s="27">
        <f t="shared" si="7"/>
        <v>1</v>
      </c>
      <c r="M58" s="23">
        <v>2047</v>
      </c>
      <c r="N58" s="54">
        <f t="shared" si="13"/>
        <v>0</v>
      </c>
      <c r="O58" s="54">
        <f t="shared" si="8"/>
        <v>0.42528068520061124</v>
      </c>
      <c r="P58" s="54">
        <f t="shared" si="17"/>
        <v>0</v>
      </c>
      <c r="Q58" s="54">
        <f t="shared" si="17"/>
        <v>0</v>
      </c>
      <c r="R58" s="54">
        <f t="shared" si="17"/>
        <v>0</v>
      </c>
      <c r="S58" s="54">
        <f t="shared" si="14"/>
        <v>0.57459258814877412</v>
      </c>
      <c r="T58" s="54">
        <f t="shared" si="15"/>
        <v>1.2672665061462426E-4</v>
      </c>
      <c r="U58" s="27">
        <f t="shared" si="16"/>
        <v>1</v>
      </c>
      <c r="V58" s="26"/>
      <c r="W58" s="103"/>
      <c r="X58" s="23">
        <v>2047</v>
      </c>
      <c r="Y58" s="127">
        <f>(C58-(N58*(1-'Future Type Share'!$M48)))/'Future Type Share'!$M48</f>
        <v>0.46714358235551534</v>
      </c>
      <c r="Z58" s="127">
        <f>(D58-(O58*(1-'Future Type Share'!$M48)))/'Future Type Share'!$M48</f>
        <v>4.1300146199269701E-2</v>
      </c>
      <c r="AA58" s="127">
        <f>(E58-(P58*(1-'Future Type Share'!$M48)))/'Future Type Share'!$M48</f>
        <v>7.2162694073912084E-2</v>
      </c>
      <c r="AB58" s="127">
        <f>(F58-(Q58*(1-'Future Type Share'!$M48)))/'Future Type Share'!$M48</f>
        <v>0.13060489622064148</v>
      </c>
      <c r="AC58" s="127">
        <f>(G58-(R58*(1-'Future Type Share'!$M48)))/'Future Type Share'!$M48</f>
        <v>0.12823786992287575</v>
      </c>
      <c r="AD58" s="127">
        <f>(H58-(S58*(1-'Future Type Share'!$M48)))/'Future Type Share'!$M48</f>
        <v>6.0321017476441717E-2</v>
      </c>
      <c r="AE58" s="127">
        <f>(I58-(T58*(1-'Future Type Share'!$M48)))/'Future Type Share'!$M48</f>
        <v>0.10022979375134392</v>
      </c>
      <c r="AF58" s="27">
        <f t="shared" si="3"/>
        <v>0.99999999999999989</v>
      </c>
      <c r="AG58"/>
    </row>
    <row r="59" spans="2:43">
      <c r="B59" s="23">
        <v>2048</v>
      </c>
      <c r="C59" s="127">
        <f t="shared" si="10"/>
        <v>0.39189778333734704</v>
      </c>
      <c r="D59" s="127">
        <f t="shared" si="11"/>
        <v>0.10401221378790648</v>
      </c>
      <c r="E59" s="26">
        <v>0.06</v>
      </c>
      <c r="F59" s="127">
        <f t="shared" si="4"/>
        <v>0.10906135641418102</v>
      </c>
      <c r="G59" s="127">
        <f t="shared" si="12"/>
        <v>0.10662395984678379</v>
      </c>
      <c r="H59" s="127">
        <f t="shared" si="5"/>
        <v>0.14466610207681008</v>
      </c>
      <c r="I59" s="127">
        <f t="shared" si="6"/>
        <v>8.3738584536971583E-2</v>
      </c>
      <c r="J59" s="27">
        <f t="shared" si="7"/>
        <v>0.99999999999999989</v>
      </c>
      <c r="M59" s="23">
        <v>2048</v>
      </c>
      <c r="N59" s="54">
        <f t="shared" si="13"/>
        <v>0</v>
      </c>
      <c r="O59" s="54">
        <f t="shared" si="8"/>
        <v>0.42622220642470121</v>
      </c>
      <c r="P59" s="54">
        <f t="shared" si="17"/>
        <v>0</v>
      </c>
      <c r="Q59" s="54">
        <f t="shared" si="17"/>
        <v>0</v>
      </c>
      <c r="R59" s="54">
        <f t="shared" si="17"/>
        <v>0</v>
      </c>
      <c r="S59" s="54">
        <f t="shared" si="14"/>
        <v>0.57365106692468415</v>
      </c>
      <c r="T59" s="54">
        <f t="shared" si="15"/>
        <v>1.2672665061462426E-4</v>
      </c>
      <c r="U59" s="27">
        <f t="shared" si="16"/>
        <v>1</v>
      </c>
      <c r="V59" s="26"/>
      <c r="W59" s="103"/>
      <c r="X59" s="23">
        <v>2048</v>
      </c>
      <c r="Y59" s="127">
        <f>(C59-(N59*(1-'Future Type Share'!$M49)))/'Future Type Share'!$M49</f>
        <v>0.46898124637846139</v>
      </c>
      <c r="Z59" s="127">
        <f>(D59-(O59*(1-'Future Type Share'!$M49)))/'Future Type Share'!$M49</f>
        <v>4.0635835775795458E-2</v>
      </c>
      <c r="AA59" s="127">
        <f>(E59-(P59*(1-'Future Type Share'!$M49)))/'Future Type Share'!$M49</f>
        <v>7.1801566579634449E-2</v>
      </c>
      <c r="AB59" s="127">
        <f>(F59-(Q59*(1-'Future Type Share'!$M49)))/'Future Type Share'!$M49</f>
        <v>0.13051293739730102</v>
      </c>
      <c r="AC59" s="127">
        <f>(G59-(R59*(1-'Future Type Share'!$M49)))/'Future Type Share'!$M49</f>
        <v>0.12759612253205194</v>
      </c>
      <c r="AD59" s="127">
        <f>(H59-(S59*(1-'Future Type Share'!$M49)))/'Future Type Share'!$M49</f>
        <v>6.0287858338237875E-2</v>
      </c>
      <c r="AE59" s="127">
        <f>(I59-(T59*(1-'Future Type Share'!$M49)))/'Future Type Share'!$M49</f>
        <v>0.10018443299851784</v>
      </c>
      <c r="AF59" s="27">
        <f t="shared" si="3"/>
        <v>1</v>
      </c>
      <c r="AG59"/>
    </row>
    <row r="60" spans="2:43">
      <c r="B60" s="23">
        <v>2049</v>
      </c>
      <c r="C60" s="127">
        <f t="shared" si="10"/>
        <v>0.39538691174528107</v>
      </c>
      <c r="D60" s="127">
        <f t="shared" si="11"/>
        <v>0.10200610689395351</v>
      </c>
      <c r="E60" s="26">
        <v>0.06</v>
      </c>
      <c r="F60" s="127">
        <f t="shared" si="4"/>
        <v>0.1095306782070905</v>
      </c>
      <c r="G60" s="127">
        <f t="shared" si="12"/>
        <v>0.10662395984678379</v>
      </c>
      <c r="H60" s="127">
        <f t="shared" si="5"/>
        <v>0.14233305103840532</v>
      </c>
      <c r="I60" s="127">
        <f t="shared" si="6"/>
        <v>8.4119292268485801E-2</v>
      </c>
      <c r="J60" s="27">
        <f t="shared" si="7"/>
        <v>1</v>
      </c>
      <c r="M60" s="23">
        <v>2049</v>
      </c>
      <c r="N60" s="54">
        <f t="shared" si="13"/>
        <v>0</v>
      </c>
      <c r="O60" s="54">
        <f t="shared" si="8"/>
        <v>0.42716372764879118</v>
      </c>
      <c r="P60" s="54">
        <f t="shared" si="17"/>
        <v>0</v>
      </c>
      <c r="Q60" s="54">
        <f t="shared" si="17"/>
        <v>0</v>
      </c>
      <c r="R60" s="54">
        <f t="shared" si="17"/>
        <v>0</v>
      </c>
      <c r="S60" s="54">
        <f t="shared" si="14"/>
        <v>0.57270954570059418</v>
      </c>
      <c r="T60" s="54">
        <f t="shared" si="15"/>
        <v>1.2672665061462426E-4</v>
      </c>
      <c r="U60" s="27">
        <f t="shared" si="16"/>
        <v>1</v>
      </c>
      <c r="V60" s="26"/>
      <c r="W60" s="103"/>
      <c r="X60" s="23">
        <v>2049</v>
      </c>
      <c r="Y60" s="127">
        <f>(C60-(N60*(1-'Future Type Share'!$M50)))/'Future Type Share'!$M50</f>
        <v>0.47080060935246704</v>
      </c>
      <c r="Z60" s="127">
        <f>(D60-(O60*(1-'Future Type Share'!$M50)))/'Future Type Share'!$M50</f>
        <v>3.9987517613803779E-2</v>
      </c>
      <c r="AA60" s="127">
        <f>(E60-(P60*(1-'Future Type Share'!$M50)))/'Future Type Share'!$M50</f>
        <v>7.1444035505520656E-2</v>
      </c>
      <c r="AB60" s="127">
        <f>(F60-(Q60*(1-'Future Type Share'!$M50)))/'Future Type Share'!$M50</f>
        <v>0.13042189437951887</v>
      </c>
      <c r="AC60" s="127">
        <f>(G60-(R60*(1-'Future Type Share'!$M50)))/'Future Type Share'!$M50</f>
        <v>0.12696076621721383</v>
      </c>
      <c r="AD60" s="127">
        <f>(H60-(S60*(1-'Future Type Share'!$M50)))/'Future Type Share'!$M50</f>
        <v>6.0245652944145141E-2</v>
      </c>
      <c r="AE60" s="127">
        <f>(I60-(T60*(1-'Future Type Share'!$M50)))/'Future Type Share'!$M50</f>
        <v>0.10013952398733066</v>
      </c>
      <c r="AF60" s="27">
        <f t="shared" si="3"/>
        <v>1.0000000000000002</v>
      </c>
      <c r="AG60"/>
    </row>
    <row r="61" spans="2:43">
      <c r="B61" s="28">
        <v>2050</v>
      </c>
      <c r="C61" s="128">
        <f t="shared" si="10"/>
        <v>0.39887604015321598</v>
      </c>
      <c r="D61" s="128">
        <f t="shared" si="11"/>
        <v>0.10000000000000053</v>
      </c>
      <c r="E61" s="30">
        <v>0.06</v>
      </c>
      <c r="F61" s="128">
        <f t="shared" si="4"/>
        <v>0.10999999999999999</v>
      </c>
      <c r="G61" s="128">
        <f>G60</f>
        <v>0.10662395984678379</v>
      </c>
      <c r="H61" s="128">
        <f t="shared" si="5"/>
        <v>0.13999999999999968</v>
      </c>
      <c r="I61" s="128">
        <f t="shared" si="6"/>
        <v>8.450000000000002E-2</v>
      </c>
      <c r="J61" s="31">
        <f t="shared" si="7"/>
        <v>0.99999999999999989</v>
      </c>
      <c r="M61" s="28">
        <v>2050</v>
      </c>
      <c r="N61" s="55">
        <f t="shared" si="13"/>
        <v>0</v>
      </c>
      <c r="O61" s="54">
        <f t="shared" si="8"/>
        <v>0.42810524887288115</v>
      </c>
      <c r="P61" s="55">
        <f t="shared" si="17"/>
        <v>0</v>
      </c>
      <c r="Q61" s="55">
        <f t="shared" si="17"/>
        <v>0</v>
      </c>
      <c r="R61" s="55">
        <f t="shared" si="17"/>
        <v>0</v>
      </c>
      <c r="S61" s="55">
        <f t="shared" si="14"/>
        <v>0.57176802447650421</v>
      </c>
      <c r="T61" s="55">
        <f t="shared" si="15"/>
        <v>1.2672665061462426E-4</v>
      </c>
      <c r="U61" s="31">
        <f t="shared" si="16"/>
        <v>1</v>
      </c>
      <c r="V61" s="26"/>
      <c r="W61" s="103"/>
      <c r="X61" s="28">
        <v>2050</v>
      </c>
      <c r="Y61" s="128">
        <f>(C61-(N61*(1-'Future Type Share'!$M51)))/'Future Type Share'!$M51</f>
        <v>0.47260194330949745</v>
      </c>
      <c r="Z61" s="128">
        <f>(D61-(O61*(1-'Future Type Share'!$M51)))/'Future Type Share'!$M51</f>
        <v>3.9354953999799991E-2</v>
      </c>
      <c r="AA61" s="128">
        <f>(E61-(P61*(1-'Future Type Share'!$M51)))/'Future Type Share'!$M51</f>
        <v>7.10900473933649E-2</v>
      </c>
      <c r="AB61" s="128">
        <f>(F61-(Q61*(1-'Future Type Share'!$M51)))/'Future Type Share'!$M51</f>
        <v>0.1303317535545023</v>
      </c>
      <c r="AC61" s="128">
        <f>(G61-(R61*(1-'Future Type Share'!$M51)))/'Future Type Share'!$M51</f>
        <v>0.12633170597960158</v>
      </c>
      <c r="AD61" s="128">
        <f>(H61-(S61*(1-'Future Type Share'!$M51)))/'Future Type Share'!$M51</f>
        <v>6.0194535760266801E-2</v>
      </c>
      <c r="AE61" s="128">
        <f>(I61-(T61*(1-'Future Type Share'!$M51)))/'Future Type Share'!$M51</f>
        <v>0.10009506000296695</v>
      </c>
      <c r="AF61" s="31">
        <f t="shared" si="3"/>
        <v>1</v>
      </c>
      <c r="AG61"/>
    </row>
    <row r="62" spans="2:43" s="103" customFormat="1">
      <c r="B62" s="24"/>
      <c r="C62" s="1"/>
      <c r="D62" s="1"/>
      <c r="E62" s="1" t="s">
        <v>659</v>
      </c>
      <c r="F62" s="1"/>
      <c r="H62" s="1"/>
      <c r="I62" s="1"/>
      <c r="J62" s="26"/>
      <c r="X62" s="24"/>
      <c r="Y62" s="1"/>
      <c r="Z62" s="1"/>
      <c r="AA62" s="26"/>
      <c r="AB62" s="1"/>
      <c r="AC62" s="1"/>
      <c r="AD62" s="1"/>
      <c r="AE62" s="26"/>
      <c r="AF62" s="26"/>
      <c r="AG62" s="26"/>
      <c r="AI62" s="24"/>
      <c r="AJ62" s="1"/>
      <c r="AK62" s="1"/>
      <c r="AL62" s="1"/>
      <c r="AM62" s="1"/>
      <c r="AO62" s="1"/>
      <c r="AP62" s="26"/>
      <c r="AQ62" s="26"/>
    </row>
    <row r="63" spans="2:43" s="103" customFormat="1">
      <c r="B63" s="24">
        <v>2016</v>
      </c>
      <c r="C63" s="1"/>
      <c r="D63" s="1">
        <f t="shared" ref="D63:I63" si="18">D27</f>
        <v>0.16820763439439967</v>
      </c>
      <c r="E63" s="1">
        <f t="shared" si="18"/>
        <v>6.9574692907145685E-2</v>
      </c>
      <c r="F63" s="1">
        <f t="shared" si="18"/>
        <v>9.4043059041077792E-2</v>
      </c>
      <c r="G63" s="1">
        <f t="shared" si="18"/>
        <v>0.10662395984678379</v>
      </c>
      <c r="H63" s="1">
        <f t="shared" si="18"/>
        <v>0.21932373530577204</v>
      </c>
      <c r="I63" s="1">
        <f t="shared" si="18"/>
        <v>7.1555937128516711E-2</v>
      </c>
      <c r="J63" s="26"/>
      <c r="X63" s="24"/>
      <c r="Y63" s="1"/>
      <c r="Z63" s="1"/>
      <c r="AA63" s="26"/>
      <c r="AB63" s="1"/>
      <c r="AC63" s="1"/>
      <c r="AD63" s="1"/>
      <c r="AE63" s="26"/>
      <c r="AF63" s="26"/>
      <c r="AG63" s="26"/>
      <c r="AH63" s="26"/>
      <c r="AI63" s="24"/>
      <c r="AJ63" s="1"/>
      <c r="AK63" s="17"/>
      <c r="AL63" s="26"/>
      <c r="AM63" s="26"/>
      <c r="AO63" s="1"/>
      <c r="AP63" s="26"/>
      <c r="AQ63" s="26"/>
    </row>
    <row r="64" spans="2:43">
      <c r="B64" s="24">
        <v>2050</v>
      </c>
      <c r="D64" s="17">
        <v>0.1</v>
      </c>
      <c r="E64" s="17">
        <v>0.05</v>
      </c>
      <c r="F64" s="17">
        <v>0.11</v>
      </c>
      <c r="G64" s="17">
        <v>0.13</v>
      </c>
      <c r="H64" s="1">
        <v>0.14000000000000001</v>
      </c>
      <c r="I64" s="17">
        <v>8.4500000000000006E-2</v>
      </c>
      <c r="AI64" s="24"/>
      <c r="AK64" s="17"/>
      <c r="AL64" s="26"/>
      <c r="AM64" s="1"/>
    </row>
    <row r="65" spans="1:34" s="64" customFormat="1">
      <c r="A65" s="124" t="s">
        <v>963</v>
      </c>
      <c r="M65" s="124" t="s">
        <v>963</v>
      </c>
      <c r="X65" s="124" t="s">
        <v>963</v>
      </c>
    </row>
    <row r="66" spans="1:34" s="103" customFormat="1">
      <c r="B66" s="164" t="s">
        <v>587</v>
      </c>
      <c r="C66" s="21"/>
      <c r="D66" s="21"/>
      <c r="E66" s="21"/>
      <c r="F66" s="21"/>
      <c r="G66" s="21"/>
      <c r="H66" s="21"/>
      <c r="I66" s="21"/>
      <c r="J66" s="22"/>
      <c r="M66" s="558" t="s">
        <v>962</v>
      </c>
      <c r="N66" s="21"/>
      <c r="O66" s="21"/>
      <c r="P66" s="21"/>
      <c r="Q66" s="21"/>
      <c r="R66" s="21"/>
      <c r="S66" s="21"/>
      <c r="T66" s="21"/>
      <c r="U66" s="22"/>
      <c r="V66" s="24"/>
      <c r="X66" s="164" t="s">
        <v>35</v>
      </c>
      <c r="Y66" s="21"/>
      <c r="Z66" s="21"/>
      <c r="AA66" s="21"/>
      <c r="AB66" s="21"/>
      <c r="AC66" s="21"/>
      <c r="AD66" s="21"/>
      <c r="AE66" s="21"/>
      <c r="AF66" s="22"/>
    </row>
    <row r="67" spans="1:34" s="545" customFormat="1" ht="33" customHeight="1">
      <c r="B67" s="546" t="s">
        <v>528</v>
      </c>
      <c r="C67" s="547" t="s">
        <v>21</v>
      </c>
      <c r="D67" s="547" t="s">
        <v>27</v>
      </c>
      <c r="E67" s="547" t="s">
        <v>28</v>
      </c>
      <c r="F67" s="547" t="s">
        <v>29</v>
      </c>
      <c r="G67" s="547" t="s">
        <v>30</v>
      </c>
      <c r="H67" s="547" t="s">
        <v>31</v>
      </c>
      <c r="I67" s="547" t="s">
        <v>33</v>
      </c>
      <c r="J67" s="548" t="s">
        <v>36</v>
      </c>
      <c r="M67" s="546" t="s">
        <v>528</v>
      </c>
      <c r="N67" s="547" t="s">
        <v>21</v>
      </c>
      <c r="O67" s="547" t="s">
        <v>27</v>
      </c>
      <c r="P67" s="547" t="s">
        <v>28</v>
      </c>
      <c r="Q67" s="547" t="s">
        <v>29</v>
      </c>
      <c r="R67" s="547" t="s">
        <v>30</v>
      </c>
      <c r="S67" s="547" t="s">
        <v>31</v>
      </c>
      <c r="T67" s="547" t="s">
        <v>33</v>
      </c>
      <c r="U67" s="548" t="s">
        <v>36</v>
      </c>
      <c r="V67" s="549"/>
      <c r="W67" s="103"/>
      <c r="X67" s="546" t="s">
        <v>528</v>
      </c>
      <c r="Y67" s="547" t="s">
        <v>21</v>
      </c>
      <c r="Z67" s="547" t="s">
        <v>27</v>
      </c>
      <c r="AA67" s="547" t="s">
        <v>28</v>
      </c>
      <c r="AB67" s="547" t="s">
        <v>29</v>
      </c>
      <c r="AC67" s="547" t="s">
        <v>30</v>
      </c>
      <c r="AD67" s="547" t="s">
        <v>31</v>
      </c>
      <c r="AE67" s="547" t="s">
        <v>33</v>
      </c>
      <c r="AF67" s="548" t="s">
        <v>36</v>
      </c>
      <c r="AH67" s="103"/>
    </row>
    <row r="68" spans="1:34" s="103" customFormat="1">
      <c r="B68" s="553">
        <v>2006</v>
      </c>
      <c r="C68" s="554">
        <f>'Private,Public8EndUse'!W21</f>
        <v>0.20050466615933032</v>
      </c>
      <c r="D68" s="554">
        <f>'Private,Public8EndUse'!X21</f>
        <v>0.21968999078783996</v>
      </c>
      <c r="E68" s="554">
        <f>'Private,Public8EndUse'!Y21</f>
        <v>7.0493050827091758E-2</v>
      </c>
      <c r="F68" s="554">
        <f>'Private,Public8EndUse'!Z21</f>
        <v>0.10638042215724756</v>
      </c>
      <c r="G68" s="554">
        <f>'Private,Public8EndUse'!AA21</f>
        <v>8.8556895101534028E-2</v>
      </c>
      <c r="H68" s="554">
        <f>'Private,Public8EndUse'!V21</f>
        <v>0.27636480153803022</v>
      </c>
      <c r="I68" s="554">
        <f>'Private,Public8EndUse'!AB21</f>
        <v>3.7970120559138065E-2</v>
      </c>
      <c r="J68" s="555">
        <f>SUM(C68:I68)</f>
        <v>0.99995994713021186</v>
      </c>
      <c r="M68" s="553">
        <v>2006</v>
      </c>
      <c r="N68" s="557">
        <f>'Private,Public8EndUse'!W71</f>
        <v>0</v>
      </c>
      <c r="O68" s="557">
        <f>'Private,Public8EndUse'!X71</f>
        <v>0.43341503267973858</v>
      </c>
      <c r="P68" s="557">
        <f>'Private,Public8EndUse'!Y71</f>
        <v>0</v>
      </c>
      <c r="Q68" s="557">
        <f>'Private,Public8EndUse'!Z71</f>
        <v>0</v>
      </c>
      <c r="R68" s="557">
        <f>'Private,Public8EndUse'!AA71</f>
        <v>0</v>
      </c>
      <c r="S68" s="557">
        <f>'Private,Public8EndUse'!V71</f>
        <v>0.56168300653594772</v>
      </c>
      <c r="T68" s="557">
        <f>'Private,Public8EndUse'!AB71</f>
        <v>4.5955882352941178E-3</v>
      </c>
      <c r="U68" s="555">
        <f>SUM(N68:T68)</f>
        <v>0.99969362745098045</v>
      </c>
      <c r="V68" s="26"/>
      <c r="X68" s="553">
        <v>2006</v>
      </c>
      <c r="Y68" s="554">
        <f>'Private,Public8EndUse'!W51</f>
        <v>0.3298846787479407</v>
      </c>
      <c r="Z68" s="554">
        <f>'Private,Public8EndUse'!X51</f>
        <v>8.1779242174629327E-2</v>
      </c>
      <c r="AA68" s="554">
        <f>'Private,Public8EndUse'!Y51</f>
        <v>0.11598023064250412</v>
      </c>
      <c r="AB68" s="554">
        <f>'Private,Public8EndUse'!Z51</f>
        <v>0.17502471169686984</v>
      </c>
      <c r="AC68" s="554">
        <f>'Private,Public8EndUse'!AA51</f>
        <v>0.14570016474464581</v>
      </c>
      <c r="AD68" s="554">
        <f>'Private,Public8EndUse'!V51</f>
        <v>9.2257001647446463E-2</v>
      </c>
      <c r="AE68" s="554">
        <f>'Private,Public8EndUse'!AB51</f>
        <v>5.9505766062602966E-2</v>
      </c>
      <c r="AF68" s="555">
        <f>SUM(Y68:AE68)</f>
        <v>1.0001317957166393</v>
      </c>
    </row>
    <row r="69" spans="1:34" s="103" customFormat="1">
      <c r="B69" s="553">
        <v>2007</v>
      </c>
      <c r="C69" s="554">
        <f>'Private,Public8EndUse'!W22</f>
        <v>0.19706174310105221</v>
      </c>
      <c r="D69" s="554">
        <f>'Private,Public8EndUse'!X22</f>
        <v>0.21584276354973198</v>
      </c>
      <c r="E69" s="554">
        <f>'Private,Public8EndUse'!Y22</f>
        <v>6.7857851895969823E-2</v>
      </c>
      <c r="F69" s="554">
        <f>'Private,Public8EndUse'!Z22</f>
        <v>0.10883462378399841</v>
      </c>
      <c r="G69" s="554">
        <f>'Private,Public8EndUse'!AA22</f>
        <v>9.223744292237443E-2</v>
      </c>
      <c r="H69" s="554">
        <f>'Private,Public8EndUse'!V22</f>
        <v>0.27885646217986898</v>
      </c>
      <c r="I69" s="554">
        <f>'Private,Public8EndUse'!AB22</f>
        <v>3.9309112567004166E-2</v>
      </c>
      <c r="J69" s="555">
        <f t="shared" ref="J69:J78" si="19">SUM(C69:I69)</f>
        <v>1</v>
      </c>
      <c r="M69" s="553">
        <v>2007</v>
      </c>
      <c r="N69" s="557">
        <f>'Private,Public8EndUse'!W72</f>
        <v>0</v>
      </c>
      <c r="O69" s="557">
        <f>'Private,Public8EndUse'!X72</f>
        <v>0.42060846009585329</v>
      </c>
      <c r="P69" s="557">
        <f>'Private,Public8EndUse'!Y72</f>
        <v>0</v>
      </c>
      <c r="Q69" s="557">
        <f>'Private,Public8EndUse'!Z72</f>
        <v>0</v>
      </c>
      <c r="R69" s="557">
        <f>'Private,Public8EndUse'!AA72</f>
        <v>0</v>
      </c>
      <c r="S69" s="557">
        <f>'Private,Public8EndUse'!V72</f>
        <v>0.5744946863929985</v>
      </c>
      <c r="T69" s="557">
        <f>'Private,Public8EndUse'!AB72</f>
        <v>4.8968535111481555E-3</v>
      </c>
      <c r="U69" s="555">
        <f t="shared" ref="U69:U78" si="20">SUM(N69:T69)</f>
        <v>0.99999999999999989</v>
      </c>
      <c r="X69" s="553">
        <v>2007</v>
      </c>
      <c r="Y69" s="554">
        <f>'Private,Public8EndUse'!W52</f>
        <v>0.3184063642779239</v>
      </c>
      <c r="Z69" s="554">
        <f>'Private,Public8EndUse'!X52</f>
        <v>8.9754282414832867E-2</v>
      </c>
      <c r="AA69" s="554">
        <f>'Private,Public8EndUse'!Y52</f>
        <v>0.10964265092705459</v>
      </c>
      <c r="AB69" s="554">
        <f>'Private,Public8EndUse'!Z52</f>
        <v>0.17585167126451531</v>
      </c>
      <c r="AC69" s="554">
        <f>'Private,Public8EndUse'!AA52</f>
        <v>0.14903445178674538</v>
      </c>
      <c r="AD69" s="554">
        <f>'Private,Public8EndUse'!V52</f>
        <v>9.681144543529864E-2</v>
      </c>
      <c r="AE69" s="554">
        <f>'Private,Public8EndUse'!AB52</f>
        <v>6.0499133893629306E-2</v>
      </c>
      <c r="AF69" s="555">
        <f t="shared" ref="AF69:AF112" si="21">SUM(Y69:AE69)</f>
        <v>0.99999999999999989</v>
      </c>
    </row>
    <row r="70" spans="1:34" s="103" customFormat="1">
      <c r="B70" s="553">
        <v>2008</v>
      </c>
      <c r="C70" s="554">
        <f>'Private,Public8EndUse'!W23</f>
        <v>0.18940195041710728</v>
      </c>
      <c r="D70" s="554">
        <f>'Private,Public8EndUse'!X23</f>
        <v>0.21771824697450359</v>
      </c>
      <c r="E70" s="554">
        <f>'Private,Public8EndUse'!Y23</f>
        <v>6.364312850037207E-2</v>
      </c>
      <c r="F70" s="554">
        <f>'Private,Public8EndUse'!Z23</f>
        <v>0.1082912309560177</v>
      </c>
      <c r="G70" s="554">
        <f>'Private,Public8EndUse'!AA23</f>
        <v>9.3917675165472128E-2</v>
      </c>
      <c r="H70" s="554">
        <f>'Private,Public8EndUse'!V23</f>
        <v>0.28723612579798691</v>
      </c>
      <c r="I70" s="554">
        <f>'Private,Public8EndUse'!AB23</f>
        <v>3.9830807190694394E-2</v>
      </c>
      <c r="J70" s="555">
        <f t="shared" si="19"/>
        <v>1.0000391650021541</v>
      </c>
      <c r="M70" s="553">
        <v>2008</v>
      </c>
      <c r="N70" s="557">
        <f>'Private,Public8EndUse'!W73</f>
        <v>0</v>
      </c>
      <c r="O70" s="557">
        <f>'Private,Public8EndUse'!X73</f>
        <v>0.41012554863733797</v>
      </c>
      <c r="P70" s="557">
        <f>'Private,Public8EndUse'!Y73</f>
        <v>0</v>
      </c>
      <c r="Q70" s="557">
        <f>'Private,Public8EndUse'!Z73</f>
        <v>0</v>
      </c>
      <c r="R70" s="557">
        <f>'Private,Public8EndUse'!AA73</f>
        <v>0</v>
      </c>
      <c r="S70" s="557">
        <f>'Private,Public8EndUse'!V73</f>
        <v>0.58466877615596613</v>
      </c>
      <c r="T70" s="557">
        <f>'Private,Public8EndUse'!AB73</f>
        <v>5.3077472695723183E-3</v>
      </c>
      <c r="U70" s="555">
        <f t="shared" si="20"/>
        <v>1.0001020720628764</v>
      </c>
      <c r="X70" s="553">
        <v>2008</v>
      </c>
      <c r="Y70" s="554">
        <f>'Private,Public8EndUse'!W53</f>
        <v>0.30732079308591764</v>
      </c>
      <c r="Z70" s="554">
        <f>'Private,Public8EndUse'!X53</f>
        <v>9.7928317234367054E-2</v>
      </c>
      <c r="AA70" s="554">
        <f>'Private,Public8EndUse'!Y53</f>
        <v>0.103266395526182</v>
      </c>
      <c r="AB70" s="554">
        <f>'Private,Public8EndUse'!Z53</f>
        <v>0.175711743772242</v>
      </c>
      <c r="AC70" s="554">
        <f>'Private,Public8EndUse'!AA53</f>
        <v>0.15238942552109813</v>
      </c>
      <c r="AD70" s="554">
        <f>'Private,Public8EndUse'!V53</f>
        <v>0.10205897305541434</v>
      </c>
      <c r="AE70" s="554">
        <f>'Private,Public8EndUse'!AB53</f>
        <v>6.1324351804778854E-2</v>
      </c>
      <c r="AF70" s="555">
        <f t="shared" si="21"/>
        <v>1</v>
      </c>
    </row>
    <row r="71" spans="1:34" s="103" customFormat="1">
      <c r="B71" s="553">
        <v>2009</v>
      </c>
      <c r="C71" s="554">
        <f>'Private,Public8EndUse'!W24</f>
        <v>0.19575725026852847</v>
      </c>
      <c r="D71" s="554">
        <f>'Private,Public8EndUse'!X24</f>
        <v>0.21263618229246586</v>
      </c>
      <c r="E71" s="554">
        <f>'Private,Public8EndUse'!Y24</f>
        <v>6.287402178916679E-2</v>
      </c>
      <c r="F71" s="554">
        <f>'Private,Public8EndUse'!Z24</f>
        <v>0.10810188737148994</v>
      </c>
      <c r="G71" s="554">
        <f>'Private,Public8EndUse'!AA24</f>
        <v>9.663188583704159E-2</v>
      </c>
      <c r="H71" s="554">
        <f>'Private,Public8EndUse'!V24</f>
        <v>0.28030535522479666</v>
      </c>
      <c r="I71" s="554">
        <f>'Private,Public8EndUse'!AB24</f>
        <v>4.3693417216510662E-2</v>
      </c>
      <c r="J71" s="555">
        <f t="shared" si="19"/>
        <v>1</v>
      </c>
      <c r="M71" s="553">
        <v>2009</v>
      </c>
      <c r="N71" s="557">
        <f>'Private,Public8EndUse'!W74</f>
        <v>0</v>
      </c>
      <c r="O71" s="557">
        <f>'Private,Public8EndUse'!X74</f>
        <v>0.41656416564165644</v>
      </c>
      <c r="P71" s="557">
        <f>'Private,Public8EndUse'!Y74</f>
        <v>0</v>
      </c>
      <c r="Q71" s="557">
        <f>'Private,Public8EndUse'!Z74</f>
        <v>0</v>
      </c>
      <c r="R71" s="557">
        <f>'Private,Public8EndUse'!AA74</f>
        <v>0</v>
      </c>
      <c r="S71" s="557">
        <f>'Private,Public8EndUse'!V74</f>
        <v>0.57882328823288232</v>
      </c>
      <c r="T71" s="557">
        <f>'Private,Public8EndUse'!AB74</f>
        <v>4.6125461254612546E-3</v>
      </c>
      <c r="U71" s="555">
        <f t="shared" si="20"/>
        <v>1</v>
      </c>
      <c r="X71" s="553">
        <v>2009</v>
      </c>
      <c r="Y71" s="554">
        <f>'Private,Public8EndUse'!W54</f>
        <v>0.31283717508582637</v>
      </c>
      <c r="Z71" s="554">
        <f>'Private,Public8EndUse'!X54</f>
        <v>9.0669445806768029E-2</v>
      </c>
      <c r="AA71" s="554">
        <f>'Private,Public8EndUse'!Y54</f>
        <v>0.10047817557626287</v>
      </c>
      <c r="AB71" s="554">
        <f>'Private,Public8EndUse'!Z54</f>
        <v>0.17275625306522804</v>
      </c>
      <c r="AC71" s="554">
        <f>'Private,Public8EndUse'!AA54</f>
        <v>0.15442618930848456</v>
      </c>
      <c r="AD71" s="554">
        <f>'Private,Public8EndUse'!V54</f>
        <v>0.10176557135850907</v>
      </c>
      <c r="AE71" s="554">
        <f>'Private,Public8EndUse'!AB54</f>
        <v>6.706718979892104E-2</v>
      </c>
      <c r="AF71" s="555">
        <f t="shared" si="21"/>
        <v>1</v>
      </c>
    </row>
    <row r="72" spans="1:34" s="103" customFormat="1">
      <c r="B72" s="553">
        <v>2010</v>
      </c>
      <c r="C72" s="554">
        <f>'Private,Public8EndUse'!W25</f>
        <v>0.19648574477816741</v>
      </c>
      <c r="D72" s="554">
        <f>'Private,Public8EndUse'!X25</f>
        <v>0.21161762463790212</v>
      </c>
      <c r="E72" s="554">
        <f>'Private,Public8EndUse'!Y25</f>
        <v>6.0679981704528131E-2</v>
      </c>
      <c r="F72" s="554">
        <f>'Private,Public8EndUse'!Z25</f>
        <v>0.10458911419423693</v>
      </c>
      <c r="G72" s="554">
        <f>'Private,Public8EndUse'!AA25</f>
        <v>9.8604970269858205E-2</v>
      </c>
      <c r="H72" s="554">
        <f>'Private,Public8EndUse'!V25</f>
        <v>0.27999695075468822</v>
      </c>
      <c r="I72" s="554">
        <f>'Private,Public8EndUse'!AB25</f>
        <v>4.8063729227016315E-2</v>
      </c>
      <c r="J72" s="555">
        <f t="shared" si="19"/>
        <v>1.0000381155663973</v>
      </c>
      <c r="M72" s="553">
        <v>2010</v>
      </c>
      <c r="N72" s="557">
        <f>'Private,Public8EndUse'!W75</f>
        <v>0</v>
      </c>
      <c r="O72" s="557">
        <f>'Private,Public8EndUse'!X75</f>
        <v>0.42284386992526762</v>
      </c>
      <c r="P72" s="557">
        <f>'Private,Public8EndUse'!Y75</f>
        <v>0</v>
      </c>
      <c r="Q72" s="557">
        <f>'Private,Public8EndUse'!Z75</f>
        <v>0</v>
      </c>
      <c r="R72" s="557">
        <f>'Private,Public8EndUse'!AA75</f>
        <v>0</v>
      </c>
      <c r="S72" s="557">
        <f>'Private,Public8EndUse'!V75</f>
        <v>0.57311654211270446</v>
      </c>
      <c r="T72" s="557">
        <f>'Private,Public8EndUse'!AB75</f>
        <v>4.039587962027873E-3</v>
      </c>
      <c r="U72" s="555">
        <f t="shared" si="20"/>
        <v>1</v>
      </c>
      <c r="X72" s="553">
        <v>2010</v>
      </c>
      <c r="Y72" s="554">
        <f>'Private,Public8EndUse'!W55</f>
        <v>0.31559936329129423</v>
      </c>
      <c r="Z72" s="554">
        <f>'Private,Public8EndUse'!X55</f>
        <v>8.3568017631933389E-2</v>
      </c>
      <c r="AA72" s="554">
        <f>'Private,Public8EndUse'!Y55</f>
        <v>9.7465409575119386E-2</v>
      </c>
      <c r="AB72" s="554">
        <f>'Private,Public8EndUse'!Z55</f>
        <v>0.16799314313701483</v>
      </c>
      <c r="AC72" s="554">
        <f>'Private,Public8EndUse'!AA55</f>
        <v>0.15838129055956901</v>
      </c>
      <c r="AD72" s="554">
        <f>'Private,Public8EndUse'!V55</f>
        <v>0.10230194685931186</v>
      </c>
      <c r="AE72" s="554">
        <f>'Private,Public8EndUse'!AB55</f>
        <v>7.4752050936696457E-2</v>
      </c>
      <c r="AF72" s="555">
        <f t="shared" si="21"/>
        <v>1.0000612219909391</v>
      </c>
    </row>
    <row r="73" spans="1:34" s="103" customFormat="1">
      <c r="B73" s="553">
        <v>2011</v>
      </c>
      <c r="C73" s="554">
        <f>'Private,Public8EndUse'!W26</f>
        <v>0.19532208588957056</v>
      </c>
      <c r="D73" s="554">
        <f>'Private,Public8EndUse'!X26</f>
        <v>0.21138803680981594</v>
      </c>
      <c r="E73" s="554">
        <f>'Private,Public8EndUse'!Y26</f>
        <v>5.8550613496932517E-2</v>
      </c>
      <c r="F73" s="554">
        <f>'Private,Public8EndUse'!Z26</f>
        <v>0.10046012269938651</v>
      </c>
      <c r="G73" s="554">
        <f>'Private,Public8EndUse'!AA26</f>
        <v>0.10226226993865031</v>
      </c>
      <c r="H73" s="554">
        <f>'Private,Public8EndUse'!V26</f>
        <v>0.27799079754601225</v>
      </c>
      <c r="I73" s="554">
        <f>'Private,Public8EndUse'!AB26</f>
        <v>5.3987730061349694E-2</v>
      </c>
      <c r="J73" s="555">
        <f t="shared" si="19"/>
        <v>0.99996165644171786</v>
      </c>
      <c r="M73" s="553">
        <v>2011</v>
      </c>
      <c r="N73" s="557">
        <f>'Private,Public8EndUse'!W76</f>
        <v>0</v>
      </c>
      <c r="O73" s="557">
        <f>'Private,Public8EndUse'!X76</f>
        <v>0.431420184229173</v>
      </c>
      <c r="P73" s="557">
        <f>'Private,Public8EndUse'!Y76</f>
        <v>0</v>
      </c>
      <c r="Q73" s="557">
        <f>'Private,Public8EndUse'!Z76</f>
        <v>0</v>
      </c>
      <c r="R73" s="557">
        <f>'Private,Public8EndUse'!AA76</f>
        <v>0</v>
      </c>
      <c r="S73" s="557">
        <f>'Private,Public8EndUse'!V76</f>
        <v>0.56503694705941898</v>
      </c>
      <c r="T73" s="557">
        <f>'Private,Public8EndUse'!AB76</f>
        <v>3.5428687114080373E-3</v>
      </c>
      <c r="U73" s="555">
        <f t="shared" si="20"/>
        <v>1</v>
      </c>
      <c r="X73" s="553">
        <v>2011</v>
      </c>
      <c r="Y73" s="554">
        <f>'Private,Public8EndUse'!W56</f>
        <v>0.31442503549163631</v>
      </c>
      <c r="Z73" s="554">
        <f>'Private,Public8EndUse'!X56</f>
        <v>7.7217455712610336E-2</v>
      </c>
      <c r="AA73" s="554">
        <f>'Private,Public8EndUse'!Y56</f>
        <v>9.4253441145608297E-2</v>
      </c>
      <c r="AB73" s="554">
        <f>'Private,Public8EndUse'!Z56</f>
        <v>0.16171841244367632</v>
      </c>
      <c r="AC73" s="554">
        <f>'Private,Public8EndUse'!AA56</f>
        <v>0.16461946793407814</v>
      </c>
      <c r="AD73" s="554">
        <f>'Private,Public8EndUse'!V56</f>
        <v>0.10295660761681377</v>
      </c>
      <c r="AE73" s="554">
        <f>'Private,Public8EndUse'!AB56</f>
        <v>8.4747855070674644E-2</v>
      </c>
      <c r="AF73" s="555">
        <f t="shared" si="21"/>
        <v>0.99993827541509783</v>
      </c>
    </row>
    <row r="74" spans="1:34" s="103" customFormat="1">
      <c r="B74" s="553">
        <v>2012</v>
      </c>
      <c r="C74" s="554">
        <f>'Private,Public8EndUse'!W27</f>
        <v>0.19479885920144102</v>
      </c>
      <c r="D74" s="554">
        <f>'Private,Public8EndUse'!X27</f>
        <v>0.20722005403782648</v>
      </c>
      <c r="E74" s="554">
        <f>'Private,Public8EndUse'!Y27</f>
        <v>5.7452716901831284E-2</v>
      </c>
      <c r="F74" s="554">
        <f>'Private,Public8EndUse'!Z27</f>
        <v>9.6179825878114675E-2</v>
      </c>
      <c r="G74" s="554">
        <f>'Private,Public8EndUse'!AA27</f>
        <v>0.10961422996097268</v>
      </c>
      <c r="H74" s="554">
        <f>'Private,Public8EndUse'!V27</f>
        <v>0.27191534073851698</v>
      </c>
      <c r="I74" s="554">
        <f>'Private,Public8EndUse'!AB27</f>
        <v>6.2781447012909039E-2</v>
      </c>
      <c r="J74" s="555">
        <f t="shared" si="19"/>
        <v>0.99996247373161218</v>
      </c>
      <c r="M74" s="553">
        <v>2012</v>
      </c>
      <c r="N74" s="557">
        <f>'Private,Public8EndUse'!W77</f>
        <v>0</v>
      </c>
      <c r="O74" s="557">
        <f>'Private,Public8EndUse'!X77</f>
        <v>0.43963254593175854</v>
      </c>
      <c r="P74" s="557">
        <f>'Private,Public8EndUse'!Y77</f>
        <v>0</v>
      </c>
      <c r="Q74" s="557">
        <f>'Private,Public8EndUse'!Z77</f>
        <v>0</v>
      </c>
      <c r="R74" s="557">
        <f>'Private,Public8EndUse'!AA77</f>
        <v>0</v>
      </c>
      <c r="S74" s="557">
        <f>'Private,Public8EndUse'!V77</f>
        <v>0.55733898647284474</v>
      </c>
      <c r="T74" s="557">
        <f>'Private,Public8EndUse'!AB77</f>
        <v>3.0284675953967293E-3</v>
      </c>
      <c r="U74" s="555">
        <f t="shared" si="20"/>
        <v>1</v>
      </c>
      <c r="V74" s="26"/>
      <c r="X74" s="553">
        <v>2012</v>
      </c>
      <c r="Y74" s="554">
        <f>'Private,Public8EndUse'!W57</f>
        <v>0.31005853541990203</v>
      </c>
      <c r="Z74" s="554">
        <f>'Private,Public8EndUse'!X57</f>
        <v>6.9704933699677452E-2</v>
      </c>
      <c r="AA74" s="554">
        <f>'Private,Public8EndUse'!Y57</f>
        <v>9.1446661091864764E-2</v>
      </c>
      <c r="AB74" s="554">
        <f>'Private,Public8EndUse'!Z57</f>
        <v>0.15308804204993429</v>
      </c>
      <c r="AC74" s="554">
        <f>'Private,Public8EndUse'!AA57</f>
        <v>0.17447138932027237</v>
      </c>
      <c r="AD74" s="554">
        <f>'Private,Public8EndUse'!V57</f>
        <v>0.10303428503165692</v>
      </c>
      <c r="AE74" s="554">
        <f>'Private,Public8EndUse'!AB57</f>
        <v>9.8136423366383951E-2</v>
      </c>
      <c r="AF74" s="556">
        <f t="shared" si="21"/>
        <v>0.99994026997969176</v>
      </c>
    </row>
    <row r="75" spans="1:34" s="103" customFormat="1">
      <c r="B75" s="553">
        <v>2013</v>
      </c>
      <c r="C75" s="554">
        <f>'Private,Public8EndUse'!W28</f>
        <v>0.17585493022542556</v>
      </c>
      <c r="D75" s="554">
        <f>'Private,Public8EndUse'!X28</f>
        <v>0.21108725655574298</v>
      </c>
      <c r="E75" s="554">
        <f>'Private,Public8EndUse'!Y28</f>
        <v>5.6394724735470018E-2</v>
      </c>
      <c r="F75" s="554">
        <f>'Private,Public8EndUse'!Z28</f>
        <v>9.5652507284158875E-2</v>
      </c>
      <c r="G75" s="554">
        <f>'Private,Public8EndUse'!AA28</f>
        <v>0.11685324336758166</v>
      </c>
      <c r="H75" s="554">
        <f>'Private,Public8EndUse'!V28</f>
        <v>0.2761079589020089</v>
      </c>
      <c r="I75" s="554">
        <f>'Private,Public8EndUse'!AB28</f>
        <v>6.804937892961202E-2</v>
      </c>
      <c r="J75" s="555">
        <f t="shared" si="19"/>
        <v>1</v>
      </c>
      <c r="M75" s="553">
        <v>2013</v>
      </c>
      <c r="N75" s="557">
        <f>'Private,Public8EndUse'!W78</f>
        <v>0</v>
      </c>
      <c r="O75" s="557">
        <f>'Private,Public8EndUse'!X78</f>
        <v>0.44097541067238039</v>
      </c>
      <c r="P75" s="557">
        <f>'Private,Public8EndUse'!Y78</f>
        <v>0</v>
      </c>
      <c r="Q75" s="557">
        <f>'Private,Public8EndUse'!Z78</f>
        <v>0</v>
      </c>
      <c r="R75" s="557">
        <f>'Private,Public8EndUse'!AA78</f>
        <v>0</v>
      </c>
      <c r="S75" s="557">
        <f>'Private,Public8EndUse'!V78</f>
        <v>0.55606570758085905</v>
      </c>
      <c r="T75" s="557">
        <f>'Private,Public8EndUse'!AB78</f>
        <v>3.0609121518212429E-3</v>
      </c>
      <c r="U75" s="555">
        <f t="shared" si="20"/>
        <v>1.0001020304050607</v>
      </c>
      <c r="V75" s="26"/>
      <c r="X75" s="553">
        <v>2013</v>
      </c>
      <c r="Y75" s="554">
        <f>'Private,Public8EndUse'!W58</f>
        <v>0.28170484554443287</v>
      </c>
      <c r="Z75" s="554">
        <f>'Private,Public8EndUse'!X58</f>
        <v>7.2713873364859058E-2</v>
      </c>
      <c r="AA75" s="554">
        <f>'Private,Public8EndUse'!Y58</f>
        <v>9.0339618006509859E-2</v>
      </c>
      <c r="AB75" s="554">
        <f>'Private,Public8EndUse'!Z58</f>
        <v>0.15322729226800957</v>
      </c>
      <c r="AC75" s="554">
        <f>'Private,Public8EndUse'!AA58</f>
        <v>0.18718909291899527</v>
      </c>
      <c r="AD75" s="554">
        <f>'Private,Public8EndUse'!V58</f>
        <v>0.10759688018178468</v>
      </c>
      <c r="AE75" s="554">
        <f>'Private,Public8EndUse'!AB58</f>
        <v>0.10716698397101271</v>
      </c>
      <c r="AF75" s="556">
        <f t="shared" si="21"/>
        <v>0.99993858625560406</v>
      </c>
    </row>
    <row r="76" spans="1:34" s="103" customFormat="1">
      <c r="B76" s="553">
        <v>2014</v>
      </c>
      <c r="C76" s="554">
        <f>'Private,Public8EndUse'!W29</f>
        <v>0.21331045560747663</v>
      </c>
      <c r="D76" s="554">
        <f>'Private,Public8EndUse'!X29</f>
        <v>0.20097108644859812</v>
      </c>
      <c r="E76" s="554">
        <f>'Private,Public8EndUse'!Y29</f>
        <v>5.2971670560747662E-2</v>
      </c>
      <c r="F76" s="554">
        <f>'Private,Public8EndUse'!Z29</f>
        <v>9.6415011682242993E-2</v>
      </c>
      <c r="G76" s="554">
        <f>'Private,Public8EndUse'!AA29</f>
        <v>0.10984959112149532</v>
      </c>
      <c r="H76" s="554">
        <f>'Private,Public8EndUse'!V29</f>
        <v>0.26255841121495327</v>
      </c>
      <c r="I76" s="554">
        <f>'Private,Public8EndUse'!AB29</f>
        <v>6.3960280373831779E-2</v>
      </c>
      <c r="J76" s="555">
        <f t="shared" si="19"/>
        <v>1.0000365070093458</v>
      </c>
      <c r="M76" s="553">
        <v>2014</v>
      </c>
      <c r="N76" s="557">
        <f>'Private,Public8EndUse'!W79</f>
        <v>0</v>
      </c>
      <c r="O76" s="557">
        <f>'Private,Public8EndUse'!X79</f>
        <v>0.44141578519121238</v>
      </c>
      <c r="P76" s="557">
        <f>'Private,Public8EndUse'!Y79</f>
        <v>0</v>
      </c>
      <c r="Q76" s="557">
        <f>'Private,Public8EndUse'!Z79</f>
        <v>0</v>
      </c>
      <c r="R76" s="557">
        <f>'Private,Public8EndUse'!AA79</f>
        <v>0</v>
      </c>
      <c r="S76" s="557">
        <f>'Private,Public8EndUse'!V79</f>
        <v>0.55563466232709524</v>
      </c>
      <c r="T76" s="557">
        <f>'Private,Public8EndUse'!AB79</f>
        <v>3.0512611879576893E-3</v>
      </c>
      <c r="U76" s="555">
        <f t="shared" si="20"/>
        <v>1.0001017087062654</v>
      </c>
      <c r="V76" s="26"/>
      <c r="X76" s="553">
        <v>2014</v>
      </c>
      <c r="Y76" s="554">
        <f>'Private,Public8EndUse'!W59</f>
        <v>0.33274487471526198</v>
      </c>
      <c r="Z76" s="554">
        <f>'Private,Public8EndUse'!X59</f>
        <v>6.6343963553530755E-2</v>
      </c>
      <c r="AA76" s="554">
        <f>'Private,Public8EndUse'!Y59</f>
        <v>8.2630979498861043E-2</v>
      </c>
      <c r="AB76" s="554">
        <f>'Private,Public8EndUse'!Z59</f>
        <v>0.15039863325740319</v>
      </c>
      <c r="AC76" s="554">
        <f>'Private,Public8EndUse'!AA59</f>
        <v>0.17135535307517083</v>
      </c>
      <c r="AD76" s="554">
        <f>'Private,Public8EndUse'!V59</f>
        <v>9.8462414578587704E-2</v>
      </c>
      <c r="AE76" s="554">
        <f>'Private,Public8EndUse'!AB59</f>
        <v>9.8063781321184512E-2</v>
      </c>
      <c r="AF76" s="556">
        <f t="shared" si="21"/>
        <v>1</v>
      </c>
    </row>
    <row r="77" spans="1:34" s="103" customFormat="1">
      <c r="B77" s="553">
        <v>2015</v>
      </c>
      <c r="C77" s="554">
        <f>'Private,Public8EndUse'!W30</f>
        <v>0.21402682808354817</v>
      </c>
      <c r="D77" s="554">
        <f>'Private,Public8EndUse'!X30</f>
        <v>0.19829615513955834</v>
      </c>
      <c r="E77" s="554">
        <f>'Private,Public8EndUse'!Y30</f>
        <v>5.2796771662369686E-2</v>
      </c>
      <c r="F77" s="554">
        <f>'Private,Public8EndUse'!Z30</f>
        <v>0.10069872585285655</v>
      </c>
      <c r="G77" s="554">
        <f>'Private,Public8EndUse'!AA30</f>
        <v>0.10933004521167283</v>
      </c>
      <c r="H77" s="554">
        <f>'Private,Public8EndUse'!V30</f>
        <v>0.26121884691551767</v>
      </c>
      <c r="I77" s="554">
        <f>'Private,Public8EndUse'!AB30</f>
        <v>6.3669992153346039E-2</v>
      </c>
      <c r="J77" s="555">
        <f t="shared" si="19"/>
        <v>1.0000373650188694</v>
      </c>
      <c r="M77" s="553">
        <v>2015</v>
      </c>
      <c r="N77" s="557">
        <f>'Private,Public8EndUse'!W80</f>
        <v>0</v>
      </c>
      <c r="O77" s="557">
        <f>'Private,Public8EndUse'!X80</f>
        <v>0.4417826132440632</v>
      </c>
      <c r="P77" s="557">
        <f>'Private,Public8EndUse'!Y80</f>
        <v>0</v>
      </c>
      <c r="Q77" s="557">
        <f>'Private,Public8EndUse'!Z80</f>
        <v>0</v>
      </c>
      <c r="R77" s="557">
        <f>'Private,Public8EndUse'!AA80</f>
        <v>0</v>
      </c>
      <c r="S77" s="557">
        <f>'Private,Public8EndUse'!V80</f>
        <v>0.55528821006381424</v>
      </c>
      <c r="T77" s="557">
        <f>'Private,Public8EndUse'!AB80</f>
        <v>2.929176692122607E-3</v>
      </c>
      <c r="U77" s="555">
        <f t="shared" si="20"/>
        <v>1</v>
      </c>
      <c r="V77" s="26"/>
      <c r="X77" s="553">
        <v>2015</v>
      </c>
      <c r="Y77" s="554">
        <f>'Private,Public8EndUse'!W60</f>
        <v>0.33294582655196464</v>
      </c>
      <c r="Z77" s="554">
        <f>'Private,Public8EndUse'!X60</f>
        <v>6.3008602650546391E-2</v>
      </c>
      <c r="AA77" s="554">
        <f>'Private,Public8EndUse'!Y60</f>
        <v>8.2132062311090451E-2</v>
      </c>
      <c r="AB77" s="554">
        <f>'Private,Public8EndUse'!Z60</f>
        <v>0.15664961636828645</v>
      </c>
      <c r="AC77" s="554">
        <f>'Private,Public8EndUse'!AA60</f>
        <v>0.17007672634271101</v>
      </c>
      <c r="AD77" s="554">
        <f>'Private,Public8EndUse'!V60</f>
        <v>9.7826086956521743E-2</v>
      </c>
      <c r="AE77" s="554">
        <f>'Private,Public8EndUse'!AB60</f>
        <v>9.7419204836084627E-2</v>
      </c>
      <c r="AF77" s="556">
        <f t="shared" si="21"/>
        <v>1.0000581260172052</v>
      </c>
    </row>
    <row r="78" spans="1:34" s="103" customFormat="1">
      <c r="B78" s="553">
        <v>2016</v>
      </c>
      <c r="C78" s="554">
        <f>'Private,Public8EndUse'!W31</f>
        <v>0.20799940909258779</v>
      </c>
      <c r="D78" s="554">
        <f>'Private,Public8EndUse'!X31</f>
        <v>0.20164715441149314</v>
      </c>
      <c r="E78" s="554">
        <f>'Private,Public8EndUse'!Y31</f>
        <v>5.3698711083207153E-2</v>
      </c>
      <c r="F78" s="554">
        <f>'Private,Public8EndUse'!Z31</f>
        <v>9.6982679026480043E-2</v>
      </c>
      <c r="G78" s="554">
        <f>'Private,Public8EndUse'!AA31</f>
        <v>0.11120138863241866</v>
      </c>
      <c r="H78" s="554">
        <f>'Private,Public8EndUse'!V31</f>
        <v>0.26376629611847696</v>
      </c>
      <c r="I78" s="554">
        <f>'Private,Public8EndUse'!AB31</f>
        <v>6.4704361635336258E-2</v>
      </c>
      <c r="J78" s="555">
        <f t="shared" si="19"/>
        <v>1</v>
      </c>
      <c r="M78" s="553">
        <v>2016</v>
      </c>
      <c r="N78" s="557">
        <f>'Private,Public8EndUse'!W81</f>
        <v>0</v>
      </c>
      <c r="O78" s="557">
        <f>'Private,Public8EndUse'!X81</f>
        <v>0.44168377823408622</v>
      </c>
      <c r="P78" s="557">
        <f>'Private,Public8EndUse'!Y81</f>
        <v>0</v>
      </c>
      <c r="Q78" s="557">
        <f>'Private,Public8EndUse'!Z81</f>
        <v>0</v>
      </c>
      <c r="R78" s="557">
        <f>'Private,Public8EndUse'!AA81</f>
        <v>0</v>
      </c>
      <c r="S78" s="557">
        <f>'Private,Public8EndUse'!V81</f>
        <v>0.55533880903490762</v>
      </c>
      <c r="T78" s="557">
        <f>'Private,Public8EndUse'!AB81</f>
        <v>3.0800821355236141E-3</v>
      </c>
      <c r="U78" s="555">
        <f t="shared" si="20"/>
        <v>1.0001026694045174</v>
      </c>
      <c r="V78" s="26"/>
      <c r="X78" s="553">
        <v>2016</v>
      </c>
      <c r="Y78" s="554">
        <f>'Private,Public8EndUse'!W61</f>
        <v>0.32485435773201821</v>
      </c>
      <c r="Z78" s="554">
        <f>'Private,Public8EndUse'!X61</f>
        <v>6.6793562900155742E-2</v>
      </c>
      <c r="AA78" s="554">
        <f>'Private,Public8EndUse'!Y61</f>
        <v>8.3866874315048745E-2</v>
      </c>
      <c r="AB78" s="554">
        <f>'Private,Public8EndUse'!Z61</f>
        <v>0.15146795870104401</v>
      </c>
      <c r="AC78" s="554">
        <f>'Private,Public8EndUse'!AA61</f>
        <v>0.1736747995616312</v>
      </c>
      <c r="AD78" s="554">
        <f>'Private,Public8EndUse'!V61</f>
        <v>9.9959623925708022E-2</v>
      </c>
      <c r="AE78" s="554">
        <f>'Private,Public8EndUse'!AB61</f>
        <v>9.932514275826268E-2</v>
      </c>
      <c r="AF78" s="556">
        <f t="shared" si="21"/>
        <v>0.99994231989386861</v>
      </c>
    </row>
    <row r="79" spans="1:34" s="103" customFormat="1">
      <c r="B79" s="23">
        <v>2017</v>
      </c>
      <c r="C79" s="127">
        <f>1-SUM(D79:I79)</f>
        <v>0.21238805876683897</v>
      </c>
      <c r="D79" s="127">
        <f>TREND(D$73:D$78,B$73:B$78,B79)</f>
        <v>0.1965423960211492</v>
      </c>
      <c r="E79" s="26">
        <f>E$78</f>
        <v>5.3698711083207153E-2</v>
      </c>
      <c r="F79" s="127">
        <f>F$78</f>
        <v>9.6982679026480043E-2</v>
      </c>
      <c r="G79" s="127">
        <f>G$78</f>
        <v>0.11120138863241866</v>
      </c>
      <c r="H79" s="127">
        <f>TREND(H$73:H$78,B$73:B$78,B79)</f>
        <v>0.25725012160987504</v>
      </c>
      <c r="I79" s="127">
        <f t="shared" ref="I79:I112" si="22">TREND($I$63:$I$64,$B$63:$B$64,$B79)</f>
        <v>7.1936644860030929E-2</v>
      </c>
      <c r="J79" s="27">
        <f t="shared" ref="J79:J112" si="23">SUM(C79:I79)</f>
        <v>1</v>
      </c>
      <c r="M79" s="23">
        <v>2017</v>
      </c>
      <c r="N79" s="54">
        <f t="shared" ref="N79:T94" si="24">TREND(N$74:N$78,$M$74:$M$78,$M79)</f>
        <v>0</v>
      </c>
      <c r="O79" s="54">
        <f>TREND(O$74:O$78,$M$74:$M$78,$M79)</f>
        <v>0.44257092680760168</v>
      </c>
      <c r="P79" s="54">
        <f t="shared" si="24"/>
        <v>0</v>
      </c>
      <c r="Q79" s="54">
        <f t="shared" si="24"/>
        <v>0</v>
      </c>
      <c r="R79" s="54">
        <f t="shared" si="24"/>
        <v>0</v>
      </c>
      <c r="S79" s="54">
        <f>1-SUM(N79:R79)-T79</f>
        <v>0.55440764515366736</v>
      </c>
      <c r="T79" s="54">
        <f t="shared" si="24"/>
        <v>3.0214280387309174E-3</v>
      </c>
      <c r="U79" s="27">
        <f>SUM(N79:T79)</f>
        <v>1</v>
      </c>
      <c r="V79" s="26"/>
      <c r="X79" s="23">
        <v>2017</v>
      </c>
      <c r="Y79" s="127">
        <f>(C79-(N79*(1-'Future Type Share'!V18)))/'Future Type Share'!$V18</f>
        <v>0.3008329444289502</v>
      </c>
      <c r="Z79" s="127">
        <f>(D79-(O79*(1-'Future Type Share'!$V18)))/'Future Type Share'!$V18</f>
        <v>9.408858858316492E-2</v>
      </c>
      <c r="AA79" s="127">
        <f>(E79-(P79*(1-'Future Type Share'!$V18)))/'Future Type Share'!$V18</f>
        <v>7.606049728499592E-2</v>
      </c>
      <c r="AB79" s="127">
        <f>(F79-(Q79*(1-'Future Type Share'!$V18)))/'Future Type Share'!$V18</f>
        <v>0.13736923374855523</v>
      </c>
      <c r="AC79" s="127">
        <f>(G79-(R79*(1-'Future Type Share'!$V18)))/'Future Type Share'!$V18</f>
        <v>0.15750904905441726</v>
      </c>
      <c r="AD79" s="127">
        <f>(H79-(S79*(1-'Future Type Share'!$V18)))/'Future Type Share'!$V18</f>
        <v>0.13350463730127057</v>
      </c>
      <c r="AE79" s="127">
        <f>(I79-(T79*(1-'Future Type Share'!$V18)))/'Future Type Share'!$V18</f>
        <v>0.1006350495986459</v>
      </c>
      <c r="AF79" s="27">
        <f t="shared" si="21"/>
        <v>1.0000000000000002</v>
      </c>
    </row>
    <row r="80" spans="1:34" s="103" customFormat="1">
      <c r="B80" s="23">
        <v>2018</v>
      </c>
      <c r="C80" s="127">
        <f t="shared" ref="C80:C112" si="25">1-SUM(D80:I80)</f>
        <v>0.21778888860924683</v>
      </c>
      <c r="D80" s="127">
        <f t="shared" ref="D80:D112" si="26">TREND(D$73:D$78,B$73:B$78,B80)</f>
        <v>0.19409690234133326</v>
      </c>
      <c r="E80" s="26">
        <f t="shared" ref="E80:G112" si="27">E$78</f>
        <v>5.3698711083207153E-2</v>
      </c>
      <c r="F80" s="127">
        <f t="shared" si="27"/>
        <v>9.6982679026480043E-2</v>
      </c>
      <c r="G80" s="127">
        <f t="shared" si="27"/>
        <v>0.11120138863241866</v>
      </c>
      <c r="H80" s="127">
        <f t="shared" ref="H80:H112" si="28">TREND(H$73:H$78,B$73:B$78,B80)</f>
        <v>0.2539140777157689</v>
      </c>
      <c r="I80" s="127">
        <f t="shared" si="22"/>
        <v>7.2317352591545148E-2</v>
      </c>
      <c r="J80" s="27">
        <f t="shared" si="23"/>
        <v>1</v>
      </c>
      <c r="M80" s="23">
        <v>2018</v>
      </c>
      <c r="N80" s="54">
        <f t="shared" si="24"/>
        <v>0</v>
      </c>
      <c r="O80" s="54">
        <f t="shared" si="24"/>
        <v>0.44306189352523551</v>
      </c>
      <c r="P80" s="54">
        <f t="shared" si="24"/>
        <v>0</v>
      </c>
      <c r="Q80" s="54">
        <f t="shared" si="24"/>
        <v>0</v>
      </c>
      <c r="R80" s="54">
        <f t="shared" si="24"/>
        <v>0</v>
      </c>
      <c r="S80" s="54">
        <f t="shared" ref="S80:S112" si="29">1-SUM(N80:R80)-T80</f>
        <v>0.55391952907397801</v>
      </c>
      <c r="T80" s="54">
        <f t="shared" si="24"/>
        <v>3.0185774007864307E-3</v>
      </c>
      <c r="U80" s="27">
        <f t="shared" ref="U80:U112" si="30">SUM(N80:T80)</f>
        <v>1</v>
      </c>
      <c r="V80" s="26"/>
      <c r="X80" s="23">
        <v>2018</v>
      </c>
      <c r="Y80" s="127">
        <f>(C80-(N80*(1-'Future Type Share'!V19)))/'Future Type Share'!$V19</f>
        <v>0.30666638181025518</v>
      </c>
      <c r="Z80" s="127">
        <f>(D80-(O80*(1-'Future Type Share'!$V19)))/'Future Type Share'!$V19</f>
        <v>9.2496749769101008E-2</v>
      </c>
      <c r="AA80" s="127">
        <f>(E80-(P80*(1-'Future Type Share'!$V19)))/'Future Type Share'!$V19</f>
        <v>7.5612624413118057E-2</v>
      </c>
      <c r="AB80" s="127">
        <f>(F80-(Q80*(1-'Future Type Share'!$V19)))/'Future Type Share'!$V19</f>
        <v>0.13656035193180743</v>
      </c>
      <c r="AC80" s="127">
        <f>(G80-(R80*(1-'Future Type Share'!$V19)))/'Future Type Share'!$V19</f>
        <v>0.15658157641533593</v>
      </c>
      <c r="AD80" s="127">
        <f>(H80-(S80*(1-'Future Type Share'!$V19)))/'Future Type Share'!$V19</f>
        <v>0.13148481774009452</v>
      </c>
      <c r="AE80" s="127">
        <f>(I80-(T80*(1-'Future Type Share'!$V19)))/'Future Type Share'!$V19</f>
        <v>0.10059749792028788</v>
      </c>
      <c r="AF80" s="27">
        <f t="shared" si="21"/>
        <v>1</v>
      </c>
    </row>
    <row r="81" spans="2:32" s="103" customFormat="1">
      <c r="B81" s="23">
        <v>2019</v>
      </c>
      <c r="C81" s="127">
        <f t="shared" si="25"/>
        <v>0.22318971845165558</v>
      </c>
      <c r="D81" s="127">
        <f t="shared" si="26"/>
        <v>0.19165140866151731</v>
      </c>
      <c r="E81" s="26">
        <f t="shared" si="27"/>
        <v>5.3698711083207153E-2</v>
      </c>
      <c r="F81" s="127">
        <f t="shared" si="27"/>
        <v>9.6982679026480043E-2</v>
      </c>
      <c r="G81" s="127">
        <f t="shared" si="27"/>
        <v>0.11120138863241866</v>
      </c>
      <c r="H81" s="127">
        <f t="shared" si="28"/>
        <v>0.25057803382166188</v>
      </c>
      <c r="I81" s="127">
        <f t="shared" si="22"/>
        <v>7.2698060323059366E-2</v>
      </c>
      <c r="J81" s="27">
        <f t="shared" si="23"/>
        <v>1</v>
      </c>
      <c r="M81" s="23">
        <v>2019</v>
      </c>
      <c r="N81" s="54">
        <f t="shared" si="24"/>
        <v>0</v>
      </c>
      <c r="O81" s="54">
        <f t="shared" si="24"/>
        <v>0.44355286024286933</v>
      </c>
      <c r="P81" s="54">
        <f t="shared" si="24"/>
        <v>0</v>
      </c>
      <c r="Q81" s="54">
        <f t="shared" si="24"/>
        <v>0</v>
      </c>
      <c r="R81" s="54">
        <f t="shared" si="24"/>
        <v>0</v>
      </c>
      <c r="S81" s="54">
        <f t="shared" si="29"/>
        <v>0.55343141299428877</v>
      </c>
      <c r="T81" s="54">
        <f t="shared" si="24"/>
        <v>3.015726762841944E-3</v>
      </c>
      <c r="U81" s="27">
        <f t="shared" si="30"/>
        <v>1</v>
      </c>
      <c r="V81" s="26"/>
      <c r="X81" s="23">
        <v>2019</v>
      </c>
      <c r="Y81" s="127">
        <f>(C81-(N81*(1-'Future Type Share'!V20)))/'Future Type Share'!$V20</f>
        <v>0.31243152239351096</v>
      </c>
      <c r="Z81" s="127">
        <f>(D81-(O81*(1-'Future Type Share'!$V20)))/'Future Type Share'!$V20</f>
        <v>9.092929605416103E-2</v>
      </c>
      <c r="AA81" s="127">
        <f>(E81-(P81*(1-'Future Type Share'!$V20)))/'Future Type Share'!$V20</f>
        <v>7.516999515338231E-2</v>
      </c>
      <c r="AB81" s="127">
        <f>(F81-(Q81*(1-'Future Type Share'!$V20)))/'Future Type Share'!$V20</f>
        <v>0.13576094035266983</v>
      </c>
      <c r="AC81" s="127">
        <f>(G81-(R81*(1-'Future Type Share'!$V20)))/'Future Type Share'!$V20</f>
        <v>0.15566496245311837</v>
      </c>
      <c r="AD81" s="127">
        <f>(H81-(S81*(1-'Future Type Share'!$V20)))/'Future Type Share'!$V20</f>
        <v>0.12948293107791145</v>
      </c>
      <c r="AE81" s="127">
        <f>(I81-(T81*(1-'Future Type Share'!$V20)))/'Future Type Share'!$V20</f>
        <v>0.10056035251524598</v>
      </c>
      <c r="AF81" s="27">
        <f t="shared" si="21"/>
        <v>0.99999999999999989</v>
      </c>
    </row>
    <row r="82" spans="2:32" s="103" customFormat="1">
      <c r="B82" s="23">
        <v>2020</v>
      </c>
      <c r="C82" s="127">
        <f t="shared" si="25"/>
        <v>0.22859054829406344</v>
      </c>
      <c r="D82" s="127">
        <f t="shared" si="26"/>
        <v>0.18920591498170136</v>
      </c>
      <c r="E82" s="26">
        <f t="shared" si="27"/>
        <v>5.3698711083207153E-2</v>
      </c>
      <c r="F82" s="127">
        <f t="shared" si="27"/>
        <v>9.6982679026480043E-2</v>
      </c>
      <c r="G82" s="127">
        <f t="shared" si="27"/>
        <v>0.11120138863241866</v>
      </c>
      <c r="H82" s="127">
        <f t="shared" si="28"/>
        <v>0.24724198992755575</v>
      </c>
      <c r="I82" s="127">
        <f t="shared" si="22"/>
        <v>7.3078768054573584E-2</v>
      </c>
      <c r="J82" s="27">
        <f t="shared" si="23"/>
        <v>1</v>
      </c>
      <c r="M82" s="23">
        <v>2020</v>
      </c>
      <c r="N82" s="54">
        <f t="shared" si="24"/>
        <v>0</v>
      </c>
      <c r="O82" s="54">
        <f t="shared" si="24"/>
        <v>0.44404382696050304</v>
      </c>
      <c r="P82" s="54">
        <f t="shared" si="24"/>
        <v>0</v>
      </c>
      <c r="Q82" s="54">
        <f t="shared" si="24"/>
        <v>0</v>
      </c>
      <c r="R82" s="54">
        <f t="shared" si="24"/>
        <v>0</v>
      </c>
      <c r="S82" s="54">
        <f t="shared" si="29"/>
        <v>0.55294329691459954</v>
      </c>
      <c r="T82" s="54">
        <f t="shared" si="24"/>
        <v>3.0128761248974572E-3</v>
      </c>
      <c r="U82" s="27">
        <f t="shared" si="30"/>
        <v>1</v>
      </c>
      <c r="V82" s="26"/>
      <c r="X82" s="23">
        <v>2020</v>
      </c>
      <c r="Y82" s="127">
        <f>(C82-(N82*(1-'Future Type Share'!V21)))/'Future Type Share'!$V21</f>
        <v>0.31812955860762848</v>
      </c>
      <c r="Z82" s="127">
        <f>(D82-(O82*(1-'Future Type Share'!$V21)))/'Future Type Share'!$V21</f>
        <v>8.9385801686361399E-2</v>
      </c>
      <c r="AA82" s="127">
        <f>(E82-(P82*(1-'Future Type Share'!$V21)))/'Future Type Share'!$V21</f>
        <v>7.4732517954868183E-2</v>
      </c>
      <c r="AB82" s="127">
        <f>(F82-(Q82*(1-'Future Type Share'!$V21)))/'Future Type Share'!$V21</f>
        <v>0.13497083366539467</v>
      </c>
      <c r="AC82" s="127">
        <f>(G82-(R82*(1-'Future Type Share'!$V21)))/'Future Type Share'!$V21</f>
        <v>0.154759017580542</v>
      </c>
      <c r="AD82" s="127">
        <f>(H82-(S82*(1-'Future Type Share'!$V21)))/'Future Type Share'!$V21</f>
        <v>0.12749866421501982</v>
      </c>
      <c r="AE82" s="127">
        <f>(I82-(T82*(1-'Future Type Share'!$V21)))/'Future Type Share'!$V21</f>
        <v>0.10052360629018549</v>
      </c>
      <c r="AF82" s="27">
        <f t="shared" si="21"/>
        <v>1</v>
      </c>
    </row>
    <row r="83" spans="2:32" s="103" customFormat="1">
      <c r="B83" s="23">
        <v>2021</v>
      </c>
      <c r="C83" s="127">
        <f t="shared" si="25"/>
        <v>0.23399137813647308</v>
      </c>
      <c r="D83" s="127">
        <f t="shared" si="26"/>
        <v>0.18676042130188453</v>
      </c>
      <c r="E83" s="26">
        <f t="shared" si="27"/>
        <v>5.3698711083207153E-2</v>
      </c>
      <c r="F83" s="127">
        <f t="shared" si="27"/>
        <v>9.6982679026480043E-2</v>
      </c>
      <c r="G83" s="127">
        <f t="shared" si="27"/>
        <v>0.11120138863241866</v>
      </c>
      <c r="H83" s="127">
        <f t="shared" si="28"/>
        <v>0.24390594603344873</v>
      </c>
      <c r="I83" s="127">
        <f t="shared" si="22"/>
        <v>7.3459475786087802E-2</v>
      </c>
      <c r="J83" s="27">
        <f t="shared" si="23"/>
        <v>1</v>
      </c>
      <c r="M83" s="23">
        <v>2021</v>
      </c>
      <c r="N83" s="54">
        <f t="shared" si="24"/>
        <v>0</v>
      </c>
      <c r="O83" s="54">
        <f t="shared" si="24"/>
        <v>0.44453479367813686</v>
      </c>
      <c r="P83" s="54">
        <f t="shared" si="24"/>
        <v>0</v>
      </c>
      <c r="Q83" s="54">
        <f t="shared" si="24"/>
        <v>0</v>
      </c>
      <c r="R83" s="54">
        <f t="shared" si="24"/>
        <v>0</v>
      </c>
      <c r="S83" s="54">
        <f t="shared" si="29"/>
        <v>0.55245518083491019</v>
      </c>
      <c r="T83" s="54">
        <f t="shared" si="24"/>
        <v>3.0100254869529705E-3</v>
      </c>
      <c r="U83" s="27">
        <f t="shared" si="30"/>
        <v>1</v>
      </c>
      <c r="V83" s="26"/>
      <c r="X83" s="23">
        <v>2021</v>
      </c>
      <c r="Y83" s="127">
        <f>(C83-(N83*(1-'Future Type Share'!V22)))/'Future Type Share'!$V22</f>
        <v>0.32376165528316991</v>
      </c>
      <c r="Z83" s="127">
        <f>(D83-(O83*(1-'Future Type Share'!$V22)))/'Future Type Share'!$V22</f>
        <v>8.7865850767599438E-2</v>
      </c>
      <c r="AA83" s="127">
        <f>(E83-(P83*(1-'Future Type Share'!$V22)))/'Future Type Share'!$V22</f>
        <v>7.4300103385569555E-2</v>
      </c>
      <c r="AB83" s="127">
        <f>(F83-(Q83*(1-'Future Type Share'!$V22)))/'Future Type Share'!$V22</f>
        <v>0.1341898703511043</v>
      </c>
      <c r="AC83" s="127">
        <f>(G83-(R83*(1-'Future Type Share'!$V22)))/'Future Type Share'!$V22</f>
        <v>0.15386355659831494</v>
      </c>
      <c r="AD83" s="127">
        <f>(H83-(S83*(1-'Future Type Share'!$V22)))/'Future Type Share'!$V22</f>
        <v>0.12553171129829732</v>
      </c>
      <c r="AE83" s="127">
        <f>(I83-(T83*(1-'Future Type Share'!$V22)))/'Future Type Share'!$V22</f>
        <v>0.10048725231594444</v>
      </c>
      <c r="AF83" s="27">
        <f t="shared" si="21"/>
        <v>1</v>
      </c>
    </row>
    <row r="84" spans="2:32" s="103" customFormat="1">
      <c r="B84" s="23">
        <v>2022</v>
      </c>
      <c r="C84" s="127">
        <f t="shared" si="25"/>
        <v>0.23939220797888094</v>
      </c>
      <c r="D84" s="127">
        <f t="shared" si="26"/>
        <v>0.18431492762206858</v>
      </c>
      <c r="E84" s="26">
        <f t="shared" si="27"/>
        <v>5.3698711083207153E-2</v>
      </c>
      <c r="F84" s="127">
        <f t="shared" si="27"/>
        <v>9.6982679026480043E-2</v>
      </c>
      <c r="G84" s="127">
        <f t="shared" si="27"/>
        <v>0.11120138863241866</v>
      </c>
      <c r="H84" s="127">
        <f t="shared" si="28"/>
        <v>0.2405699021393426</v>
      </c>
      <c r="I84" s="127">
        <f t="shared" si="22"/>
        <v>7.384018351760202E-2</v>
      </c>
      <c r="J84" s="27">
        <f t="shared" si="23"/>
        <v>1</v>
      </c>
      <c r="M84" s="23">
        <v>2022</v>
      </c>
      <c r="N84" s="54">
        <f t="shared" si="24"/>
        <v>0</v>
      </c>
      <c r="O84" s="54">
        <f t="shared" si="24"/>
        <v>0.44502576039577069</v>
      </c>
      <c r="P84" s="54">
        <f t="shared" si="24"/>
        <v>0</v>
      </c>
      <c r="Q84" s="54">
        <f t="shared" si="24"/>
        <v>0</v>
      </c>
      <c r="R84" s="54">
        <f t="shared" si="24"/>
        <v>0</v>
      </c>
      <c r="S84" s="54">
        <f t="shared" si="29"/>
        <v>0.55196706475522084</v>
      </c>
      <c r="T84" s="54">
        <f t="shared" si="24"/>
        <v>3.0071748490084838E-3</v>
      </c>
      <c r="U84" s="27">
        <f t="shared" si="30"/>
        <v>1</v>
      </c>
      <c r="V84" s="26"/>
      <c r="X84" s="23">
        <v>2022</v>
      </c>
      <c r="Y84" s="127">
        <f>(C84-(N84*(1-'Future Type Share'!V23)))/'Future Type Share'!$V23</f>
        <v>0.32932895044618399</v>
      </c>
      <c r="Z84" s="127">
        <f>(D84-(O84*(1-'Future Type Share'!$V23)))/'Future Type Share'!$V23</f>
        <v>8.6369036970217972E-2</v>
      </c>
      <c r="AA84" s="127">
        <f>(E84-(P84*(1-'Future Type Share'!$V23)))/'Future Type Share'!$V23</f>
        <v>7.3872664071445465E-2</v>
      </c>
      <c r="AB84" s="127">
        <f>(F84-(Q84*(1-'Future Type Share'!$V23)))/'Future Type Share'!$V23</f>
        <v>0.13341789260771375</v>
      </c>
      <c r="AC84" s="127">
        <f>(G84-(R84*(1-'Future Type Share'!$V23)))/'Future Type Share'!$V23</f>
        <v>0.15297839856885989</v>
      </c>
      <c r="AD84" s="127">
        <f>(H84-(S84*(1-'Future Type Share'!$V23)))/'Future Type Share'!$V23</f>
        <v>0.12358177351276757</v>
      </c>
      <c r="AE84" s="127">
        <f>(I84-(T84*(1-'Future Type Share'!$V23)))/'Future Type Share'!$V23</f>
        <v>0.10045128382281136</v>
      </c>
      <c r="AF84" s="27">
        <f t="shared" si="21"/>
        <v>0.99999999999999989</v>
      </c>
    </row>
    <row r="85" spans="2:32" s="103" customFormat="1">
      <c r="B85" s="23">
        <v>2023</v>
      </c>
      <c r="C85" s="127">
        <f t="shared" si="25"/>
        <v>0.24479303782128969</v>
      </c>
      <c r="D85" s="127">
        <f t="shared" si="26"/>
        <v>0.18186943394225263</v>
      </c>
      <c r="E85" s="26">
        <f t="shared" si="27"/>
        <v>5.3698711083207153E-2</v>
      </c>
      <c r="F85" s="127">
        <f t="shared" si="27"/>
        <v>9.6982679026480043E-2</v>
      </c>
      <c r="G85" s="127">
        <f t="shared" si="27"/>
        <v>0.11120138863241866</v>
      </c>
      <c r="H85" s="127">
        <f t="shared" si="28"/>
        <v>0.23723385824523557</v>
      </c>
      <c r="I85" s="127">
        <f t="shared" si="22"/>
        <v>7.4220891249116239E-2</v>
      </c>
      <c r="J85" s="27">
        <f t="shared" si="23"/>
        <v>1</v>
      </c>
      <c r="M85" s="23">
        <v>2023</v>
      </c>
      <c r="N85" s="54">
        <f t="shared" si="24"/>
        <v>0</v>
      </c>
      <c r="O85" s="54">
        <f t="shared" si="24"/>
        <v>0.44551672711340451</v>
      </c>
      <c r="P85" s="54">
        <f t="shared" si="24"/>
        <v>0</v>
      </c>
      <c r="Q85" s="54">
        <f t="shared" si="24"/>
        <v>0</v>
      </c>
      <c r="R85" s="54">
        <f t="shared" si="24"/>
        <v>0</v>
      </c>
      <c r="S85" s="54">
        <f t="shared" si="29"/>
        <v>0.55147894867553149</v>
      </c>
      <c r="T85" s="54">
        <f t="shared" si="24"/>
        <v>3.0043242110639971E-3</v>
      </c>
      <c r="U85" s="27">
        <f t="shared" si="30"/>
        <v>1</v>
      </c>
      <c r="V85" s="26"/>
      <c r="X85" s="23">
        <v>2023</v>
      </c>
      <c r="Y85" s="127">
        <f>(C85-(N85*(1-'Future Type Share'!V24)))/'Future Type Share'!$V24</f>
        <v>0.33483255608482748</v>
      </c>
      <c r="Z85" s="127">
        <f>(D85-(O85*(1-'Future Type Share'!$V24)))/'Future Type Share'!$V24</f>
        <v>8.4894963263284315E-2</v>
      </c>
      <c r="AA85" s="127">
        <f>(E85-(P85*(1-'Future Type Share'!$V24)))/'Future Type Share'!$V24</f>
        <v>7.3450114637562527E-2</v>
      </c>
      <c r="AB85" s="127">
        <f>(F85-(Q85*(1-'Future Type Share'!$V24)))/'Future Type Share'!$V24</f>
        <v>0.1326547462436308</v>
      </c>
      <c r="AC85" s="127">
        <f>(G85-(R85*(1-'Future Type Share'!$V24)))/'Future Type Share'!$V24</f>
        <v>0.15210336669442967</v>
      </c>
      <c r="AD85" s="127">
        <f>(H85-(S85*(1-'Future Type Share'!$V24)))/'Future Type Share'!$V24</f>
        <v>0.12164855888030018</v>
      </c>
      <c r="AE85" s="127">
        <f>(I85-(T85*(1-'Future Type Share'!$V24)))/'Future Type Share'!$V24</f>
        <v>0.10041569419596495</v>
      </c>
      <c r="AF85" s="27">
        <f t="shared" si="21"/>
        <v>0.99999999999999989</v>
      </c>
    </row>
    <row r="86" spans="2:32" s="103" customFormat="1">
      <c r="B86" s="23">
        <v>2024</v>
      </c>
      <c r="C86" s="127">
        <f t="shared" si="25"/>
        <v>0.25019386766369756</v>
      </c>
      <c r="D86" s="127">
        <f t="shared" si="26"/>
        <v>0.17942394026243669</v>
      </c>
      <c r="E86" s="26">
        <f t="shared" si="27"/>
        <v>5.3698711083207153E-2</v>
      </c>
      <c r="F86" s="127">
        <f t="shared" si="27"/>
        <v>9.6982679026480043E-2</v>
      </c>
      <c r="G86" s="127">
        <f t="shared" si="27"/>
        <v>0.11120138863241866</v>
      </c>
      <c r="H86" s="127">
        <f t="shared" si="28"/>
        <v>0.23389781435112944</v>
      </c>
      <c r="I86" s="127">
        <f t="shared" si="22"/>
        <v>7.4601598980630457E-2</v>
      </c>
      <c r="J86" s="27">
        <f t="shared" si="23"/>
        <v>1</v>
      </c>
      <c r="M86" s="23">
        <v>2024</v>
      </c>
      <c r="N86" s="54">
        <f t="shared" si="24"/>
        <v>0</v>
      </c>
      <c r="O86" s="54">
        <f t="shared" si="24"/>
        <v>0.44600769383103833</v>
      </c>
      <c r="P86" s="54">
        <f t="shared" si="24"/>
        <v>0</v>
      </c>
      <c r="Q86" s="54">
        <f t="shared" si="24"/>
        <v>0</v>
      </c>
      <c r="R86" s="54">
        <f t="shared" si="24"/>
        <v>0</v>
      </c>
      <c r="S86" s="54">
        <f t="shared" si="29"/>
        <v>0.55099083259584214</v>
      </c>
      <c r="T86" s="54">
        <f t="shared" si="24"/>
        <v>3.0014735731195103E-3</v>
      </c>
      <c r="U86" s="27">
        <f t="shared" si="30"/>
        <v>1</v>
      </c>
      <c r="V86" s="26"/>
      <c r="X86" s="23">
        <v>2024</v>
      </c>
      <c r="Y86" s="127">
        <f>(C86-(N86*(1-'Future Type Share'!V25)))/'Future Type Share'!$V25</f>
        <v>0.34027355888979588</v>
      </c>
      <c r="Z86" s="127">
        <f>(D86-(O86*(1-'Future Type Share'!$V25)))/'Future Type Share'!$V25</f>
        <v>8.3443241648222616E-2</v>
      </c>
      <c r="AA86" s="127">
        <f>(E86-(P86*(1-'Future Type Share'!$V25)))/'Future Type Share'!$V25</f>
        <v>7.3032371651246014E-2</v>
      </c>
      <c r="AB86" s="127">
        <f>(F86-(Q86*(1-'Future Type Share'!$V25)))/'Future Type Share'!$V25</f>
        <v>0.13190028057508393</v>
      </c>
      <c r="AC86" s="127">
        <f>(G86-(R86*(1-'Future Type Share'!$V25)))/'Future Type Share'!$V25</f>
        <v>0.1512382881993822</v>
      </c>
      <c r="AD86" s="127">
        <f>(H86-(S86*(1-'Future Type Share'!$V25)))/'Future Type Share'!$V25</f>
        <v>0.11973178206519991</v>
      </c>
      <c r="AE86" s="127">
        <f>(I86-(T86*(1-'Future Type Share'!$V25)))/'Future Type Share'!$V25</f>
        <v>0.10038047697106946</v>
      </c>
      <c r="AF86" s="27">
        <f t="shared" si="21"/>
        <v>1</v>
      </c>
    </row>
    <row r="87" spans="2:32" s="103" customFormat="1">
      <c r="B87" s="23">
        <v>2025</v>
      </c>
      <c r="C87" s="127">
        <f t="shared" si="25"/>
        <v>0.25559469750610631</v>
      </c>
      <c r="D87" s="127">
        <f t="shared" si="26"/>
        <v>0.17697844658262074</v>
      </c>
      <c r="E87" s="26">
        <f t="shared" si="27"/>
        <v>5.3698711083207153E-2</v>
      </c>
      <c r="F87" s="127">
        <f t="shared" si="27"/>
        <v>9.6982679026480043E-2</v>
      </c>
      <c r="G87" s="127">
        <f t="shared" si="27"/>
        <v>0.11120138863241866</v>
      </c>
      <c r="H87" s="127">
        <f t="shared" si="28"/>
        <v>0.23056177045702242</v>
      </c>
      <c r="I87" s="127">
        <f t="shared" si="22"/>
        <v>7.4982306712144675E-2</v>
      </c>
      <c r="J87" s="27">
        <f t="shared" si="23"/>
        <v>1</v>
      </c>
      <c r="M87" s="23">
        <v>2025</v>
      </c>
      <c r="N87" s="54">
        <f t="shared" si="24"/>
        <v>0</v>
      </c>
      <c r="O87" s="54">
        <f t="shared" si="24"/>
        <v>0.44649866054867215</v>
      </c>
      <c r="P87" s="54">
        <f t="shared" si="24"/>
        <v>0</v>
      </c>
      <c r="Q87" s="54">
        <f t="shared" si="24"/>
        <v>0</v>
      </c>
      <c r="R87" s="54">
        <f t="shared" si="24"/>
        <v>0</v>
      </c>
      <c r="S87" s="54">
        <f t="shared" si="29"/>
        <v>0.55050271651615279</v>
      </c>
      <c r="T87" s="54">
        <f t="shared" si="24"/>
        <v>2.9986229351750245E-3</v>
      </c>
      <c r="U87" s="27">
        <f t="shared" si="30"/>
        <v>1</v>
      </c>
      <c r="V87" s="26"/>
      <c r="X87" s="23">
        <v>2025</v>
      </c>
      <c r="Y87" s="127">
        <f>(C87-(N87*(1-'Future Type Share'!V26)))/'Future Type Share'!$V26</f>
        <v>0.34565302096965472</v>
      </c>
      <c r="Z87" s="127">
        <f>(D87-(O87*(1-'Future Type Share'!$V26)))/'Future Type Share'!$V26</f>
        <v>8.2013492903409341E-2</v>
      </c>
      <c r="AA87" s="127">
        <f>(E87-(P87*(1-'Future Type Share'!$V26)))/'Future Type Share'!$V26</f>
        <v>7.2619353567159955E-2</v>
      </c>
      <c r="AB87" s="127">
        <f>(F87-(Q87*(1-'Future Type Share'!$V26)))/'Future Type Share'!$V26</f>
        <v>0.13115434832693401</v>
      </c>
      <c r="AC87" s="127">
        <f>(G87-(R87*(1-'Future Type Share'!$V26)))/'Future Type Share'!$V26</f>
        <v>0.15038299421645021</v>
      </c>
      <c r="AD87" s="127">
        <f>(H87-(S87*(1-'Future Type Share'!$V26)))/'Future Type Share'!$V26</f>
        <v>0.11783116418637204</v>
      </c>
      <c r="AE87" s="127">
        <f>(I87-(T87*(1-'Future Type Share'!$V26)))/'Future Type Share'!$V26</f>
        <v>0.10034562583001971</v>
      </c>
      <c r="AF87" s="27">
        <f t="shared" si="21"/>
        <v>1</v>
      </c>
    </row>
    <row r="88" spans="2:32" s="103" customFormat="1">
      <c r="B88" s="23">
        <v>2026</v>
      </c>
      <c r="C88" s="127">
        <f t="shared" si="25"/>
        <v>0.26099552734851417</v>
      </c>
      <c r="D88" s="127">
        <f t="shared" si="26"/>
        <v>0.17453295290280479</v>
      </c>
      <c r="E88" s="26">
        <f t="shared" si="27"/>
        <v>5.3698711083207153E-2</v>
      </c>
      <c r="F88" s="127">
        <f t="shared" si="27"/>
        <v>9.6982679026480043E-2</v>
      </c>
      <c r="G88" s="127">
        <f t="shared" si="27"/>
        <v>0.11120138863241866</v>
      </c>
      <c r="H88" s="127">
        <f t="shared" si="28"/>
        <v>0.22722572656291629</v>
      </c>
      <c r="I88" s="127">
        <f t="shared" si="22"/>
        <v>7.5363014443658893E-2</v>
      </c>
      <c r="J88" s="27">
        <f t="shared" si="23"/>
        <v>1</v>
      </c>
      <c r="M88" s="23">
        <v>2026</v>
      </c>
      <c r="N88" s="54">
        <f t="shared" si="24"/>
        <v>0</v>
      </c>
      <c r="O88" s="54">
        <f t="shared" si="24"/>
        <v>0.44698962726630598</v>
      </c>
      <c r="P88" s="54">
        <f t="shared" si="24"/>
        <v>0</v>
      </c>
      <c r="Q88" s="54">
        <f t="shared" si="24"/>
        <v>0</v>
      </c>
      <c r="R88" s="54">
        <f t="shared" si="24"/>
        <v>0</v>
      </c>
      <c r="S88" s="54">
        <f t="shared" si="29"/>
        <v>0.55001460043646344</v>
      </c>
      <c r="T88" s="54">
        <f t="shared" si="24"/>
        <v>2.9957722972305378E-3</v>
      </c>
      <c r="U88" s="27">
        <f t="shared" si="30"/>
        <v>1</v>
      </c>
      <c r="V88" s="26"/>
      <c r="X88" s="23">
        <v>2026</v>
      </c>
      <c r="Y88" s="127">
        <f>(C88-(N88*(1-'Future Type Share'!V27)))/'Future Type Share'!$V27</f>
        <v>0.3509719805420119</v>
      </c>
      <c r="Z88" s="127">
        <f>(D88-(O88*(1-'Future Type Share'!$V27)))/'Future Type Share'!$V27</f>
        <v>8.0605346337392192E-2</v>
      </c>
      <c r="AA88" s="127">
        <f>(E88-(P88*(1-'Future Type Share'!$V27)))/'Future Type Share'!$V27</f>
        <v>7.2210980674239492E-2</v>
      </c>
      <c r="AB88" s="127">
        <f>(F88-(Q88*(1-'Future Type Share'!$V27)))/'Future Type Share'!$V27</f>
        <v>0.13041680553683144</v>
      </c>
      <c r="AC88" s="127">
        <f>(G88-(R88*(1-'Future Type Share'!$V27)))/'Future Type Share'!$V27</f>
        <v>0.14953731967684669</v>
      </c>
      <c r="AD88" s="127">
        <f>(H88-(S88*(1-'Future Type Share'!$V27)))/'Future Type Share'!$V27</f>
        <v>0.11594643263584965</v>
      </c>
      <c r="AE88" s="127">
        <f>(I88-(T88*(1-'Future Type Share'!$V27)))/'Future Type Share'!$V27</f>
        <v>0.10031113459682862</v>
      </c>
      <c r="AF88" s="27">
        <f t="shared" si="21"/>
        <v>1</v>
      </c>
    </row>
    <row r="89" spans="2:32" s="103" customFormat="1">
      <c r="B89" s="23">
        <v>2027</v>
      </c>
      <c r="C89" s="127">
        <f t="shared" si="25"/>
        <v>0.2663963571909238</v>
      </c>
      <c r="D89" s="127">
        <f t="shared" si="26"/>
        <v>0.17208745922298796</v>
      </c>
      <c r="E89" s="26">
        <f t="shared" si="27"/>
        <v>5.3698711083207153E-2</v>
      </c>
      <c r="F89" s="127">
        <f t="shared" si="27"/>
        <v>9.6982679026480043E-2</v>
      </c>
      <c r="G89" s="127">
        <f t="shared" si="27"/>
        <v>0.11120138863241866</v>
      </c>
      <c r="H89" s="127">
        <f t="shared" si="28"/>
        <v>0.22388968266880926</v>
      </c>
      <c r="I89" s="127">
        <f t="shared" si="22"/>
        <v>7.5743722175173112E-2</v>
      </c>
      <c r="J89" s="27">
        <f t="shared" si="23"/>
        <v>1</v>
      </c>
      <c r="M89" s="23">
        <v>2027</v>
      </c>
      <c r="N89" s="54">
        <f t="shared" si="24"/>
        <v>0</v>
      </c>
      <c r="O89" s="54">
        <f t="shared" si="24"/>
        <v>0.4474805939839398</v>
      </c>
      <c r="P89" s="54">
        <f t="shared" si="24"/>
        <v>0</v>
      </c>
      <c r="Q89" s="54">
        <f t="shared" si="24"/>
        <v>0</v>
      </c>
      <c r="R89" s="54">
        <f t="shared" si="24"/>
        <v>0</v>
      </c>
      <c r="S89" s="54">
        <f t="shared" si="29"/>
        <v>0.5495264843567742</v>
      </c>
      <c r="T89" s="54">
        <f t="shared" si="24"/>
        <v>2.992921659286051E-3</v>
      </c>
      <c r="U89" s="27">
        <f t="shared" si="30"/>
        <v>1</v>
      </c>
      <c r="V89" s="26"/>
      <c r="X89" s="23">
        <v>2027</v>
      </c>
      <c r="Y89" s="127">
        <f>(C89-(N89*(1-'Future Type Share'!V28)))/'Future Type Share'!$V28</f>
        <v>0.35623145260152722</v>
      </c>
      <c r="Z89" s="127">
        <f>(D89-(O89*(1-'Future Type Share'!$V28)))/'Future Type Share'!$V28</f>
        <v>7.9218439550378952E-2</v>
      </c>
      <c r="AA89" s="127">
        <f>(E89-(P89*(1-'Future Type Share'!$V28)))/'Future Type Share'!$V28</f>
        <v>7.1807175044405411E-2</v>
      </c>
      <c r="AB89" s="127">
        <f>(F89-(Q89*(1-'Future Type Share'!$V28)))/'Future Type Share'!$V28</f>
        <v>0.12968751146259189</v>
      </c>
      <c r="AC89" s="127">
        <f>(G89-(R89*(1-'Future Type Share'!$V28)))/'Future Type Share'!$V28</f>
        <v>0.14870110320406099</v>
      </c>
      <c r="AD89" s="127">
        <f>(H89-(S89*(1-'Future Type Share'!$V28)))/'Future Type Share'!$V28</f>
        <v>0.1140773209033806</v>
      </c>
      <c r="AE89" s="127">
        <f>(I89-(T89*(1-'Future Type Share'!$V28)))/'Future Type Share'!$V28</f>
        <v>0.10027699723365489</v>
      </c>
      <c r="AF89" s="27">
        <f t="shared" si="21"/>
        <v>1</v>
      </c>
    </row>
    <row r="90" spans="2:32" s="103" customFormat="1">
      <c r="B90" s="23">
        <v>2028</v>
      </c>
      <c r="C90" s="127">
        <f t="shared" si="25"/>
        <v>0.27179718703333167</v>
      </c>
      <c r="D90" s="127">
        <f t="shared" si="26"/>
        <v>0.16964196554317201</v>
      </c>
      <c r="E90" s="26">
        <f t="shared" si="27"/>
        <v>5.3698711083207153E-2</v>
      </c>
      <c r="F90" s="127">
        <f t="shared" si="27"/>
        <v>9.6982679026480043E-2</v>
      </c>
      <c r="G90" s="127">
        <f t="shared" si="27"/>
        <v>0.11120138863241866</v>
      </c>
      <c r="H90" s="127">
        <f t="shared" si="28"/>
        <v>0.22055363877470313</v>
      </c>
      <c r="I90" s="127">
        <f t="shared" si="22"/>
        <v>7.612442990668733E-2</v>
      </c>
      <c r="J90" s="27">
        <f t="shared" si="23"/>
        <v>1</v>
      </c>
      <c r="M90" s="23">
        <v>2028</v>
      </c>
      <c r="N90" s="54">
        <f t="shared" si="24"/>
        <v>0</v>
      </c>
      <c r="O90" s="54">
        <f t="shared" si="24"/>
        <v>0.44797156070157362</v>
      </c>
      <c r="P90" s="54">
        <f t="shared" si="24"/>
        <v>0</v>
      </c>
      <c r="Q90" s="54">
        <f t="shared" si="24"/>
        <v>0</v>
      </c>
      <c r="R90" s="54">
        <f t="shared" si="24"/>
        <v>0</v>
      </c>
      <c r="S90" s="54">
        <f t="shared" si="29"/>
        <v>0.54903836827708485</v>
      </c>
      <c r="T90" s="54">
        <f t="shared" si="24"/>
        <v>2.9900710213415643E-3</v>
      </c>
      <c r="U90" s="27">
        <f t="shared" si="30"/>
        <v>1</v>
      </c>
      <c r="V90" s="26"/>
      <c r="X90" s="23">
        <v>2028</v>
      </c>
      <c r="Y90" s="127">
        <f>(C90-(N90*(1-'Future Type Share'!V29)))/'Future Type Share'!$V29</f>
        <v>0.36143242956560073</v>
      </c>
      <c r="Z90" s="127">
        <f>(D90-(O90*(1-'Future Type Share'!$V29)))/'Future Type Share'!$V29</f>
        <v>7.7852418203699036E-2</v>
      </c>
      <c r="AA90" s="127">
        <f>(E90-(P90*(1-'Future Type Share'!$V29)))/'Future Type Share'!$V29</f>
        <v>7.140786048298825E-2</v>
      </c>
      <c r="AB90" s="127">
        <f>(F90-(Q90*(1-'Future Type Share'!$V29)))/'Future Type Share'!$V29</f>
        <v>0.12896632849265968</v>
      </c>
      <c r="AC90" s="127">
        <f>(G90-(R90*(1-'Future Type Share'!$V29)))/'Future Type Share'!$V29</f>
        <v>0.14787418701119506</v>
      </c>
      <c r="AD90" s="127">
        <f>(H90-(S90*(1-'Future Type Share'!$V29)))/'Future Type Share'!$V29</f>
        <v>0.11222356840689626</v>
      </c>
      <c r="AE90" s="127">
        <f>(I90-(T90*(1-'Future Type Share'!$V29)))/'Future Type Share'!$V29</f>
        <v>0.10024320783696096</v>
      </c>
      <c r="AF90" s="27">
        <f t="shared" si="21"/>
        <v>1</v>
      </c>
    </row>
    <row r="91" spans="2:32" s="103" customFormat="1">
      <c r="B91" s="23">
        <v>2029</v>
      </c>
      <c r="C91" s="127">
        <f t="shared" si="25"/>
        <v>0.27719801687574042</v>
      </c>
      <c r="D91" s="127">
        <f t="shared" si="26"/>
        <v>0.16719647186335607</v>
      </c>
      <c r="E91" s="26">
        <f t="shared" si="27"/>
        <v>5.3698711083207153E-2</v>
      </c>
      <c r="F91" s="127">
        <f t="shared" si="27"/>
        <v>9.6982679026480043E-2</v>
      </c>
      <c r="G91" s="127">
        <f t="shared" si="27"/>
        <v>0.11120138863241866</v>
      </c>
      <c r="H91" s="127">
        <f t="shared" si="28"/>
        <v>0.21721759488059611</v>
      </c>
      <c r="I91" s="127">
        <f t="shared" si="22"/>
        <v>7.6505137638201548E-2</v>
      </c>
      <c r="J91" s="27">
        <f t="shared" si="23"/>
        <v>1</v>
      </c>
      <c r="M91" s="23">
        <v>2029</v>
      </c>
      <c r="N91" s="54">
        <f t="shared" si="24"/>
        <v>0</v>
      </c>
      <c r="O91" s="54">
        <f t="shared" si="24"/>
        <v>0.44846252741920745</v>
      </c>
      <c r="P91" s="54">
        <f t="shared" si="24"/>
        <v>0</v>
      </c>
      <c r="Q91" s="54">
        <f t="shared" si="24"/>
        <v>0</v>
      </c>
      <c r="R91" s="54">
        <f t="shared" si="24"/>
        <v>0</v>
      </c>
      <c r="S91" s="54">
        <f t="shared" si="29"/>
        <v>0.5485502521973955</v>
      </c>
      <c r="T91" s="54">
        <f t="shared" si="24"/>
        <v>2.9872203833970776E-3</v>
      </c>
      <c r="U91" s="27">
        <f t="shared" si="30"/>
        <v>1</v>
      </c>
      <c r="V91" s="26"/>
      <c r="X91" s="23">
        <v>2029</v>
      </c>
      <c r="Y91" s="127">
        <f>(C91-(N91*(1-'Future Type Share'!V30)))/'Future Type Share'!$V30</f>
        <v>0.36657588189867096</v>
      </c>
      <c r="Z91" s="127">
        <f>(D91-(O91*(1-'Future Type Share'!$V30)))/'Future Type Share'!$V30</f>
        <v>7.6506935796898518E-2</v>
      </c>
      <c r="AA91" s="127">
        <f>(E91-(P91*(1-'Future Type Share'!$V30)))/'Future Type Share'!$V30</f>
        <v>7.1012962480798122E-2</v>
      </c>
      <c r="AB91" s="127">
        <f>(F91-(Q91*(1-'Future Type Share'!$V30)))/'Future Type Share'!$V30</f>
        <v>0.12825312205954323</v>
      </c>
      <c r="AC91" s="127">
        <f>(G91-(R91*(1-'Future Type Share'!$V30)))/'Future Type Share'!$V30</f>
        <v>0.14705641680170778</v>
      </c>
      <c r="AD91" s="127">
        <f>(H91-(S91*(1-'Future Type Share'!$V30)))/'Future Type Share'!$V30</f>
        <v>0.11038492032858163</v>
      </c>
      <c r="AE91" s="127">
        <f>(I91-(T91*(1-'Future Type Share'!$V30)))/'Future Type Share'!$V30</f>
        <v>0.10020976063379973</v>
      </c>
      <c r="AF91" s="27">
        <f t="shared" si="21"/>
        <v>0.99999999999999989</v>
      </c>
    </row>
    <row r="92" spans="2:32" s="103" customFormat="1">
      <c r="B92" s="23">
        <v>2030</v>
      </c>
      <c r="C92" s="127">
        <f t="shared" si="25"/>
        <v>0.28259884671814828</v>
      </c>
      <c r="D92" s="127">
        <f t="shared" si="26"/>
        <v>0.16475097818354012</v>
      </c>
      <c r="E92" s="26">
        <f t="shared" si="27"/>
        <v>5.3698711083207153E-2</v>
      </c>
      <c r="F92" s="127">
        <f t="shared" si="27"/>
        <v>9.6982679026480043E-2</v>
      </c>
      <c r="G92" s="127">
        <f t="shared" si="27"/>
        <v>0.11120138863241866</v>
      </c>
      <c r="H92" s="127">
        <f t="shared" si="28"/>
        <v>0.21388155098648998</v>
      </c>
      <c r="I92" s="127">
        <f t="shared" si="22"/>
        <v>7.6885845369715766E-2</v>
      </c>
      <c r="J92" s="27">
        <f t="shared" si="23"/>
        <v>1</v>
      </c>
      <c r="M92" s="23">
        <v>2030</v>
      </c>
      <c r="N92" s="54">
        <f t="shared" si="24"/>
        <v>0</v>
      </c>
      <c r="O92" s="54">
        <f t="shared" si="24"/>
        <v>0.44895349413684127</v>
      </c>
      <c r="P92" s="54">
        <f t="shared" si="24"/>
        <v>0</v>
      </c>
      <c r="Q92" s="54">
        <f t="shared" si="24"/>
        <v>0</v>
      </c>
      <c r="R92" s="54">
        <f t="shared" si="24"/>
        <v>0</v>
      </c>
      <c r="S92" s="54">
        <f t="shared" si="29"/>
        <v>0.54806213611770616</v>
      </c>
      <c r="T92" s="54">
        <f t="shared" si="24"/>
        <v>2.9843697454525909E-3</v>
      </c>
      <c r="U92" s="27">
        <f t="shared" si="30"/>
        <v>1</v>
      </c>
      <c r="V92" s="26"/>
      <c r="X92" s="23">
        <v>2030</v>
      </c>
      <c r="Y92" s="127">
        <f>(C92-(N92*(1-'Future Type Share'!V31)))/'Future Type Share'!$V31</f>
        <v>0.37166275871588128</v>
      </c>
      <c r="Z92" s="127">
        <f>(D92-(O92*(1-'Future Type Share'!$V31)))/'Future Type Share'!$V31</f>
        <v>7.518165345220322E-2</v>
      </c>
      <c r="AA92" s="127">
        <f>(E92-(P92*(1-'Future Type Share'!$V31)))/'Future Type Share'!$V31</f>
        <v>7.0622408167776027E-2</v>
      </c>
      <c r="AB92" s="127">
        <f>(F92-(Q92*(1-'Future Type Share'!$V31)))/'Future Type Share'!$V31</f>
        <v>0.12754776055610717</v>
      </c>
      <c r="AC92" s="127">
        <f>(G92-(R92*(1-'Future Type Share'!$V31)))/'Future Type Share'!$V31</f>
        <v>0.1462476416734344</v>
      </c>
      <c r="AD92" s="127">
        <f>(H92-(S92*(1-'Future Type Share'!$V31)))/'Future Type Share'!$V31</f>
        <v>0.10856112745637449</v>
      </c>
      <c r="AE92" s="127">
        <f>(I92-(T92*(1-'Future Type Share'!$V31)))/'Future Type Share'!$V31</f>
        <v>0.10017664997822338</v>
      </c>
      <c r="AF92" s="27">
        <f t="shared" si="21"/>
        <v>1</v>
      </c>
    </row>
    <row r="93" spans="2:32" s="103" customFormat="1">
      <c r="B93" s="23">
        <v>2031</v>
      </c>
      <c r="C93" s="127">
        <f t="shared" si="25"/>
        <v>0.28799967656055703</v>
      </c>
      <c r="D93" s="127">
        <f t="shared" si="26"/>
        <v>0.16230548450372417</v>
      </c>
      <c r="E93" s="26">
        <f t="shared" si="27"/>
        <v>5.3698711083207153E-2</v>
      </c>
      <c r="F93" s="127">
        <f t="shared" si="27"/>
        <v>9.6982679026480043E-2</v>
      </c>
      <c r="G93" s="127">
        <f t="shared" si="27"/>
        <v>0.11120138863241866</v>
      </c>
      <c r="H93" s="127">
        <f t="shared" si="28"/>
        <v>0.21054550709238296</v>
      </c>
      <c r="I93" s="127">
        <f t="shared" si="22"/>
        <v>7.7266553101229984E-2</v>
      </c>
      <c r="J93" s="27">
        <f t="shared" si="23"/>
        <v>1</v>
      </c>
      <c r="M93" s="23">
        <v>2031</v>
      </c>
      <c r="N93" s="54">
        <f t="shared" si="24"/>
        <v>0</v>
      </c>
      <c r="O93" s="54">
        <f t="shared" si="24"/>
        <v>0.44944446085447509</v>
      </c>
      <c r="P93" s="54">
        <f t="shared" si="24"/>
        <v>0</v>
      </c>
      <c r="Q93" s="54">
        <f t="shared" si="24"/>
        <v>0</v>
      </c>
      <c r="R93" s="54">
        <f t="shared" si="24"/>
        <v>0</v>
      </c>
      <c r="S93" s="54">
        <f t="shared" si="29"/>
        <v>0.54757402003801681</v>
      </c>
      <c r="T93" s="54">
        <f t="shared" si="24"/>
        <v>2.9815191075081042E-3</v>
      </c>
      <c r="U93" s="27">
        <f t="shared" si="30"/>
        <v>1</v>
      </c>
      <c r="V93" s="26"/>
      <c r="X93" s="23">
        <v>2031</v>
      </c>
      <c r="Y93" s="127">
        <f>(C93-(N93*(1-'Future Type Share'!V32)))/'Future Type Share'!$V32</f>
        <v>0.37669398836695922</v>
      </c>
      <c r="Z93" s="127">
        <f>(D93-(O93*(1-'Future Type Share'!$V32)))/'Future Type Share'!$V32</f>
        <v>7.3876239706049437E-2</v>
      </c>
      <c r="AA93" s="127">
        <f>(E93-(P93*(1-'Future Type Share'!$V32)))/'Future Type Share'!$V32</f>
        <v>7.0236126268166305E-2</v>
      </c>
      <c r="AB93" s="127">
        <f>(F93-(Q93*(1-'Future Type Share'!$V32)))/'Future Type Share'!$V32</f>
        <v>0.12685011525461121</v>
      </c>
      <c r="AC93" s="127">
        <f>(G93-(R93*(1-'Future Type Share'!$V32)))/'Future Type Share'!$V32</f>
        <v>0.14544771402575565</v>
      </c>
      <c r="AD93" s="127">
        <f>(H93-(S93*(1-'Future Type Share'!$V32)))/'Future Type Share'!$V32</f>
        <v>0.10675194603064796</v>
      </c>
      <c r="AE93" s="127">
        <f>(I93-(T93*(1-'Future Type Share'!$V32)))/'Future Type Share'!$V32</f>
        <v>0.10014387034781019</v>
      </c>
      <c r="AF93" s="27">
        <f t="shared" si="21"/>
        <v>1</v>
      </c>
    </row>
    <row r="94" spans="2:32" s="103" customFormat="1">
      <c r="B94" s="23">
        <v>2032</v>
      </c>
      <c r="C94" s="127">
        <f t="shared" si="25"/>
        <v>0.293400506402965</v>
      </c>
      <c r="D94" s="127">
        <f t="shared" si="26"/>
        <v>0.15985999082390823</v>
      </c>
      <c r="E94" s="26">
        <f t="shared" si="27"/>
        <v>5.3698711083207153E-2</v>
      </c>
      <c r="F94" s="127">
        <f t="shared" si="27"/>
        <v>9.6982679026480043E-2</v>
      </c>
      <c r="G94" s="127">
        <f t="shared" si="27"/>
        <v>0.11120138863241866</v>
      </c>
      <c r="H94" s="127">
        <f t="shared" si="28"/>
        <v>0.20720946319827682</v>
      </c>
      <c r="I94" s="127">
        <f t="shared" si="22"/>
        <v>7.7647260832744092E-2</v>
      </c>
      <c r="J94" s="27">
        <f t="shared" si="23"/>
        <v>1</v>
      </c>
      <c r="M94" s="23">
        <v>2032</v>
      </c>
      <c r="N94" s="54">
        <f t="shared" si="24"/>
        <v>0</v>
      </c>
      <c r="O94" s="54">
        <f t="shared" si="24"/>
        <v>0.44993542757210891</v>
      </c>
      <c r="P94" s="54">
        <f t="shared" si="24"/>
        <v>0</v>
      </c>
      <c r="Q94" s="54">
        <f t="shared" si="24"/>
        <v>0</v>
      </c>
      <c r="R94" s="54">
        <f t="shared" si="24"/>
        <v>0</v>
      </c>
      <c r="S94" s="54">
        <f t="shared" si="29"/>
        <v>0.54708590395832746</v>
      </c>
      <c r="T94" s="54">
        <f t="shared" si="24"/>
        <v>2.9786684695636174E-3</v>
      </c>
      <c r="U94" s="27">
        <f t="shared" si="30"/>
        <v>1</v>
      </c>
      <c r="V94" s="26"/>
      <c r="X94" s="23">
        <v>2032</v>
      </c>
      <c r="Y94" s="127">
        <f>(C94-(N94*(1-'Future Type Share'!V33)))/'Future Type Share'!$V33</f>
        <v>0.38167047900101869</v>
      </c>
      <c r="Z94" s="127">
        <f>(D94-(O94*(1-'Future Type Share'!$V33)))/'Future Type Share'!$V33</f>
        <v>7.2590370307420313E-2</v>
      </c>
      <c r="AA94" s="127">
        <f>(E94-(P94*(1-'Future Type Share'!$V33)))/'Future Type Share'!$V33</f>
        <v>6.9854047057152147E-2</v>
      </c>
      <c r="AB94" s="127">
        <f>(F94-(Q94*(1-'Future Type Share'!$V33)))/'Future Type Share'!$V33</f>
        <v>0.12616006022839168</v>
      </c>
      <c r="AC94" s="127">
        <f>(G94-(R94*(1-'Future Type Share'!$V33)))/'Future Type Share'!$V33</f>
        <v>0.14465648946979717</v>
      </c>
      <c r="AD94" s="127">
        <f>(H94-(S94*(1-'Future Type Share'!$V33)))/'Future Type Share'!$V33</f>
        <v>0.10495713759591545</v>
      </c>
      <c r="AE94" s="127">
        <f>(I94-(T94*(1-'Future Type Share'!$V33)))/'Future Type Share'!$V33</f>
        <v>0.10011141634030452</v>
      </c>
      <c r="AF94" s="27">
        <f t="shared" si="21"/>
        <v>0.99999999999999989</v>
      </c>
    </row>
    <row r="95" spans="2:32" s="103" customFormat="1">
      <c r="B95" s="23">
        <v>2033</v>
      </c>
      <c r="C95" s="127">
        <f t="shared" si="25"/>
        <v>0.29880133624537464</v>
      </c>
      <c r="D95" s="127">
        <f t="shared" si="26"/>
        <v>0.15741449714409139</v>
      </c>
      <c r="E95" s="26">
        <f t="shared" si="27"/>
        <v>5.3698711083207153E-2</v>
      </c>
      <c r="F95" s="127">
        <f t="shared" si="27"/>
        <v>9.6982679026480043E-2</v>
      </c>
      <c r="G95" s="127">
        <f t="shared" si="27"/>
        <v>0.11120138863241866</v>
      </c>
      <c r="H95" s="127">
        <f t="shared" si="28"/>
        <v>0.2038734193041698</v>
      </c>
      <c r="I95" s="127">
        <f t="shared" si="22"/>
        <v>7.802796856425831E-2</v>
      </c>
      <c r="J95" s="27">
        <f t="shared" si="23"/>
        <v>1</v>
      </c>
      <c r="M95" s="23">
        <v>2033</v>
      </c>
      <c r="N95" s="54">
        <f t="shared" ref="N95:T112" si="31">TREND(N$74:N$78,$M$74:$M$78,$M95)</f>
        <v>0</v>
      </c>
      <c r="O95" s="54">
        <f t="shared" si="31"/>
        <v>0.45042639428974274</v>
      </c>
      <c r="P95" s="54">
        <f t="shared" si="31"/>
        <v>0</v>
      </c>
      <c r="Q95" s="54">
        <f t="shared" si="31"/>
        <v>0</v>
      </c>
      <c r="R95" s="54">
        <f t="shared" si="31"/>
        <v>0</v>
      </c>
      <c r="S95" s="54">
        <f t="shared" si="29"/>
        <v>0.54659778787863811</v>
      </c>
      <c r="T95" s="54">
        <f t="shared" si="31"/>
        <v>2.9758178316191307E-3</v>
      </c>
      <c r="U95" s="27">
        <f t="shared" si="30"/>
        <v>1</v>
      </c>
      <c r="V95" s="26"/>
      <c r="X95" s="23">
        <v>2033</v>
      </c>
      <c r="Y95" s="127">
        <f>(C95-(N95*(1-'Future Type Share'!V34)))/'Future Type Share'!$V34</f>
        <v>0.38659311911304634</v>
      </c>
      <c r="Z95" s="127">
        <f>(D95-(O95*(1-'Future Type Share'!$V34)))/'Future Type Share'!$V34</f>
        <v>7.1323728022727503E-2</v>
      </c>
      <c r="AA95" s="127">
        <f>(E95-(P95*(1-'Future Type Share'!$V34)))/'Future Type Share'!$V34</f>
        <v>6.9476102318898905E-2</v>
      </c>
      <c r="AB95" s="127">
        <f>(F95-(Q95*(1-'Future Type Share'!$V34)))/'Future Type Share'!$V34</f>
        <v>0.12547747227608563</v>
      </c>
      <c r="AC95" s="127">
        <f>(G95-(R95*(1-'Future Type Share'!$V34)))/'Future Type Share'!$V34</f>
        <v>0.14387382674154373</v>
      </c>
      <c r="AD95" s="127">
        <f>(H95-(S95*(1-'Future Type Share'!$V34)))/'Future Type Share'!$V34</f>
        <v>0.10317646885733137</v>
      </c>
      <c r="AE95" s="127">
        <f>(I95-(T95*(1-'Future Type Share'!$V34)))/'Future Type Share'!$V34</f>
        <v>0.10007928267036656</v>
      </c>
      <c r="AF95" s="27">
        <f t="shared" si="21"/>
        <v>1</v>
      </c>
    </row>
    <row r="96" spans="2:32" s="103" customFormat="1">
      <c r="B96" s="23">
        <v>2034</v>
      </c>
      <c r="C96" s="127">
        <f t="shared" si="25"/>
        <v>0.3042021660877825</v>
      </c>
      <c r="D96" s="127">
        <f t="shared" si="26"/>
        <v>0.15496900346427545</v>
      </c>
      <c r="E96" s="26">
        <f t="shared" si="27"/>
        <v>5.3698711083207153E-2</v>
      </c>
      <c r="F96" s="127">
        <f t="shared" si="27"/>
        <v>9.6982679026480043E-2</v>
      </c>
      <c r="G96" s="127">
        <f t="shared" si="27"/>
        <v>0.11120138863241866</v>
      </c>
      <c r="H96" s="127">
        <f t="shared" si="28"/>
        <v>0.20053737541006367</v>
      </c>
      <c r="I96" s="127">
        <f t="shared" si="22"/>
        <v>7.8408676295772528E-2</v>
      </c>
      <c r="J96" s="27">
        <f t="shared" si="23"/>
        <v>1</v>
      </c>
      <c r="M96" s="23">
        <v>2034</v>
      </c>
      <c r="N96" s="54">
        <f t="shared" si="31"/>
        <v>0</v>
      </c>
      <c r="O96" s="54">
        <f t="shared" si="31"/>
        <v>0.45091736100737656</v>
      </c>
      <c r="P96" s="54">
        <f t="shared" si="31"/>
        <v>0</v>
      </c>
      <c r="Q96" s="54">
        <f t="shared" si="31"/>
        <v>0</v>
      </c>
      <c r="R96" s="54">
        <f t="shared" si="31"/>
        <v>0</v>
      </c>
      <c r="S96" s="54">
        <f t="shared" si="29"/>
        <v>0.54610967179894876</v>
      </c>
      <c r="T96" s="54">
        <f t="shared" si="31"/>
        <v>2.9729671936746449E-3</v>
      </c>
      <c r="U96" s="27">
        <f t="shared" si="30"/>
        <v>1</v>
      </c>
      <c r="V96" s="26"/>
      <c r="X96" s="23">
        <v>2034</v>
      </c>
      <c r="Y96" s="127">
        <f>(C96-(N96*(1-'Future Type Share'!V35)))/'Future Type Share'!$V35</f>
        <v>0.39146277807271945</v>
      </c>
      <c r="Z96" s="127">
        <f>(D96-(O96*(1-'Future Type Share'!$V35)))/'Future Type Share'!$V35</f>
        <v>7.0076002446998617E-2</v>
      </c>
      <c r="AA96" s="127">
        <f>(E96-(P96*(1-'Future Type Share'!$V35)))/'Future Type Share'!$V35</f>
        <v>6.9102225305952072E-2</v>
      </c>
      <c r="AB96" s="127">
        <f>(F96-(Q96*(1-'Future Type Share'!$V35)))/'Future Type Share'!$V35</f>
        <v>0.12480223084830135</v>
      </c>
      <c r="AC96" s="127">
        <f>(G96-(R96*(1-'Future Type Share'!$V35)))/'Future Type Share'!$V35</f>
        <v>0.14309958761775907</v>
      </c>
      <c r="AD96" s="127">
        <f>(H96-(S96*(1-'Future Type Share'!$V35)))/'Future Type Share'!$V35</f>
        <v>0.10140971154184369</v>
      </c>
      <c r="AE96" s="127">
        <f>(I96-(T96*(1-'Future Type Share'!$V35)))/'Future Type Share'!$V35</f>
        <v>0.10004746416642574</v>
      </c>
      <c r="AF96" s="27">
        <f t="shared" si="21"/>
        <v>1</v>
      </c>
    </row>
    <row r="97" spans="2:32" s="103" customFormat="1">
      <c r="B97" s="23">
        <v>2035</v>
      </c>
      <c r="C97" s="127">
        <f t="shared" si="25"/>
        <v>0.30960299593019125</v>
      </c>
      <c r="D97" s="127">
        <f t="shared" si="26"/>
        <v>0.1525235097844595</v>
      </c>
      <c r="E97" s="26">
        <f t="shared" si="27"/>
        <v>5.3698711083207153E-2</v>
      </c>
      <c r="F97" s="127">
        <f t="shared" si="27"/>
        <v>9.6982679026480043E-2</v>
      </c>
      <c r="G97" s="127">
        <f t="shared" si="27"/>
        <v>0.11120138863241866</v>
      </c>
      <c r="H97" s="127">
        <f t="shared" si="28"/>
        <v>0.19720133151595665</v>
      </c>
      <c r="I97" s="127">
        <f t="shared" si="22"/>
        <v>7.8789384027286746E-2</v>
      </c>
      <c r="J97" s="27">
        <f t="shared" si="23"/>
        <v>1</v>
      </c>
      <c r="M97" s="23">
        <v>2035</v>
      </c>
      <c r="N97" s="54">
        <f t="shared" si="31"/>
        <v>0</v>
      </c>
      <c r="O97" s="54">
        <f t="shared" si="31"/>
        <v>0.45140832772501038</v>
      </c>
      <c r="P97" s="54">
        <f t="shared" si="31"/>
        <v>0</v>
      </c>
      <c r="Q97" s="54">
        <f t="shared" si="31"/>
        <v>0</v>
      </c>
      <c r="R97" s="54">
        <f t="shared" si="31"/>
        <v>0</v>
      </c>
      <c r="S97" s="54">
        <f t="shared" si="29"/>
        <v>0.54562155571925941</v>
      </c>
      <c r="T97" s="54">
        <f t="shared" si="31"/>
        <v>2.9701165557301581E-3</v>
      </c>
      <c r="U97" s="27">
        <f t="shared" si="30"/>
        <v>1</v>
      </c>
      <c r="V97" s="26"/>
      <c r="X97" s="23">
        <v>2035</v>
      </c>
      <c r="Y97" s="127">
        <f>(C97-(N97*(1-'Future Type Share'!V36)))/'Future Type Share'!$V36</f>
        <v>0.39628030663626967</v>
      </c>
      <c r="Z97" s="127">
        <f>(D97-(O97*(1-'Future Type Share'!$V36)))/'Future Type Share'!$V36</f>
        <v>6.8846889821117252E-2</v>
      </c>
      <c r="AA97" s="127">
        <f>(E97-(P97*(1-'Future Type Share'!$V36)))/'Future Type Share'!$V36</f>
        <v>6.8732350699939299E-2</v>
      </c>
      <c r="AB97" s="127">
        <f>(F97-(Q97*(1-'Future Type Share'!$V36)))/'Future Type Share'!$V36</f>
        <v>0.12413421797664415</v>
      </c>
      <c r="AC97" s="127">
        <f>(G97-(R97*(1-'Future Type Share'!$V36)))/'Future Type Share'!$V36</f>
        <v>0.14233363683460606</v>
      </c>
      <c r="AD97" s="127">
        <f>(H97-(S97*(1-'Future Type Share'!$V36)))/'Future Type Share'!$V36</f>
        <v>9.9656642263787246E-2</v>
      </c>
      <c r="AE97" s="127">
        <f>(I97-(T97*(1-'Future Type Share'!$V36)))/'Future Type Share'!$V36</f>
        <v>0.10001595576763636</v>
      </c>
      <c r="AF97" s="27">
        <f t="shared" si="21"/>
        <v>1</v>
      </c>
    </row>
    <row r="98" spans="2:32" s="103" customFormat="1">
      <c r="B98" s="23">
        <v>2036</v>
      </c>
      <c r="C98" s="127">
        <f t="shared" si="25"/>
        <v>0.31500382577259911</v>
      </c>
      <c r="D98" s="127">
        <f t="shared" si="26"/>
        <v>0.15007801610464355</v>
      </c>
      <c r="E98" s="26">
        <f t="shared" si="27"/>
        <v>5.3698711083207153E-2</v>
      </c>
      <c r="F98" s="127">
        <f t="shared" si="27"/>
        <v>9.6982679026480043E-2</v>
      </c>
      <c r="G98" s="127">
        <f t="shared" si="27"/>
        <v>0.11120138863241866</v>
      </c>
      <c r="H98" s="127">
        <f t="shared" si="28"/>
        <v>0.19386528762185051</v>
      </c>
      <c r="I98" s="127">
        <f t="shared" si="22"/>
        <v>7.9170091758800964E-2</v>
      </c>
      <c r="J98" s="27">
        <f t="shared" si="23"/>
        <v>1</v>
      </c>
      <c r="M98" s="23">
        <v>2036</v>
      </c>
      <c r="N98" s="54">
        <f t="shared" si="31"/>
        <v>0</v>
      </c>
      <c r="O98" s="54">
        <f t="shared" si="31"/>
        <v>0.45189929444264421</v>
      </c>
      <c r="P98" s="54">
        <f t="shared" si="31"/>
        <v>0</v>
      </c>
      <c r="Q98" s="54">
        <f t="shared" si="31"/>
        <v>0</v>
      </c>
      <c r="R98" s="54">
        <f t="shared" si="31"/>
        <v>0</v>
      </c>
      <c r="S98" s="54">
        <f t="shared" si="29"/>
        <v>0.54513343963957017</v>
      </c>
      <c r="T98" s="54">
        <f t="shared" si="31"/>
        <v>2.9672659177856714E-3</v>
      </c>
      <c r="U98" s="27">
        <f t="shared" si="30"/>
        <v>1</v>
      </c>
      <c r="V98" s="26"/>
      <c r="X98" s="23">
        <v>2036</v>
      </c>
      <c r="Y98" s="127">
        <f>(C98-(N98*(1-'Future Type Share'!V37)))/'Future Type Share'!$V37</f>
        <v>0.40104653744196617</v>
      </c>
      <c r="Z98" s="127">
        <f>(D98-(O98*(1-'Future Type Share'!$V37)))/'Future Type Share'!$V37</f>
        <v>6.7636092854912205E-2</v>
      </c>
      <c r="AA98" s="127">
        <f>(E98-(P98*(1-'Future Type Share'!$V37)))/'Future Type Share'!$V37</f>
        <v>6.8366414573527573E-2</v>
      </c>
      <c r="AB98" s="127">
        <f>(F98-(Q98*(1-'Future Type Share'!$V37)))/'Future Type Share'!$V37</f>
        <v>0.12347331820500922</v>
      </c>
      <c r="AC98" s="127">
        <f>(G98-(R98*(1-'Future Type Share'!$V37)))/'Future Type Share'!$V37</f>
        <v>0.14157584200886625</v>
      </c>
      <c r="AD98" s="127">
        <f>(H98-(S98*(1-'Future Type Share'!$V37)))/'Future Type Share'!$V37</f>
        <v>9.7917042394788545E-2</v>
      </c>
      <c r="AE98" s="127">
        <f>(I98-(T98*(1-'Future Type Share'!$V37)))/'Future Type Share'!$V37</f>
        <v>9.9984752520930073E-2</v>
      </c>
      <c r="AF98" s="27">
        <f t="shared" si="21"/>
        <v>1</v>
      </c>
    </row>
    <row r="99" spans="2:32" s="103" customFormat="1">
      <c r="B99" s="23">
        <v>2037</v>
      </c>
      <c r="C99" s="127">
        <f t="shared" si="25"/>
        <v>0.32040465561500786</v>
      </c>
      <c r="D99" s="127">
        <f t="shared" si="26"/>
        <v>0.14763252242482761</v>
      </c>
      <c r="E99" s="26">
        <f t="shared" si="27"/>
        <v>5.3698711083207153E-2</v>
      </c>
      <c r="F99" s="127">
        <f t="shared" si="27"/>
        <v>9.6982679026480043E-2</v>
      </c>
      <c r="G99" s="127">
        <f t="shared" si="27"/>
        <v>0.11120138863241866</v>
      </c>
      <c r="H99" s="127">
        <f t="shared" si="28"/>
        <v>0.19052924372774349</v>
      </c>
      <c r="I99" s="127">
        <f t="shared" si="22"/>
        <v>7.9550799490315183E-2</v>
      </c>
      <c r="J99" s="27">
        <f t="shared" si="23"/>
        <v>1</v>
      </c>
      <c r="M99" s="23">
        <v>2037</v>
      </c>
      <c r="N99" s="54">
        <f t="shared" si="31"/>
        <v>0</v>
      </c>
      <c r="O99" s="54">
        <f t="shared" si="31"/>
        <v>0.45239026116027792</v>
      </c>
      <c r="P99" s="54">
        <f t="shared" si="31"/>
        <v>0</v>
      </c>
      <c r="Q99" s="54">
        <f t="shared" si="31"/>
        <v>0</v>
      </c>
      <c r="R99" s="54">
        <f t="shared" si="31"/>
        <v>0</v>
      </c>
      <c r="S99" s="54">
        <f t="shared" si="29"/>
        <v>0.54464532355988093</v>
      </c>
      <c r="T99" s="54">
        <f t="shared" si="31"/>
        <v>2.9644152798411847E-3</v>
      </c>
      <c r="U99" s="27">
        <f t="shared" si="30"/>
        <v>1</v>
      </c>
      <c r="V99" s="26"/>
      <c r="X99" s="23">
        <v>2037</v>
      </c>
      <c r="Y99" s="127">
        <f>(C99-(N99*(1-'Future Type Share'!V38)))/'Future Type Share'!$V38</f>
        <v>0.40576228548987836</v>
      </c>
      <c r="Z99" s="127">
        <f>(D99-(O99*(1-'Future Type Share'!$V38)))/'Future Type Share'!$V38</f>
        <v>6.6443320555862717E-2</v>
      </c>
      <c r="AA99" s="127">
        <f>(E99-(P99*(1-'Future Type Share'!$V38)))/'Future Type Share'!$V38</f>
        <v>6.8004354353589466E-2</v>
      </c>
      <c r="AB99" s="127">
        <f>(F99-(Q99*(1-'Future Type Share'!$V38)))/'Future Type Share'!$V38</f>
        <v>0.12281941852305774</v>
      </c>
      <c r="AC99" s="127">
        <f>(G99-(R99*(1-'Future Type Share'!$V38)))/'Future Type Share'!$V38</f>
        <v>0.14082607356166291</v>
      </c>
      <c r="AD99" s="127">
        <f>(H99-(S99*(1-'Future Type Share'!$V38)))/'Future Type Share'!$V38</f>
        <v>9.6190697937786965E-2</v>
      </c>
      <c r="AE99" s="127">
        <f>(I99-(T99*(1-'Future Type Share'!$V38)))/'Future Type Share'!$V38</f>
        <v>9.9953849578161849E-2</v>
      </c>
      <c r="AF99" s="27">
        <f t="shared" si="21"/>
        <v>1</v>
      </c>
    </row>
    <row r="100" spans="2:32" s="103" customFormat="1">
      <c r="B100" s="23">
        <v>2038</v>
      </c>
      <c r="C100" s="127">
        <f t="shared" si="25"/>
        <v>0.32580548545741572</v>
      </c>
      <c r="D100" s="127">
        <f t="shared" si="26"/>
        <v>0.14518702874501166</v>
      </c>
      <c r="E100" s="26">
        <f t="shared" si="27"/>
        <v>5.3698711083207153E-2</v>
      </c>
      <c r="F100" s="127">
        <f t="shared" si="27"/>
        <v>9.6982679026480043E-2</v>
      </c>
      <c r="G100" s="127">
        <f t="shared" si="27"/>
        <v>0.11120138863241866</v>
      </c>
      <c r="H100" s="127">
        <f t="shared" si="28"/>
        <v>0.18719319983363736</v>
      </c>
      <c r="I100" s="127">
        <f t="shared" si="22"/>
        <v>7.9931507221829401E-2</v>
      </c>
      <c r="J100" s="27">
        <f t="shared" si="23"/>
        <v>1</v>
      </c>
      <c r="M100" s="23">
        <v>2038</v>
      </c>
      <c r="N100" s="54">
        <f t="shared" si="31"/>
        <v>0</v>
      </c>
      <c r="O100" s="54">
        <f t="shared" si="31"/>
        <v>0.45288122787791174</v>
      </c>
      <c r="P100" s="54">
        <f t="shared" si="31"/>
        <v>0</v>
      </c>
      <c r="Q100" s="54">
        <f t="shared" si="31"/>
        <v>0</v>
      </c>
      <c r="R100" s="54">
        <f t="shared" si="31"/>
        <v>0</v>
      </c>
      <c r="S100" s="54">
        <f t="shared" si="29"/>
        <v>0.54415720748019158</v>
      </c>
      <c r="T100" s="54">
        <f t="shared" si="31"/>
        <v>2.961564641896698E-3</v>
      </c>
      <c r="U100" s="27">
        <f t="shared" si="30"/>
        <v>1</v>
      </c>
      <c r="V100" s="26"/>
      <c r="X100" s="23">
        <v>2038</v>
      </c>
      <c r="Y100" s="127">
        <f>(C100-(N100*(1-'Future Type Share'!V39)))/'Future Type Share'!$V39</f>
        <v>0.4104283486064555</v>
      </c>
      <c r="Z100" s="127">
        <f>(D100-(O100*(1-'Future Type Share'!$V39)))/'Future Type Share'!$V39</f>
        <v>6.5268288063218952E-2</v>
      </c>
      <c r="AA100" s="127">
        <f>(E100-(P100*(1-'Future Type Share'!$V39)))/'Future Type Share'!$V39</f>
        <v>6.7646108785533454E-2</v>
      </c>
      <c r="AB100" s="127">
        <f>(F100-(Q100*(1-'Future Type Share'!$V39)))/'Future Type Share'!$V39</f>
        <v>0.12217240830179563</v>
      </c>
      <c r="AC100" s="127">
        <f>(G100-(R100*(1-'Future Type Share'!$V39)))/'Future Type Share'!$V39</f>
        <v>0.14008420464459503</v>
      </c>
      <c r="AD100" s="127">
        <f>(H100-(S100*(1-'Future Type Share'!$V39)))/'Future Type Share'!$V39</f>
        <v>9.4477399405055035E-2</v>
      </c>
      <c r="AE100" s="127">
        <f>(I100-(T100*(1-'Future Type Share'!$V39)))/'Future Type Share'!$V39</f>
        <v>9.9923242193346404E-2</v>
      </c>
      <c r="AF100" s="27">
        <f t="shared" si="21"/>
        <v>1</v>
      </c>
    </row>
    <row r="101" spans="2:32" s="103" customFormat="1">
      <c r="B101" s="23">
        <v>2039</v>
      </c>
      <c r="C101" s="127">
        <f t="shared" si="25"/>
        <v>0.33120631529982536</v>
      </c>
      <c r="D101" s="127">
        <f t="shared" si="26"/>
        <v>0.14274153506519482</v>
      </c>
      <c r="E101" s="26">
        <f t="shared" si="27"/>
        <v>5.3698711083207153E-2</v>
      </c>
      <c r="F101" s="127">
        <f t="shared" si="27"/>
        <v>9.6982679026480043E-2</v>
      </c>
      <c r="G101" s="127">
        <f t="shared" si="27"/>
        <v>0.11120138863241866</v>
      </c>
      <c r="H101" s="127">
        <f t="shared" si="28"/>
        <v>0.18385715593953034</v>
      </c>
      <c r="I101" s="127">
        <f t="shared" si="22"/>
        <v>8.0312214953343619E-2</v>
      </c>
      <c r="J101" s="27">
        <f t="shared" si="23"/>
        <v>1</v>
      </c>
      <c r="M101" s="23">
        <v>2039</v>
      </c>
      <c r="N101" s="54">
        <f t="shared" si="31"/>
        <v>0</v>
      </c>
      <c r="O101" s="54">
        <f t="shared" si="31"/>
        <v>0.45337219459554556</v>
      </c>
      <c r="P101" s="54">
        <f t="shared" si="31"/>
        <v>0</v>
      </c>
      <c r="Q101" s="54">
        <f t="shared" si="31"/>
        <v>0</v>
      </c>
      <c r="R101" s="54">
        <f t="shared" si="31"/>
        <v>0</v>
      </c>
      <c r="S101" s="54">
        <f t="shared" si="29"/>
        <v>0.54366909140050224</v>
      </c>
      <c r="T101" s="54">
        <f t="shared" si="31"/>
        <v>2.9587140039522113E-3</v>
      </c>
      <c r="U101" s="27">
        <f t="shared" si="30"/>
        <v>1</v>
      </c>
      <c r="V101" s="26"/>
      <c r="X101" s="23">
        <v>2039</v>
      </c>
      <c r="Y101" s="127">
        <f>(C101-(N101*(1-'Future Type Share'!V40)))/'Future Type Share'!$V40</f>
        <v>0.4150455078945175</v>
      </c>
      <c r="Z101" s="127">
        <f>(D101-(O101*(1-'Future Type Share'!$V40)))/'Future Type Share'!$V40</f>
        <v>6.4110716487337072E-2</v>
      </c>
      <c r="AA101" s="127">
        <f>(E101-(P101*(1-'Future Type Share'!$V40)))/'Future Type Share'!$V40</f>
        <v>6.7291617898755748E-2</v>
      </c>
      <c r="AB101" s="127">
        <f>(F101-(Q101*(1-'Future Type Share'!$V40)))/'Future Type Share'!$V40</f>
        <v>0.12153217923117786</v>
      </c>
      <c r="AC101" s="127">
        <f>(G101-(R101*(1-'Future Type Share'!$V40)))/'Future Type Share'!$V40</f>
        <v>0.13935011106819364</v>
      </c>
      <c r="AD101" s="127">
        <f>(H101-(S101*(1-'Future Type Share'!$V40)))/'Future Type Share'!$V40</f>
        <v>9.2776941700036725E-2</v>
      </c>
      <c r="AE101" s="127">
        <f>(I101-(T101*(1-'Future Type Share'!$V40)))/'Future Type Share'!$V40</f>
        <v>9.9892925719981429E-2</v>
      </c>
      <c r="AF101" s="27">
        <f t="shared" si="21"/>
        <v>0.99999999999999989</v>
      </c>
    </row>
    <row r="102" spans="2:32" s="103" customFormat="1">
      <c r="B102" s="23">
        <v>2040</v>
      </c>
      <c r="C102" s="127">
        <f t="shared" si="25"/>
        <v>0.33660714514223322</v>
      </c>
      <c r="D102" s="127">
        <f t="shared" si="26"/>
        <v>0.14029604138537888</v>
      </c>
      <c r="E102" s="26">
        <f t="shared" si="27"/>
        <v>5.3698711083207153E-2</v>
      </c>
      <c r="F102" s="127">
        <f t="shared" si="27"/>
        <v>9.6982679026480043E-2</v>
      </c>
      <c r="G102" s="127">
        <f t="shared" si="27"/>
        <v>0.11120138863241866</v>
      </c>
      <c r="H102" s="127">
        <f t="shared" si="28"/>
        <v>0.1805211120454242</v>
      </c>
      <c r="I102" s="127">
        <f t="shared" si="22"/>
        <v>8.0692922684857837E-2</v>
      </c>
      <c r="J102" s="27">
        <f t="shared" si="23"/>
        <v>1</v>
      </c>
      <c r="M102" s="23">
        <v>2040</v>
      </c>
      <c r="N102" s="54">
        <f t="shared" si="31"/>
        <v>0</v>
      </c>
      <c r="O102" s="54">
        <f t="shared" si="31"/>
        <v>0.45386316131317939</v>
      </c>
      <c r="P102" s="54">
        <f t="shared" si="31"/>
        <v>0</v>
      </c>
      <c r="Q102" s="54">
        <f t="shared" si="31"/>
        <v>0</v>
      </c>
      <c r="R102" s="54">
        <f t="shared" si="31"/>
        <v>0</v>
      </c>
      <c r="S102" s="54">
        <f t="shared" si="29"/>
        <v>0.54318097532081289</v>
      </c>
      <c r="T102" s="54">
        <f t="shared" si="31"/>
        <v>2.9558633660077245E-3</v>
      </c>
      <c r="U102" s="27">
        <f t="shared" si="30"/>
        <v>1</v>
      </c>
      <c r="V102" s="26"/>
      <c r="X102" s="23">
        <v>2040</v>
      </c>
      <c r="Y102" s="127">
        <f>(C102-(N102*(1-'Future Type Share'!V41)))/'Future Type Share'!$V41</f>
        <v>0.41961452816914785</v>
      </c>
      <c r="Z102" s="127">
        <f>(D102-(O102*(1-'Future Type Share'!$V41)))/'Future Type Share'!$V41</f>
        <v>6.297033275404508E-2</v>
      </c>
      <c r="AA102" s="127">
        <f>(E102-(P102*(1-'Future Type Share'!$V41)))/'Future Type Share'!$V41</f>
        <v>6.6940822973172928E-2</v>
      </c>
      <c r="AB102" s="127">
        <f>(F102-(Q102*(1-'Future Type Share'!$V41)))/'Future Type Share'!$V41</f>
        <v>0.12089862525966445</v>
      </c>
      <c r="AC102" s="127">
        <f>(G102-(R102*(1-'Future Type Share'!$V41)))/'Future Type Share'!$V41</f>
        <v>0.13862367123261601</v>
      </c>
      <c r="AD102" s="127">
        <f>(H102-(S102*(1-'Future Type Share'!$V41)))/'Future Type Share'!$V41</f>
        <v>9.1089124002899202E-2</v>
      </c>
      <c r="AE102" s="127">
        <f>(I102-(T102*(1-'Future Type Share'!$V41)))/'Future Type Share'!$V41</f>
        <v>9.9862895608454488E-2</v>
      </c>
      <c r="AF102" s="27">
        <f t="shared" si="21"/>
        <v>0.99999999999999989</v>
      </c>
    </row>
    <row r="103" spans="2:32" s="103" customFormat="1">
      <c r="B103" s="23">
        <v>2041</v>
      </c>
      <c r="C103" s="127">
        <f t="shared" si="25"/>
        <v>0.34200797498464197</v>
      </c>
      <c r="D103" s="127">
        <f t="shared" si="26"/>
        <v>0.13785054770556293</v>
      </c>
      <c r="E103" s="26">
        <f t="shared" si="27"/>
        <v>5.3698711083207153E-2</v>
      </c>
      <c r="F103" s="127">
        <f t="shared" si="27"/>
        <v>9.6982679026480043E-2</v>
      </c>
      <c r="G103" s="127">
        <f t="shared" si="27"/>
        <v>0.11120138863241866</v>
      </c>
      <c r="H103" s="127">
        <f t="shared" si="28"/>
        <v>0.17718506815131718</v>
      </c>
      <c r="I103" s="127">
        <f t="shared" si="22"/>
        <v>8.1073630416372056E-2</v>
      </c>
      <c r="J103" s="27">
        <f t="shared" si="23"/>
        <v>1</v>
      </c>
      <c r="M103" s="23">
        <v>2041</v>
      </c>
      <c r="N103" s="54">
        <f t="shared" si="31"/>
        <v>0</v>
      </c>
      <c r="O103" s="54">
        <f t="shared" si="31"/>
        <v>0.45435412803081321</v>
      </c>
      <c r="P103" s="54">
        <f t="shared" si="31"/>
        <v>0</v>
      </c>
      <c r="Q103" s="54">
        <f t="shared" si="31"/>
        <v>0</v>
      </c>
      <c r="R103" s="54">
        <f t="shared" si="31"/>
        <v>0</v>
      </c>
      <c r="S103" s="54">
        <f t="shared" si="29"/>
        <v>0.54269285924112354</v>
      </c>
      <c r="T103" s="54">
        <f t="shared" si="31"/>
        <v>2.9530127280632378E-3</v>
      </c>
      <c r="U103" s="27">
        <f t="shared" si="30"/>
        <v>1</v>
      </c>
      <c r="V103" s="26"/>
      <c r="X103" s="23">
        <v>2041</v>
      </c>
      <c r="Y103" s="127">
        <f>(C103-(N103*(1-'Future Type Share'!V42)))/'Future Type Share'!$V42</f>
        <v>0.42413615838005236</v>
      </c>
      <c r="Z103" s="127">
        <f>(D103-(O103*(1-'Future Type Share'!$V42)))/'Future Type Share'!$V42</f>
        <v>6.184686945383961E-2</v>
      </c>
      <c r="AA103" s="127">
        <f>(E103-(P103*(1-'Future Type Share'!$V42)))/'Future Type Share'!$V42</f>
        <v>6.6593666506795851E-2</v>
      </c>
      <c r="AB103" s="127">
        <f>(F103-(Q103*(1-'Future Type Share'!$V42)))/'Future Type Share'!$V42</f>
        <v>0.12027164253565742</v>
      </c>
      <c r="AC103" s="127">
        <f>(G103-(R103*(1-'Future Type Share'!$V42)))/'Future Type Share'!$V42</f>
        <v>0.13790476606049676</v>
      </c>
      <c r="AD103" s="127">
        <f>(H103-(S103*(1-'Future Type Share'!$V42)))/'Future Type Share'!$V42</f>
        <v>8.9413749659627131E-2</v>
      </c>
      <c r="AE103" s="127">
        <f>(I103-(T103*(1-'Future Type Share'!$V42)))/'Future Type Share'!$V42</f>
        <v>9.9833147403530845E-2</v>
      </c>
      <c r="AF103" s="27">
        <f t="shared" si="21"/>
        <v>0.99999999999999989</v>
      </c>
    </row>
    <row r="104" spans="2:32" s="103" customFormat="1">
      <c r="B104" s="23">
        <v>2042</v>
      </c>
      <c r="C104" s="127">
        <f t="shared" si="25"/>
        <v>0.34740880482704983</v>
      </c>
      <c r="D104" s="127">
        <f t="shared" si="26"/>
        <v>0.13540505402574698</v>
      </c>
      <c r="E104" s="26">
        <f t="shared" si="27"/>
        <v>5.3698711083207153E-2</v>
      </c>
      <c r="F104" s="127">
        <f t="shared" si="27"/>
        <v>9.6982679026480043E-2</v>
      </c>
      <c r="G104" s="127">
        <f t="shared" si="27"/>
        <v>0.11120138863241866</v>
      </c>
      <c r="H104" s="127">
        <f t="shared" si="28"/>
        <v>0.17384902425721105</v>
      </c>
      <c r="I104" s="127">
        <f t="shared" si="22"/>
        <v>8.1454338147886274E-2</v>
      </c>
      <c r="J104" s="27">
        <f t="shared" si="23"/>
        <v>1</v>
      </c>
      <c r="M104" s="23">
        <v>2042</v>
      </c>
      <c r="N104" s="54">
        <f t="shared" si="31"/>
        <v>0</v>
      </c>
      <c r="O104" s="54">
        <f t="shared" si="31"/>
        <v>0.45484509474844703</v>
      </c>
      <c r="P104" s="54">
        <f t="shared" si="31"/>
        <v>0</v>
      </c>
      <c r="Q104" s="54">
        <f t="shared" si="31"/>
        <v>0</v>
      </c>
      <c r="R104" s="54">
        <f t="shared" si="31"/>
        <v>0</v>
      </c>
      <c r="S104" s="54">
        <f t="shared" si="29"/>
        <v>0.54220474316143419</v>
      </c>
      <c r="T104" s="54">
        <f t="shared" si="31"/>
        <v>2.9501620901187511E-3</v>
      </c>
      <c r="U104" s="27">
        <f t="shared" si="30"/>
        <v>1</v>
      </c>
      <c r="V104" s="26"/>
      <c r="X104" s="23">
        <v>2042</v>
      </c>
      <c r="Y104" s="127">
        <f>(C104-(N104*(1-'Future Type Share'!V43)))/'Future Type Share'!$V43</f>
        <v>0.42861113202081097</v>
      </c>
      <c r="Z104" s="127">
        <f>(D104-(O104*(1-'Future Type Share'!$V43)))/'Future Type Share'!$V43</f>
        <v>6.0740064695766142E-2</v>
      </c>
      <c r="AA104" s="127">
        <f>(E104-(P104*(1-'Future Type Share'!$V43)))/'Future Type Share'!$V43</f>
        <v>6.6250092184306761E-2</v>
      </c>
      <c r="AB104" s="127">
        <f>(F104-(Q104*(1-'Future Type Share'!$V43)))/'Future Type Share'!$V43</f>
        <v>0.11965112935074934</v>
      </c>
      <c r="AC104" s="127">
        <f>(G104-(R104*(1-'Future Type Share'!$V43)))/'Future Type Share'!$V43</f>
        <v>0.13719327893187597</v>
      </c>
      <c r="AD104" s="127">
        <f>(H104-(S104*(1-'Future Type Share'!$V43)))/'Future Type Share'!$V43</f>
        <v>8.775062607457268E-2</v>
      </c>
      <c r="AE104" s="127">
        <f>(I104-(T104*(1-'Future Type Share'!$V43)))/'Future Type Share'!$V43</f>
        <v>9.9803676741918146E-2</v>
      </c>
      <c r="AF104" s="27">
        <f t="shared" si="21"/>
        <v>1</v>
      </c>
    </row>
    <row r="105" spans="2:32" s="103" customFormat="1">
      <c r="B105" s="23">
        <v>2043</v>
      </c>
      <c r="C105" s="127">
        <f t="shared" si="25"/>
        <v>0.35280963466945858</v>
      </c>
      <c r="D105" s="127">
        <f t="shared" si="26"/>
        <v>0.13295956034593104</v>
      </c>
      <c r="E105" s="26">
        <f t="shared" si="27"/>
        <v>5.3698711083207153E-2</v>
      </c>
      <c r="F105" s="127">
        <f t="shared" si="27"/>
        <v>9.6982679026480043E-2</v>
      </c>
      <c r="G105" s="127">
        <f t="shared" si="27"/>
        <v>0.11120138863241866</v>
      </c>
      <c r="H105" s="127">
        <f t="shared" si="28"/>
        <v>0.17051298036310403</v>
      </c>
      <c r="I105" s="127">
        <f t="shared" si="22"/>
        <v>8.1835045879400492E-2</v>
      </c>
      <c r="J105" s="27">
        <f t="shared" si="23"/>
        <v>1</v>
      </c>
      <c r="M105" s="23">
        <v>2043</v>
      </c>
      <c r="N105" s="54">
        <f t="shared" si="31"/>
        <v>0</v>
      </c>
      <c r="O105" s="54">
        <f t="shared" si="31"/>
        <v>0.45533606146608085</v>
      </c>
      <c r="P105" s="54">
        <f t="shared" si="31"/>
        <v>0</v>
      </c>
      <c r="Q105" s="54">
        <f t="shared" si="31"/>
        <v>0</v>
      </c>
      <c r="R105" s="54">
        <f t="shared" si="31"/>
        <v>0</v>
      </c>
      <c r="S105" s="54">
        <f t="shared" si="29"/>
        <v>0.54171662708174484</v>
      </c>
      <c r="T105" s="54">
        <f t="shared" si="31"/>
        <v>2.9473114521742644E-3</v>
      </c>
      <c r="U105" s="27">
        <f t="shared" si="30"/>
        <v>1</v>
      </c>
      <c r="V105" s="26"/>
      <c r="X105" s="23">
        <v>2043</v>
      </c>
      <c r="Y105" s="127">
        <f>(C105-(N105*(1-'Future Type Share'!V44)))/'Future Type Share'!$V44</f>
        <v>0.43304016752555752</v>
      </c>
      <c r="Z105" s="127">
        <f>(D105-(O105*(1-'Future Type Share'!$V44)))/'Future Type Share'!$V44</f>
        <v>5.9649661965785188E-2</v>
      </c>
      <c r="AA105" s="127">
        <f>(E105-(P105*(1-'Future Type Share'!$V44)))/'Future Type Share'!$V44</f>
        <v>6.5910044846605551E-2</v>
      </c>
      <c r="AB105" s="127">
        <f>(F105-(Q105*(1-'Future Type Share'!$V44)))/'Future Type Share'!$V44</f>
        <v>0.11903698608472227</v>
      </c>
      <c r="AC105" s="127">
        <f>(G105-(R105*(1-'Future Type Share'!$V44)))/'Future Type Share'!$V44</f>
        <v>0.13648909562113434</v>
      </c>
      <c r="AD105" s="127">
        <f>(H105-(S105*(1-'Future Type Share'!$V44)))/'Future Type Share'!$V44</f>
        <v>8.6099564606287232E-2</v>
      </c>
      <c r="AE105" s="127">
        <f>(I105-(T105*(1-'Future Type Share'!$V44)))/'Future Type Share'!$V44</f>
        <v>9.9774479349907907E-2</v>
      </c>
      <c r="AF105" s="27">
        <f t="shared" si="21"/>
        <v>0.99999999999999989</v>
      </c>
    </row>
    <row r="106" spans="2:32" s="103" customFormat="1">
      <c r="B106" s="23">
        <v>2044</v>
      </c>
      <c r="C106" s="127">
        <f t="shared" si="25"/>
        <v>0.35821046451186644</v>
      </c>
      <c r="D106" s="127">
        <f t="shared" si="26"/>
        <v>0.13051406666611509</v>
      </c>
      <c r="E106" s="26">
        <f t="shared" si="27"/>
        <v>5.3698711083207153E-2</v>
      </c>
      <c r="F106" s="127">
        <f t="shared" si="27"/>
        <v>9.6982679026480043E-2</v>
      </c>
      <c r="G106" s="127">
        <f t="shared" si="27"/>
        <v>0.11120138863241866</v>
      </c>
      <c r="H106" s="127">
        <f t="shared" si="28"/>
        <v>0.16717693646899789</v>
      </c>
      <c r="I106" s="127">
        <f t="shared" si="22"/>
        <v>8.221575361091471E-2</v>
      </c>
      <c r="J106" s="27">
        <f t="shared" si="23"/>
        <v>1</v>
      </c>
      <c r="M106" s="23">
        <v>2044</v>
      </c>
      <c r="N106" s="54">
        <f t="shared" si="31"/>
        <v>0</v>
      </c>
      <c r="O106" s="54">
        <f t="shared" si="31"/>
        <v>0.45582702818371468</v>
      </c>
      <c r="P106" s="54">
        <f t="shared" si="31"/>
        <v>0</v>
      </c>
      <c r="Q106" s="54">
        <f t="shared" si="31"/>
        <v>0</v>
      </c>
      <c r="R106" s="54">
        <f t="shared" si="31"/>
        <v>0</v>
      </c>
      <c r="S106" s="54">
        <f t="shared" si="29"/>
        <v>0.54122851100205549</v>
      </c>
      <c r="T106" s="54">
        <f t="shared" si="31"/>
        <v>2.9444608142297785E-3</v>
      </c>
      <c r="U106" s="27">
        <f t="shared" si="30"/>
        <v>1</v>
      </c>
      <c r="V106" s="26"/>
      <c r="X106" s="23">
        <v>2044</v>
      </c>
      <c r="Y106" s="127">
        <f>(C106-(N106*(1-'Future Type Share'!V45)))/'Future Type Share'!$V45</f>
        <v>0.43742396865347827</v>
      </c>
      <c r="Z106" s="127">
        <f>(D106-(O106*(1-'Future Type Share'!$V45)))/'Future Type Share'!$V45</f>
        <v>5.8575409989487674E-2</v>
      </c>
      <c r="AA106" s="127">
        <f>(E106-(P106*(1-'Future Type Share'!$V45)))/'Future Type Share'!$V45</f>
        <v>6.5573470461287628E-2</v>
      </c>
      <c r="AB106" s="127">
        <f>(F106-(Q106*(1-'Future Type Share'!$V45)))/'Future Type Share'!$V45</f>
        <v>0.11842911515222923</v>
      </c>
      <c r="AC106" s="127">
        <f>(G106-(R106*(1-'Future Type Share'!$V45)))/'Future Type Share'!$V45</f>
        <v>0.13579210423585766</v>
      </c>
      <c r="AD106" s="127">
        <f>(H106-(S106*(1-'Future Type Share'!$V45)))/'Future Type Share'!$V45</f>
        <v>8.4460380466572005E-2</v>
      </c>
      <c r="AE106" s="127">
        <f>(I106-(T106*(1-'Future Type Share'!$V45)))/'Future Type Share'!$V45</f>
        <v>9.9745551041087524E-2</v>
      </c>
      <c r="AF106" s="27">
        <f t="shared" si="21"/>
        <v>0.99999999999999989</v>
      </c>
    </row>
    <row r="107" spans="2:32" s="103" customFormat="1">
      <c r="B107" s="23">
        <v>2045</v>
      </c>
      <c r="C107" s="127">
        <f t="shared" si="25"/>
        <v>0.36361129435427608</v>
      </c>
      <c r="D107" s="127">
        <f t="shared" si="26"/>
        <v>0.12806857298629826</v>
      </c>
      <c r="E107" s="26">
        <f t="shared" si="27"/>
        <v>5.3698711083207153E-2</v>
      </c>
      <c r="F107" s="127">
        <f t="shared" si="27"/>
        <v>9.6982679026480043E-2</v>
      </c>
      <c r="G107" s="127">
        <f t="shared" si="27"/>
        <v>0.11120138863241866</v>
      </c>
      <c r="H107" s="127">
        <f t="shared" si="28"/>
        <v>0.16384089257489087</v>
      </c>
      <c r="I107" s="127">
        <f t="shared" si="22"/>
        <v>8.2596461342428928E-2</v>
      </c>
      <c r="J107" s="27">
        <f t="shared" si="23"/>
        <v>1</v>
      </c>
      <c r="M107" s="23">
        <v>2045</v>
      </c>
      <c r="N107" s="54">
        <f t="shared" si="31"/>
        <v>0</v>
      </c>
      <c r="O107" s="54">
        <f t="shared" si="31"/>
        <v>0.4563179949013485</v>
      </c>
      <c r="P107" s="54">
        <f t="shared" si="31"/>
        <v>0</v>
      </c>
      <c r="Q107" s="54">
        <f t="shared" si="31"/>
        <v>0</v>
      </c>
      <c r="R107" s="54">
        <f t="shared" si="31"/>
        <v>0</v>
      </c>
      <c r="S107" s="54">
        <f t="shared" si="29"/>
        <v>0.54074039492236625</v>
      </c>
      <c r="T107" s="54">
        <f t="shared" si="31"/>
        <v>2.9416101762852918E-3</v>
      </c>
      <c r="U107" s="27">
        <f t="shared" si="30"/>
        <v>1</v>
      </c>
      <c r="V107" s="26"/>
      <c r="X107" s="23">
        <v>2045</v>
      </c>
      <c r="Y107" s="127">
        <f>(C107-(N107*(1-'Future Type Share'!V46)))/'Future Type Share'!$V46</f>
        <v>0.44176322486161235</v>
      </c>
      <c r="Z107" s="127">
        <f>(D107-(O107*(1-'Future Type Share'!$V46)))/'Future Type Share'!$V46</f>
        <v>5.7517062598990025E-2</v>
      </c>
      <c r="AA107" s="127">
        <f>(E107-(P107*(1-'Future Type Share'!$V46)))/'Future Type Share'!$V46</f>
        <v>6.5240316094022408E-2</v>
      </c>
      <c r="AB107" s="127">
        <f>(F107-(Q107*(1-'Future Type Share'!$V46)))/'Future Type Share'!$V46</f>
        <v>0.11782742095110235</v>
      </c>
      <c r="AC107" s="127">
        <f>(G107-(R107*(1-'Future Type Share'!$V46)))/'Future Type Share'!$V46</f>
        <v>0.13510219515756633</v>
      </c>
      <c r="AD107" s="127">
        <f>(H107-(S107*(1-'Future Type Share'!$V46)))/'Future Type Share'!$V46</f>
        <v>8.2832892622583809E-2</v>
      </c>
      <c r="AE107" s="127">
        <f>(I107-(T107*(1-'Future Type Share'!$V46)))/'Future Type Share'!$V46</f>
        <v>9.9716887714122737E-2</v>
      </c>
      <c r="AF107" s="27">
        <f t="shared" si="21"/>
        <v>1</v>
      </c>
    </row>
    <row r="108" spans="2:32" s="103" customFormat="1">
      <c r="B108" s="23">
        <v>2046</v>
      </c>
      <c r="C108" s="127">
        <f t="shared" si="25"/>
        <v>0.36901212419668394</v>
      </c>
      <c r="D108" s="127">
        <f t="shared" si="26"/>
        <v>0.12562307930648231</v>
      </c>
      <c r="E108" s="26">
        <f t="shared" si="27"/>
        <v>5.3698711083207153E-2</v>
      </c>
      <c r="F108" s="127">
        <f t="shared" si="27"/>
        <v>9.6982679026480043E-2</v>
      </c>
      <c r="G108" s="127">
        <f t="shared" si="27"/>
        <v>0.11120138863241866</v>
      </c>
      <c r="H108" s="127">
        <f t="shared" si="28"/>
        <v>0.16050484868078474</v>
      </c>
      <c r="I108" s="127">
        <f t="shared" si="22"/>
        <v>8.2977169073943147E-2</v>
      </c>
      <c r="J108" s="27">
        <f t="shared" si="23"/>
        <v>1</v>
      </c>
      <c r="M108" s="23">
        <v>2046</v>
      </c>
      <c r="N108" s="54">
        <f t="shared" si="31"/>
        <v>0</v>
      </c>
      <c r="O108" s="54">
        <f t="shared" si="31"/>
        <v>0.45680896161898232</v>
      </c>
      <c r="P108" s="54">
        <f t="shared" si="31"/>
        <v>0</v>
      </c>
      <c r="Q108" s="54">
        <f t="shared" si="31"/>
        <v>0</v>
      </c>
      <c r="R108" s="54">
        <f t="shared" si="31"/>
        <v>0</v>
      </c>
      <c r="S108" s="54">
        <f t="shared" si="29"/>
        <v>0.5402522788426769</v>
      </c>
      <c r="T108" s="54">
        <f t="shared" si="31"/>
        <v>2.9387595383408051E-3</v>
      </c>
      <c r="U108" s="27">
        <f t="shared" si="30"/>
        <v>1</v>
      </c>
      <c r="V108" s="26"/>
      <c r="X108" s="23">
        <v>2046</v>
      </c>
      <c r="Y108" s="127">
        <f>(C108-(N108*(1-'Future Type Share'!V47)))/'Future Type Share'!$V47</f>
        <v>0.44605861166632133</v>
      </c>
      <c r="Z108" s="127">
        <f>(D108-(O108*(1-'Future Type Share'!$V47)))/'Future Type Share'!$V47</f>
        <v>5.6474378603872367E-2</v>
      </c>
      <c r="AA108" s="127">
        <f>(E108-(P108*(1-'Future Type Share'!$V47)))/'Future Type Share'!$V47</f>
        <v>6.4910529880799858E-2</v>
      </c>
      <c r="AB108" s="127">
        <f>(F108-(Q108*(1-'Future Type Share'!$V47)))/'Future Type Share'!$V47</f>
        <v>0.11723180981222864</v>
      </c>
      <c r="AC108" s="127">
        <f>(G108-(R108*(1-'Future Type Share'!$V47)))/'Future Type Share'!$V47</f>
        <v>0.13441926098424234</v>
      </c>
      <c r="AD108" s="127">
        <f>(H108-(S108*(1-'Future Type Share'!$V47)))/'Future Type Share'!$V47</f>
        <v>8.1216923701928068E-2</v>
      </c>
      <c r="AE108" s="127">
        <f>(I108-(T108*(1-'Future Type Share'!$V47)))/'Future Type Share'!$V47</f>
        <v>9.9688485350607384E-2</v>
      </c>
      <c r="AF108" s="27">
        <f t="shared" si="21"/>
        <v>0.99999999999999989</v>
      </c>
    </row>
    <row r="109" spans="2:32" s="103" customFormat="1">
      <c r="B109" s="23">
        <v>2047</v>
      </c>
      <c r="C109" s="127">
        <f t="shared" si="25"/>
        <v>0.37441295403909269</v>
      </c>
      <c r="D109" s="127">
        <f t="shared" si="26"/>
        <v>0.12317758562666636</v>
      </c>
      <c r="E109" s="26">
        <f t="shared" si="27"/>
        <v>5.3698711083207153E-2</v>
      </c>
      <c r="F109" s="127">
        <f t="shared" si="27"/>
        <v>9.6982679026480043E-2</v>
      </c>
      <c r="G109" s="127">
        <f t="shared" si="27"/>
        <v>0.11120138863241866</v>
      </c>
      <c r="H109" s="127">
        <f t="shared" si="28"/>
        <v>0.15716880478667772</v>
      </c>
      <c r="I109" s="127">
        <f t="shared" si="22"/>
        <v>8.3357876805457365E-2</v>
      </c>
      <c r="J109" s="27">
        <f t="shared" si="23"/>
        <v>1</v>
      </c>
      <c r="M109" s="23">
        <v>2047</v>
      </c>
      <c r="N109" s="54">
        <f t="shared" si="31"/>
        <v>0</v>
      </c>
      <c r="O109" s="54">
        <f t="shared" si="31"/>
        <v>0.45729992833661615</v>
      </c>
      <c r="P109" s="54">
        <f t="shared" si="31"/>
        <v>0</v>
      </c>
      <c r="Q109" s="54">
        <f t="shared" si="31"/>
        <v>0</v>
      </c>
      <c r="R109" s="54">
        <f t="shared" si="31"/>
        <v>0</v>
      </c>
      <c r="S109" s="54">
        <f t="shared" si="29"/>
        <v>0.53976416276298755</v>
      </c>
      <c r="T109" s="54">
        <f t="shared" si="31"/>
        <v>2.9359089003963184E-3</v>
      </c>
      <c r="U109" s="27">
        <f t="shared" si="30"/>
        <v>1</v>
      </c>
      <c r="V109" s="26"/>
      <c r="X109" s="23">
        <v>2047</v>
      </c>
      <c r="Y109" s="127">
        <f>(C109-(N109*(1-'Future Type Share'!V48)))/'Future Type Share'!$V48</f>
        <v>0.45031079099387927</v>
      </c>
      <c r="Z109" s="127">
        <f>(D109-(O109*(1-'Future Type Share'!$V48)))/'Future Type Share'!$V48</f>
        <v>5.5447121666000833E-2</v>
      </c>
      <c r="AA109" s="127">
        <f>(E109-(P109*(1-'Future Type Share'!$V48)))/'Future Type Share'!$V48</f>
        <v>6.4584061001014506E-2</v>
      </c>
      <c r="AB109" s="127">
        <f>(F109-(Q109*(1-'Future Type Share'!$V48)))/'Future Type Share'!$V48</f>
        <v>0.11664218995093817</v>
      </c>
      <c r="AC109" s="127">
        <f>(G109-(R109*(1-'Future Type Share'!$V48)))/'Future Type Share'!$V48</f>
        <v>0.13374319647459057</v>
      </c>
      <c r="AD109" s="127">
        <f>(H109-(S109*(1-'Future Type Share'!$V48)))/'Future Type Share'!$V48</f>
        <v>7.9612299900598732E-2</v>
      </c>
      <c r="AE109" s="127">
        <f>(I109-(T109*(1-'Future Type Share'!$V48)))/'Future Type Share'!$V48</f>
        <v>9.9660340012977938E-2</v>
      </c>
      <c r="AF109" s="27">
        <f t="shared" si="21"/>
        <v>1</v>
      </c>
    </row>
    <row r="110" spans="2:32" s="103" customFormat="1">
      <c r="B110" s="23">
        <v>2048</v>
      </c>
      <c r="C110" s="127">
        <f t="shared" si="25"/>
        <v>0.37981378388150056</v>
      </c>
      <c r="D110" s="127">
        <f t="shared" si="26"/>
        <v>0.12073209194685042</v>
      </c>
      <c r="E110" s="26">
        <f t="shared" si="27"/>
        <v>5.3698711083207153E-2</v>
      </c>
      <c r="F110" s="127">
        <f t="shared" si="27"/>
        <v>9.6982679026480043E-2</v>
      </c>
      <c r="G110" s="127">
        <f t="shared" si="27"/>
        <v>0.11120138863241866</v>
      </c>
      <c r="H110" s="127">
        <f t="shared" si="28"/>
        <v>0.15383276089257159</v>
      </c>
      <c r="I110" s="127">
        <f t="shared" si="22"/>
        <v>8.3738584536971583E-2</v>
      </c>
      <c r="J110" s="27">
        <f t="shared" si="23"/>
        <v>1</v>
      </c>
      <c r="M110" s="23">
        <v>2048</v>
      </c>
      <c r="N110" s="54">
        <f t="shared" si="31"/>
        <v>0</v>
      </c>
      <c r="O110" s="54">
        <f t="shared" si="31"/>
        <v>0.45779089505424997</v>
      </c>
      <c r="P110" s="54">
        <f t="shared" si="31"/>
        <v>0</v>
      </c>
      <c r="Q110" s="54">
        <f t="shared" si="31"/>
        <v>0</v>
      </c>
      <c r="R110" s="54">
        <f t="shared" si="31"/>
        <v>0</v>
      </c>
      <c r="S110" s="54">
        <f t="shared" si="29"/>
        <v>0.5392760466832982</v>
      </c>
      <c r="T110" s="54">
        <f t="shared" si="31"/>
        <v>2.9330582624518316E-3</v>
      </c>
      <c r="U110" s="27">
        <f t="shared" si="30"/>
        <v>1</v>
      </c>
      <c r="V110" s="26"/>
      <c r="X110" s="23">
        <v>2048</v>
      </c>
      <c r="Y110" s="127">
        <f>(C110-(N110*(1-'Future Type Share'!V49)))/'Future Type Share'!$V49</f>
        <v>0.45452041152050759</v>
      </c>
      <c r="Z110" s="127">
        <f>(D110-(O110*(1-'Future Type Share'!$V49)))/'Future Type Share'!$V49</f>
        <v>5.4435060178119131E-2</v>
      </c>
      <c r="AA110" s="127">
        <f>(E110-(P110*(1-'Future Type Share'!$V49)))/'Future Type Share'!$V49</f>
        <v>6.4260859651357555E-2</v>
      </c>
      <c r="AB110" s="127">
        <f>(F110-(Q110*(1-'Future Type Share'!$V49)))/'Future Type Share'!$V49</f>
        <v>0.11605847141985208</v>
      </c>
      <c r="AC110" s="127">
        <f>(G110-(R110*(1-'Future Type Share'!$V49)))/'Future Type Share'!$V49</f>
        <v>0.13307389849397358</v>
      </c>
      <c r="AD110" s="127">
        <f>(H110-(S110*(1-'Future Type Share'!$V49)))/'Future Type Share'!$V49</f>
        <v>7.8018850893699393E-2</v>
      </c>
      <c r="AE110" s="127">
        <f>(I110-(T110*(1-'Future Type Share'!$V49)))/'Future Type Share'!$V49</f>
        <v>9.9632447842490687E-2</v>
      </c>
      <c r="AF110" s="27">
        <f t="shared" si="21"/>
        <v>1</v>
      </c>
    </row>
    <row r="111" spans="2:32" s="103" customFormat="1">
      <c r="B111" s="23">
        <v>2049</v>
      </c>
      <c r="C111" s="127">
        <f t="shared" si="25"/>
        <v>0.38521461372390842</v>
      </c>
      <c r="D111" s="127">
        <f t="shared" si="26"/>
        <v>0.11828659826703447</v>
      </c>
      <c r="E111" s="26">
        <f t="shared" si="27"/>
        <v>5.3698711083207153E-2</v>
      </c>
      <c r="F111" s="127">
        <f t="shared" si="27"/>
        <v>9.6982679026480043E-2</v>
      </c>
      <c r="G111" s="127">
        <f t="shared" si="27"/>
        <v>0.11120138863241866</v>
      </c>
      <c r="H111" s="127">
        <f t="shared" si="28"/>
        <v>0.15049671699846545</v>
      </c>
      <c r="I111" s="127">
        <f t="shared" si="22"/>
        <v>8.4119292268485801E-2</v>
      </c>
      <c r="J111" s="27">
        <f t="shared" si="23"/>
        <v>1</v>
      </c>
      <c r="M111" s="23">
        <v>2049</v>
      </c>
      <c r="N111" s="54">
        <f t="shared" si="31"/>
        <v>0</v>
      </c>
      <c r="O111" s="54">
        <f t="shared" si="31"/>
        <v>0.45828186177188379</v>
      </c>
      <c r="P111" s="54">
        <f t="shared" si="31"/>
        <v>0</v>
      </c>
      <c r="Q111" s="54">
        <f t="shared" si="31"/>
        <v>0</v>
      </c>
      <c r="R111" s="54">
        <f t="shared" si="31"/>
        <v>0</v>
      </c>
      <c r="S111" s="54">
        <f t="shared" si="29"/>
        <v>0.53878793060360886</v>
      </c>
      <c r="T111" s="54">
        <f t="shared" si="31"/>
        <v>2.9302076245073449E-3</v>
      </c>
      <c r="U111" s="27">
        <f t="shared" si="30"/>
        <v>1</v>
      </c>
      <c r="V111" s="26"/>
      <c r="X111" s="23">
        <v>2049</v>
      </c>
      <c r="Y111" s="127">
        <f>(C111-(N111*(1-'Future Type Share'!V50)))/'Future Type Share'!$V50</f>
        <v>0.4586881090022723</v>
      </c>
      <c r="Z111" s="127">
        <f>(D111-(O111*(1-'Future Type Share'!$V50)))/'Future Type Share'!$V50</f>
        <v>5.3437967146062006E-2</v>
      </c>
      <c r="AA111" s="127">
        <f>(E111-(P111*(1-'Future Type Share'!$V50)))/'Future Type Share'!$V50</f>
        <v>6.3940877020489131E-2</v>
      </c>
      <c r="AB111" s="127">
        <f>(F111-(Q111*(1-'Future Type Share'!$V50)))/'Future Type Share'!$V50</f>
        <v>0.11548056606313924</v>
      </c>
      <c r="AC111" s="127">
        <f>(G111-(R111*(1-'Future Type Share'!$V50)))/'Future Type Share'!$V50</f>
        <v>0.13241126596196201</v>
      </c>
      <c r="AD111" s="127">
        <f>(H111-(S111*(1-'Future Type Share'!$V50)))/'Future Type Share'!$V50</f>
        <v>7.6436409748815992E-2</v>
      </c>
      <c r="AE111" s="127">
        <f>(I111-(T111*(1-'Future Type Share'!$V50)))/'Future Type Share'!$V50</f>
        <v>9.9604805057259327E-2</v>
      </c>
      <c r="AF111" s="27">
        <f t="shared" si="21"/>
        <v>1</v>
      </c>
    </row>
    <row r="112" spans="2:32" s="103" customFormat="1">
      <c r="B112" s="28">
        <v>2050</v>
      </c>
      <c r="C112" s="128">
        <f t="shared" si="25"/>
        <v>0.39061544356631717</v>
      </c>
      <c r="D112" s="128">
        <f t="shared" si="26"/>
        <v>0.11584110458721852</v>
      </c>
      <c r="E112" s="30">
        <f t="shared" si="27"/>
        <v>5.3698711083207153E-2</v>
      </c>
      <c r="F112" s="128">
        <f t="shared" si="27"/>
        <v>9.6982679026480043E-2</v>
      </c>
      <c r="G112" s="128">
        <f t="shared" si="27"/>
        <v>0.11120138863241866</v>
      </c>
      <c r="H112" s="128">
        <f t="shared" si="28"/>
        <v>0.14716067310435843</v>
      </c>
      <c r="I112" s="128">
        <f t="shared" si="22"/>
        <v>8.450000000000002E-2</v>
      </c>
      <c r="J112" s="31">
        <f t="shared" si="23"/>
        <v>1</v>
      </c>
      <c r="M112" s="28">
        <v>2050</v>
      </c>
      <c r="N112" s="55">
        <f t="shared" si="31"/>
        <v>0</v>
      </c>
      <c r="O112" s="55">
        <f t="shared" si="31"/>
        <v>0.45877282848951761</v>
      </c>
      <c r="P112" s="55">
        <f t="shared" si="31"/>
        <v>0</v>
      </c>
      <c r="Q112" s="55">
        <f t="shared" si="31"/>
        <v>0</v>
      </c>
      <c r="R112" s="55">
        <f t="shared" si="31"/>
        <v>0</v>
      </c>
      <c r="S112" s="55">
        <f t="shared" si="29"/>
        <v>0.53829981452391951</v>
      </c>
      <c r="T112" s="55">
        <f t="shared" si="31"/>
        <v>2.9273569865628582E-3</v>
      </c>
      <c r="U112" s="31">
        <f t="shared" si="30"/>
        <v>1</v>
      </c>
      <c r="V112" s="26"/>
      <c r="X112" s="28">
        <v>2050</v>
      </c>
      <c r="Y112" s="128">
        <f>(C112-(N112*(1-'Future Type Share'!V51)))/'Future Type Share'!$V51</f>
        <v>0.46281450659516238</v>
      </c>
      <c r="Z112" s="128">
        <f>(D112-(O112*(1-'Future Type Share'!$V51)))/'Future Type Share'!$V51</f>
        <v>5.2455620074471451E-2</v>
      </c>
      <c r="AA112" s="128">
        <f>(E112-(P112*(1-'Future Type Share'!$V51)))/'Future Type Share'!$V51</f>
        <v>6.3624065264463431E-2</v>
      </c>
      <c r="AB112" s="128">
        <f>(F112-(Q112*(1-'Future Type Share'!$V51)))/'Future Type Share'!$V51</f>
        <v>0.11490838747213271</v>
      </c>
      <c r="AC112" s="128">
        <f>(G112-(R112*(1-'Future Type Share'!$V51)))/'Future Type Share'!$V51</f>
        <v>0.13175519980144385</v>
      </c>
      <c r="AD112" s="128">
        <f>(H112-(S112*(1-'Future Type Share'!$V51)))/'Future Type Share'!$V51</f>
        <v>7.486481284197527E-2</v>
      </c>
      <c r="AE112" s="128">
        <f>(I112-(T112*(1-'Future Type Share'!$V51)))/'Future Type Share'!$V51</f>
        <v>9.957740795035093E-2</v>
      </c>
      <c r="AF112" s="31">
        <f t="shared" si="21"/>
        <v>1</v>
      </c>
    </row>
    <row r="113" spans="1:43" s="103" customFormat="1">
      <c r="B113" s="24"/>
      <c r="C113" s="1"/>
      <c r="D113" s="1"/>
      <c r="E113" s="26"/>
      <c r="F113" s="1"/>
      <c r="H113" s="1"/>
      <c r="I113" s="1"/>
      <c r="J113" s="26"/>
      <c r="X113" s="24"/>
      <c r="Y113" s="1"/>
      <c r="Z113" s="1"/>
      <c r="AA113" s="26"/>
      <c r="AB113" s="1"/>
      <c r="AC113" s="1"/>
      <c r="AD113" s="1"/>
      <c r="AE113" s="26"/>
      <c r="AF113" s="26"/>
      <c r="AG113" s="26"/>
      <c r="AI113" s="24"/>
      <c r="AJ113" s="1"/>
      <c r="AK113" s="1"/>
      <c r="AL113" s="1"/>
      <c r="AM113" s="1"/>
      <c r="AO113" s="1"/>
      <c r="AP113" s="26"/>
      <c r="AQ113" s="26"/>
    </row>
    <row r="114" spans="1:43" s="103" customFormat="1">
      <c r="B114" s="24">
        <v>2016</v>
      </c>
      <c r="C114" s="1"/>
      <c r="D114" s="1"/>
      <c r="E114" s="26"/>
      <c r="F114" s="1"/>
      <c r="G114" s="1"/>
      <c r="H114" s="1"/>
      <c r="I114" s="1">
        <f>I78</f>
        <v>6.4704361635336258E-2</v>
      </c>
      <c r="J114" s="26"/>
      <c r="X114" s="24"/>
      <c r="Y114" s="1"/>
      <c r="Z114" s="1"/>
      <c r="AA114" s="26"/>
      <c r="AB114" s="1"/>
      <c r="AC114" s="1"/>
      <c r="AD114" s="1"/>
      <c r="AE114" s="26"/>
      <c r="AF114" s="26"/>
      <c r="AG114" s="26"/>
      <c r="AH114" s="26"/>
      <c r="AI114" s="24"/>
      <c r="AJ114" s="1"/>
      <c r="AK114" s="17"/>
      <c r="AL114" s="26"/>
      <c r="AM114" s="26"/>
      <c r="AO114" s="1"/>
      <c r="AP114" s="26"/>
      <c r="AQ114" s="26"/>
    </row>
    <row r="115" spans="1:43" s="103" customFormat="1">
      <c r="B115" s="24">
        <v>2050</v>
      </c>
      <c r="D115" s="17"/>
      <c r="E115" s="26"/>
      <c r="F115" s="17"/>
      <c r="G115" s="17"/>
      <c r="H115" s="1"/>
      <c r="I115" s="17">
        <v>8.4500000000000006E-2</v>
      </c>
      <c r="AI115" s="24"/>
      <c r="AK115" s="17"/>
      <c r="AL115" s="26"/>
      <c r="AM115" s="1"/>
    </row>
    <row r="116" spans="1:43" s="103" customFormat="1">
      <c r="B116" s="24"/>
      <c r="D116" s="17"/>
      <c r="E116" s="17"/>
      <c r="F116" s="17"/>
      <c r="G116" s="17"/>
      <c r="H116" s="1"/>
      <c r="I116" s="17"/>
      <c r="AI116" s="24"/>
      <c r="AK116" s="17"/>
      <c r="AL116" s="26"/>
      <c r="AM116" s="1"/>
    </row>
    <row r="117" spans="1:43" s="68" customFormat="1">
      <c r="A117" s="189" t="s">
        <v>575</v>
      </c>
    </row>
    <row r="118" spans="1:43" s="103" customFormat="1">
      <c r="B118" s="164" t="s">
        <v>587</v>
      </c>
      <c r="C118" s="21"/>
      <c r="D118" s="21"/>
      <c r="E118" s="21"/>
      <c r="F118" s="21"/>
      <c r="G118" s="21"/>
      <c r="H118" s="21"/>
      <c r="I118" s="22"/>
      <c r="L118" s="164" t="s">
        <v>35</v>
      </c>
      <c r="M118" s="21"/>
      <c r="N118" s="21"/>
      <c r="O118" s="21"/>
      <c r="P118" s="21"/>
      <c r="Q118" s="21"/>
      <c r="R118" s="21"/>
      <c r="S118" s="22"/>
      <c r="T118" s="24"/>
      <c r="X118" s="550" t="s">
        <v>660</v>
      </c>
      <c r="Y118" s="21"/>
      <c r="Z118" s="21"/>
      <c r="AA118" s="21"/>
      <c r="AB118" s="21"/>
      <c r="AC118" s="21"/>
      <c r="AD118" s="21"/>
      <c r="AE118" s="22"/>
      <c r="AF118" s="24"/>
      <c r="AG118" s="24"/>
      <c r="AH118" s="24"/>
      <c r="AJ118" s="166" t="s">
        <v>661</v>
      </c>
      <c r="AK118" s="167"/>
      <c r="AL118" s="167"/>
      <c r="AM118" s="167"/>
      <c r="AN118" s="167"/>
      <c r="AO118" s="167"/>
      <c r="AP118" s="167"/>
      <c r="AQ118" s="168"/>
    </row>
    <row r="119" spans="1:43" s="103" customFormat="1">
      <c r="B119" s="23"/>
      <c r="C119" s="24" t="s">
        <v>21</v>
      </c>
      <c r="D119" s="24" t="s">
        <v>38</v>
      </c>
      <c r="E119" s="24" t="s">
        <v>28</v>
      </c>
      <c r="F119" s="24" t="s">
        <v>30</v>
      </c>
      <c r="G119" s="24" t="s">
        <v>31</v>
      </c>
      <c r="H119" s="24" t="s">
        <v>33</v>
      </c>
      <c r="I119" s="25" t="s">
        <v>36</v>
      </c>
      <c r="L119" s="23"/>
      <c r="M119" s="24" t="s">
        <v>21</v>
      </c>
      <c r="N119" s="24" t="s">
        <v>38</v>
      </c>
      <c r="O119" s="24" t="s">
        <v>28</v>
      </c>
      <c r="P119" s="24" t="s">
        <v>30</v>
      </c>
      <c r="Q119" s="24" t="s">
        <v>31</v>
      </c>
      <c r="R119" s="24" t="s">
        <v>33</v>
      </c>
      <c r="S119" s="25" t="s">
        <v>36</v>
      </c>
      <c r="X119" s="23"/>
      <c r="Y119" s="24" t="s">
        <v>21</v>
      </c>
      <c r="Z119" s="24" t="s">
        <v>38</v>
      </c>
      <c r="AA119" s="24" t="s">
        <v>28</v>
      </c>
      <c r="AB119" s="24" t="s">
        <v>30</v>
      </c>
      <c r="AC119" s="24" t="s">
        <v>31</v>
      </c>
      <c r="AD119" s="24" t="s">
        <v>33</v>
      </c>
      <c r="AE119" s="25" t="s">
        <v>36</v>
      </c>
      <c r="AJ119" s="169"/>
      <c r="AK119" s="127" t="s">
        <v>43</v>
      </c>
      <c r="AL119" s="127" t="s">
        <v>44</v>
      </c>
      <c r="AM119" s="127" t="s">
        <v>45</v>
      </c>
      <c r="AN119" s="127" t="s">
        <v>46</v>
      </c>
      <c r="AO119" s="127" t="s">
        <v>47</v>
      </c>
      <c r="AP119" s="127" t="s">
        <v>48</v>
      </c>
      <c r="AQ119" s="165" t="s">
        <v>49</v>
      </c>
    </row>
    <row r="120" spans="1:43" s="103" customFormat="1">
      <c r="B120" s="23">
        <v>2006</v>
      </c>
      <c r="C120" s="26">
        <v>0.27</v>
      </c>
      <c r="D120" s="26">
        <v>0.08</v>
      </c>
      <c r="E120" s="26">
        <v>0.15</v>
      </c>
      <c r="F120" s="26">
        <v>0.05</v>
      </c>
      <c r="G120" s="26">
        <v>0.15</v>
      </c>
      <c r="H120" s="26">
        <v>0.3</v>
      </c>
      <c r="I120" s="27">
        <f>SUM(C120:H120)</f>
        <v>1</v>
      </c>
      <c r="L120" s="23">
        <v>2006</v>
      </c>
      <c r="M120" s="26">
        <v>0.33</v>
      </c>
      <c r="N120" s="26">
        <v>0.05</v>
      </c>
      <c r="O120" s="26">
        <v>0.17</v>
      </c>
      <c r="P120" s="26">
        <v>0.06</v>
      </c>
      <c r="Q120" s="26">
        <v>0.06</v>
      </c>
      <c r="R120" s="26">
        <v>0.33</v>
      </c>
      <c r="S120" s="27">
        <f t="shared" ref="S120:S129" si="32">SUM(M120:R120)</f>
        <v>1.0000000000000002</v>
      </c>
      <c r="T120" s="24"/>
      <c r="X120" s="23">
        <v>2006</v>
      </c>
      <c r="Y120" s="54">
        <f>Commercial8EndUse!S45</f>
        <v>0</v>
      </c>
      <c r="Z120" s="54">
        <f>Commercial8EndUse!T45</f>
        <v>0.23077880109872348</v>
      </c>
      <c r="AA120" s="54">
        <f>Commercial8EndUse!U45</f>
        <v>4.9480799267517493E-2</v>
      </c>
      <c r="AB120" s="54">
        <f>Commercial8EndUse!V45</f>
        <v>-2.5960036624111591E-4</v>
      </c>
      <c r="AC120" s="54">
        <f>Commercial8EndUse!W45</f>
        <v>0.60233640329617055</v>
      </c>
      <c r="AD120" s="54">
        <f>Commercial8EndUse!X45</f>
        <v>0.11766359670382953</v>
      </c>
      <c r="AE120" s="551">
        <f>Commercial8EndUse!Y45</f>
        <v>1</v>
      </c>
      <c r="AJ120" s="170">
        <v>2006</v>
      </c>
      <c r="AK120" s="127">
        <v>0</v>
      </c>
      <c r="AL120" s="127">
        <v>0.23077880109872348</v>
      </c>
      <c r="AM120" s="127">
        <v>0</v>
      </c>
      <c r="AN120" s="127">
        <v>-2.5960036624111591E-4</v>
      </c>
      <c r="AO120" s="127">
        <f>1-AL120</f>
        <v>0.76922119890127649</v>
      </c>
      <c r="AP120" s="127">
        <v>0</v>
      </c>
      <c r="AQ120" s="165">
        <v>1</v>
      </c>
    </row>
    <row r="121" spans="1:43" s="103" customFormat="1">
      <c r="B121" s="23">
        <v>2007</v>
      </c>
      <c r="C121" s="26">
        <v>0.27</v>
      </c>
      <c r="D121" s="26">
        <v>0.06</v>
      </c>
      <c r="E121" s="26">
        <v>0.15</v>
      </c>
      <c r="F121" s="26">
        <v>0.04</v>
      </c>
      <c r="G121" s="26">
        <v>0.11</v>
      </c>
      <c r="H121" s="26">
        <v>0.37</v>
      </c>
      <c r="I121" s="27">
        <f t="shared" ref="I121:I164" si="33">SUM(C121:H121)</f>
        <v>1</v>
      </c>
      <c r="L121" s="23">
        <v>2007</v>
      </c>
      <c r="M121" s="32" t="s">
        <v>58</v>
      </c>
      <c r="N121" s="32"/>
      <c r="O121" s="32"/>
      <c r="P121" s="32"/>
      <c r="Q121" s="32"/>
      <c r="R121" s="32"/>
      <c r="S121" s="56"/>
      <c r="T121" s="24"/>
      <c r="X121" s="23">
        <v>2007</v>
      </c>
      <c r="Y121" s="667" t="str">
        <f>Commercial8EndUse!S46</f>
        <v>No data</v>
      </c>
      <c r="Z121" s="667"/>
      <c r="AA121" s="667"/>
      <c r="AB121" s="667"/>
      <c r="AC121" s="667"/>
      <c r="AD121" s="667"/>
      <c r="AE121" s="668"/>
      <c r="AJ121" s="170">
        <v>2007</v>
      </c>
      <c r="AK121" s="667" t="s">
        <v>663</v>
      </c>
      <c r="AL121" s="667"/>
      <c r="AM121" s="667"/>
      <c r="AN121" s="667"/>
      <c r="AO121" s="667"/>
      <c r="AP121" s="667"/>
      <c r="AQ121" s="668"/>
    </row>
    <row r="122" spans="1:43" s="103" customFormat="1">
      <c r="B122" s="23">
        <v>2008</v>
      </c>
      <c r="C122" s="26">
        <v>0.24</v>
      </c>
      <c r="D122" s="26">
        <v>0.1</v>
      </c>
      <c r="E122" s="26">
        <v>0.1</v>
      </c>
      <c r="F122" s="26">
        <v>0.05</v>
      </c>
      <c r="G122" s="26">
        <v>0.13</v>
      </c>
      <c r="H122" s="26">
        <v>0.38</v>
      </c>
      <c r="I122" s="27">
        <f t="shared" si="33"/>
        <v>0.99999999999999989</v>
      </c>
      <c r="L122" s="23">
        <v>2008</v>
      </c>
      <c r="M122" s="32"/>
      <c r="N122" s="32"/>
      <c r="O122" s="32"/>
      <c r="P122" s="32"/>
      <c r="Q122" s="32"/>
      <c r="R122" s="32"/>
      <c r="S122" s="56"/>
      <c r="T122" s="24"/>
      <c r="X122" s="23">
        <v>2008</v>
      </c>
      <c r="Y122" s="667"/>
      <c r="Z122" s="667"/>
      <c r="AA122" s="667"/>
      <c r="AB122" s="667"/>
      <c r="AC122" s="667"/>
      <c r="AD122" s="667"/>
      <c r="AE122" s="668"/>
      <c r="AG122" s="103" t="s">
        <v>75</v>
      </c>
      <c r="AJ122" s="170">
        <v>2008</v>
      </c>
      <c r="AK122" s="667"/>
      <c r="AL122" s="667"/>
      <c r="AM122" s="667"/>
      <c r="AN122" s="667"/>
      <c r="AO122" s="667"/>
      <c r="AP122" s="667"/>
      <c r="AQ122" s="668"/>
    </row>
    <row r="123" spans="1:43" s="103" customFormat="1">
      <c r="B123" s="23">
        <v>2009</v>
      </c>
      <c r="C123" s="26">
        <v>0.24</v>
      </c>
      <c r="D123" s="26">
        <v>0.1</v>
      </c>
      <c r="E123" s="26">
        <v>0.1</v>
      </c>
      <c r="F123" s="26">
        <v>0.05</v>
      </c>
      <c r="G123" s="26">
        <v>0.13</v>
      </c>
      <c r="H123" s="26">
        <v>0.38</v>
      </c>
      <c r="I123" s="27">
        <f t="shared" si="33"/>
        <v>0.99999999999999989</v>
      </c>
      <c r="L123" s="23">
        <v>2009</v>
      </c>
      <c r="M123" s="32"/>
      <c r="N123" s="32"/>
      <c r="O123" s="32"/>
      <c r="P123" s="32"/>
      <c r="Q123" s="32"/>
      <c r="R123" s="32"/>
      <c r="S123" s="56"/>
      <c r="T123" s="24"/>
      <c r="X123" s="23">
        <v>2009</v>
      </c>
      <c r="Y123" s="667"/>
      <c r="Z123" s="667"/>
      <c r="AA123" s="667"/>
      <c r="AB123" s="667"/>
      <c r="AC123" s="667"/>
      <c r="AD123" s="667"/>
      <c r="AE123" s="668"/>
      <c r="AG123" s="103" t="s">
        <v>74</v>
      </c>
      <c r="AJ123" s="170">
        <v>2009</v>
      </c>
      <c r="AK123" s="667"/>
      <c r="AL123" s="667"/>
      <c r="AM123" s="667"/>
      <c r="AN123" s="667"/>
      <c r="AO123" s="667"/>
      <c r="AP123" s="667"/>
      <c r="AQ123" s="668"/>
    </row>
    <row r="124" spans="1:43" s="103" customFormat="1">
      <c r="B124" s="23">
        <v>2010</v>
      </c>
      <c r="C124" s="26">
        <v>0.25</v>
      </c>
      <c r="D124" s="26">
        <v>0.1</v>
      </c>
      <c r="E124" s="26">
        <v>0.12</v>
      </c>
      <c r="F124" s="26">
        <v>0.05</v>
      </c>
      <c r="G124" s="26">
        <v>0.13</v>
      </c>
      <c r="H124" s="26">
        <v>0.35</v>
      </c>
      <c r="I124" s="27">
        <f t="shared" si="33"/>
        <v>1</v>
      </c>
      <c r="L124" s="23">
        <v>2010</v>
      </c>
      <c r="M124" s="32"/>
      <c r="N124" s="32"/>
      <c r="O124" s="32"/>
      <c r="P124" s="32"/>
      <c r="Q124" s="32"/>
      <c r="R124" s="32"/>
      <c r="S124" s="56"/>
      <c r="T124" s="24"/>
      <c r="X124" s="23">
        <v>2010</v>
      </c>
      <c r="Y124" s="667"/>
      <c r="Z124" s="667"/>
      <c r="AA124" s="667"/>
      <c r="AB124" s="667"/>
      <c r="AC124" s="667"/>
      <c r="AD124" s="667"/>
      <c r="AE124" s="668"/>
      <c r="AG124" s="103" t="s">
        <v>760</v>
      </c>
      <c r="AJ124" s="170">
        <v>2010</v>
      </c>
      <c r="AK124" s="667"/>
      <c r="AL124" s="667"/>
      <c r="AM124" s="667"/>
      <c r="AN124" s="667"/>
      <c r="AO124" s="667"/>
      <c r="AP124" s="667"/>
      <c r="AQ124" s="668"/>
    </row>
    <row r="125" spans="1:43" s="103" customFormat="1">
      <c r="B125" s="23">
        <v>2011</v>
      </c>
      <c r="C125" s="26">
        <v>0.26</v>
      </c>
      <c r="D125" s="26">
        <v>0.12</v>
      </c>
      <c r="E125" s="26">
        <v>0.13</v>
      </c>
      <c r="F125" s="26">
        <v>0.05</v>
      </c>
      <c r="G125" s="26">
        <v>0.13</v>
      </c>
      <c r="H125" s="26">
        <v>0.31</v>
      </c>
      <c r="I125" s="27">
        <f t="shared" si="33"/>
        <v>1</v>
      </c>
      <c r="L125" s="23">
        <v>2011</v>
      </c>
      <c r="M125" s="32"/>
      <c r="N125" s="32"/>
      <c r="O125" s="32"/>
      <c r="P125" s="32"/>
      <c r="Q125" s="32"/>
      <c r="R125" s="32"/>
      <c r="S125" s="56"/>
      <c r="T125" s="24"/>
      <c r="X125" s="23">
        <v>2011</v>
      </c>
      <c r="Y125" s="667"/>
      <c r="Z125" s="667"/>
      <c r="AA125" s="667"/>
      <c r="AB125" s="667"/>
      <c r="AC125" s="667"/>
      <c r="AD125" s="667"/>
      <c r="AE125" s="668"/>
      <c r="AG125" s="103" t="s">
        <v>662</v>
      </c>
      <c r="AJ125" s="170">
        <v>2011</v>
      </c>
      <c r="AK125" s="667"/>
      <c r="AL125" s="667"/>
      <c r="AM125" s="667"/>
      <c r="AN125" s="667"/>
      <c r="AO125" s="667"/>
      <c r="AP125" s="667"/>
      <c r="AQ125" s="668"/>
    </row>
    <row r="126" spans="1:43" s="103" customFormat="1">
      <c r="B126" s="23">
        <v>2012</v>
      </c>
      <c r="C126" s="26">
        <v>0.25</v>
      </c>
      <c r="D126" s="26">
        <v>0.12</v>
      </c>
      <c r="E126" s="26">
        <v>0.13</v>
      </c>
      <c r="F126" s="26">
        <v>0.05</v>
      </c>
      <c r="G126" s="26">
        <v>0.14000000000000001</v>
      </c>
      <c r="H126" s="26">
        <v>0.31</v>
      </c>
      <c r="I126" s="27">
        <f t="shared" si="33"/>
        <v>1</v>
      </c>
      <c r="L126" s="23">
        <v>2012</v>
      </c>
      <c r="M126" s="26">
        <v>0.3</v>
      </c>
      <c r="N126" s="26">
        <v>0.08</v>
      </c>
      <c r="O126" s="26">
        <v>0.15</v>
      </c>
      <c r="P126" s="26">
        <v>0.06</v>
      </c>
      <c r="Q126" s="26">
        <v>0.08</v>
      </c>
      <c r="R126" s="26">
        <v>0.33</v>
      </c>
      <c r="S126" s="27">
        <f t="shared" si="32"/>
        <v>1</v>
      </c>
      <c r="T126" s="26"/>
      <c r="X126" s="23">
        <v>2012</v>
      </c>
      <c r="Y126" s="163">
        <f>Commercial8EndUse!S51</f>
        <v>0</v>
      </c>
      <c r="Z126" s="163">
        <f>Commercial8EndUse!T51</f>
        <v>0.3325865218980007</v>
      </c>
      <c r="AA126" s="163">
        <f>Commercial8EndUse!U51</f>
        <v>2.3706739050999709E-2</v>
      </c>
      <c r="AB126" s="163">
        <f>Commercial8EndUse!V51</f>
        <v>0</v>
      </c>
      <c r="AC126" s="163">
        <f>Commercial8EndUse!W51</f>
        <v>0.45887978284700121</v>
      </c>
      <c r="AD126" s="163">
        <f>Commercial8EndUse!X51</f>
        <v>0.18482695620399836</v>
      </c>
      <c r="AE126" s="552">
        <f>Commercial8EndUse!Y51</f>
        <v>1</v>
      </c>
      <c r="AG126" s="119" t="s">
        <v>759</v>
      </c>
      <c r="AJ126" s="170">
        <v>2012</v>
      </c>
      <c r="AK126" s="127">
        <v>0</v>
      </c>
      <c r="AL126" s="127">
        <v>0.3325865218980007</v>
      </c>
      <c r="AM126" s="127">
        <v>0</v>
      </c>
      <c r="AN126" s="127">
        <v>0</v>
      </c>
      <c r="AO126" s="127">
        <f>1-AL126</f>
        <v>0.66741347810199936</v>
      </c>
      <c r="AP126" s="127">
        <v>0</v>
      </c>
      <c r="AQ126" s="27">
        <f>SUM(AK126:AP126)</f>
        <v>1</v>
      </c>
    </row>
    <row r="127" spans="1:43" s="103" customFormat="1">
      <c r="B127" s="23">
        <v>2013</v>
      </c>
      <c r="C127" s="26">
        <v>0.26</v>
      </c>
      <c r="D127" s="26">
        <v>0.12</v>
      </c>
      <c r="E127" s="26">
        <v>0.13</v>
      </c>
      <c r="F127" s="26">
        <v>0.05</v>
      </c>
      <c r="G127" s="26">
        <v>0.14000000000000001</v>
      </c>
      <c r="H127" s="26">
        <v>0.3</v>
      </c>
      <c r="I127" s="27">
        <f t="shared" si="33"/>
        <v>1</v>
      </c>
      <c r="L127" s="23">
        <v>2013</v>
      </c>
      <c r="M127" s="26">
        <v>0.3</v>
      </c>
      <c r="N127" s="26">
        <v>0.08</v>
      </c>
      <c r="O127" s="26">
        <v>0.16</v>
      </c>
      <c r="P127" s="26">
        <v>0.06</v>
      </c>
      <c r="Q127" s="26">
        <v>0.08</v>
      </c>
      <c r="R127" s="26">
        <v>0.32</v>
      </c>
      <c r="S127" s="27">
        <f t="shared" si="32"/>
        <v>1</v>
      </c>
      <c r="T127" s="26"/>
      <c r="X127" s="23">
        <v>2013</v>
      </c>
      <c r="Y127" s="163">
        <f>Commercial8EndUse!S52</f>
        <v>0</v>
      </c>
      <c r="Z127" s="163">
        <f>Commercial8EndUse!T52</f>
        <v>0.3256853306308588</v>
      </c>
      <c r="AA127" s="163">
        <f>Commercial8EndUse!U52</f>
        <v>0</v>
      </c>
      <c r="AB127" s="163">
        <f>Commercial8EndUse!V52</f>
        <v>0</v>
      </c>
      <c r="AC127" s="163">
        <f>Commercial8EndUse!W52</f>
        <v>0.44852799594628834</v>
      </c>
      <c r="AD127" s="163">
        <f>Commercial8EndUse!X52</f>
        <v>0.22578667342285286</v>
      </c>
      <c r="AE127" s="552">
        <f>Commercial8EndUse!Y52</f>
        <v>1</v>
      </c>
      <c r="AG127" s="103" t="s">
        <v>761</v>
      </c>
      <c r="AJ127" s="170">
        <v>2013</v>
      </c>
      <c r="AK127" s="127">
        <v>0</v>
      </c>
      <c r="AL127" s="127">
        <v>0.3256853306308588</v>
      </c>
      <c r="AM127" s="127">
        <v>0</v>
      </c>
      <c r="AN127" s="127">
        <v>0</v>
      </c>
      <c r="AO127" s="127">
        <f t="shared" ref="AO127:AO164" si="34">1-AL127</f>
        <v>0.6743146693691412</v>
      </c>
      <c r="AP127" s="127">
        <v>0</v>
      </c>
      <c r="AQ127" s="27">
        <f t="shared" ref="AQ127:AQ164" si="35">SUM(AK127:AP127)</f>
        <v>1</v>
      </c>
    </row>
    <row r="128" spans="1:43" s="103" customFormat="1">
      <c r="B128" s="23">
        <v>2014</v>
      </c>
      <c r="C128" s="26">
        <v>0.26</v>
      </c>
      <c r="D128" s="26">
        <v>0.12</v>
      </c>
      <c r="E128" s="26">
        <v>0.13</v>
      </c>
      <c r="F128" s="26">
        <v>0.05</v>
      </c>
      <c r="G128" s="26">
        <v>0.14000000000000001</v>
      </c>
      <c r="H128" s="26">
        <v>0.3</v>
      </c>
      <c r="I128" s="27">
        <f t="shared" si="33"/>
        <v>1</v>
      </c>
      <c r="L128" s="23">
        <v>2014</v>
      </c>
      <c r="M128" s="26">
        <v>0.31</v>
      </c>
      <c r="N128" s="26">
        <v>0.08</v>
      </c>
      <c r="O128" s="26">
        <v>0.15</v>
      </c>
      <c r="P128" s="26">
        <v>0.06</v>
      </c>
      <c r="Q128" s="26">
        <v>0.08</v>
      </c>
      <c r="R128" s="26">
        <v>0.32</v>
      </c>
      <c r="S128" s="27">
        <f t="shared" si="32"/>
        <v>1</v>
      </c>
      <c r="T128" s="26"/>
      <c r="X128" s="23">
        <v>2014</v>
      </c>
      <c r="Y128" s="163">
        <f>Commercial8EndUse!S53</f>
        <v>0</v>
      </c>
      <c r="Z128" s="163">
        <f>Commercial8EndUse!T53</f>
        <v>0.32439553873730331</v>
      </c>
      <c r="AA128" s="163">
        <f>Commercial8EndUse!U53</f>
        <v>2.7802230631348387E-2</v>
      </c>
      <c r="AB128" s="163">
        <f>Commercial8EndUse!V53</f>
        <v>0</v>
      </c>
      <c r="AC128" s="163">
        <f>Commercial8EndUse!W53</f>
        <v>0.44659330810595504</v>
      </c>
      <c r="AD128" s="163">
        <f>Commercial8EndUse!X53</f>
        <v>0.20120892252539324</v>
      </c>
      <c r="AE128" s="552">
        <f>Commercial8EndUse!Y53</f>
        <v>1</v>
      </c>
      <c r="AG128" s="26" t="s">
        <v>762</v>
      </c>
      <c r="AJ128" s="170">
        <v>2014</v>
      </c>
      <c r="AK128" s="127">
        <v>0</v>
      </c>
      <c r="AL128" s="127">
        <v>0.32439553873730331</v>
      </c>
      <c r="AM128" s="127">
        <v>0</v>
      </c>
      <c r="AN128" s="127">
        <v>0</v>
      </c>
      <c r="AO128" s="127">
        <f t="shared" si="34"/>
        <v>0.67560446126269669</v>
      </c>
      <c r="AP128" s="127">
        <v>0</v>
      </c>
      <c r="AQ128" s="27">
        <f t="shared" si="35"/>
        <v>1</v>
      </c>
    </row>
    <row r="129" spans="1:43" s="103" customFormat="1">
      <c r="B129" s="23">
        <v>2015</v>
      </c>
      <c r="C129" s="26">
        <v>0.25</v>
      </c>
      <c r="D129" s="26">
        <v>0.12</v>
      </c>
      <c r="E129" s="26">
        <v>0.12</v>
      </c>
      <c r="F129" s="26">
        <v>0.05</v>
      </c>
      <c r="G129" s="26">
        <v>0.14000000000000001</v>
      </c>
      <c r="H129" s="26">
        <v>0.32</v>
      </c>
      <c r="I129" s="27">
        <f t="shared" si="33"/>
        <v>1</v>
      </c>
      <c r="L129" s="23">
        <v>2015</v>
      </c>
      <c r="M129" s="26">
        <v>0.28999999999999998</v>
      </c>
      <c r="N129" s="26">
        <v>0.08</v>
      </c>
      <c r="O129" s="26">
        <v>0.15</v>
      </c>
      <c r="P129" s="26">
        <v>0.06</v>
      </c>
      <c r="Q129" s="26">
        <v>7.0000000000000007E-2</v>
      </c>
      <c r="R129" s="26">
        <v>0.35</v>
      </c>
      <c r="S129" s="27">
        <f t="shared" si="32"/>
        <v>1</v>
      </c>
      <c r="T129" s="26"/>
      <c r="X129" s="23">
        <v>2015</v>
      </c>
      <c r="Y129" s="163">
        <f>Commercial8EndUse!S54</f>
        <v>0</v>
      </c>
      <c r="Z129" s="163">
        <f>Commercial8EndUse!T54</f>
        <v>0.32758320404384156</v>
      </c>
      <c r="AA129" s="163">
        <f>Commercial8EndUse!U54</f>
        <v>0</v>
      </c>
      <c r="AB129" s="163">
        <f>Commercial8EndUse!V54</f>
        <v>0</v>
      </c>
      <c r="AC129" s="163">
        <f>Commercial8EndUse!W54</f>
        <v>0.50327060707672278</v>
      </c>
      <c r="AD129" s="163">
        <f>Commercial8EndUse!X54</f>
        <v>0.16914618887943567</v>
      </c>
      <c r="AE129" s="552">
        <f>Commercial8EndUse!Y54</f>
        <v>1</v>
      </c>
      <c r="AG129" s="26" t="s">
        <v>763</v>
      </c>
      <c r="AJ129" s="170">
        <v>2015</v>
      </c>
      <c r="AK129" s="127">
        <v>0</v>
      </c>
      <c r="AL129" s="127">
        <v>0.32758320404384156</v>
      </c>
      <c r="AM129" s="127">
        <v>0</v>
      </c>
      <c r="AN129" s="127">
        <v>0</v>
      </c>
      <c r="AO129" s="127">
        <f t="shared" si="34"/>
        <v>0.67241679595615844</v>
      </c>
      <c r="AP129" s="127">
        <v>0</v>
      </c>
      <c r="AQ129" s="27">
        <f t="shared" si="35"/>
        <v>1</v>
      </c>
    </row>
    <row r="130" spans="1:43" s="103" customFormat="1">
      <c r="A130" s="162" t="s">
        <v>656</v>
      </c>
      <c r="B130" s="23">
        <v>2016</v>
      </c>
      <c r="C130" s="26">
        <v>0.24</v>
      </c>
      <c r="D130" s="26">
        <v>0.12</v>
      </c>
      <c r="E130" s="26">
        <v>0.12</v>
      </c>
      <c r="F130" s="26">
        <v>0.05</v>
      </c>
      <c r="G130" s="26">
        <v>0.14000000000000001</v>
      </c>
      <c r="H130" s="26">
        <v>0.33</v>
      </c>
      <c r="I130" s="27">
        <f t="shared" si="33"/>
        <v>1</v>
      </c>
      <c r="L130" s="23">
        <v>2016</v>
      </c>
      <c r="M130" s="26">
        <v>0.28999999999999998</v>
      </c>
      <c r="N130" s="26">
        <v>0.08</v>
      </c>
      <c r="O130" s="26">
        <v>0.15</v>
      </c>
      <c r="P130" s="26">
        <v>0.06</v>
      </c>
      <c r="Q130" s="26">
        <v>7.0000000000000007E-2</v>
      </c>
      <c r="R130" s="26">
        <v>0.35</v>
      </c>
      <c r="S130" s="27">
        <f>SUM(M130:R130)</f>
        <v>1</v>
      </c>
      <c r="T130" s="26"/>
      <c r="X130" s="23">
        <v>2016</v>
      </c>
      <c r="Y130" s="163">
        <f>Commercial8EndUse!S55</f>
        <v>0</v>
      </c>
      <c r="Z130" s="163">
        <f>Commercial8EndUse!T55</f>
        <v>0.32685185185185184</v>
      </c>
      <c r="AA130" s="163">
        <f>Commercial8EndUse!U55</f>
        <v>0</v>
      </c>
      <c r="AB130" s="163">
        <f>Commercial8EndUse!V55</f>
        <v>0</v>
      </c>
      <c r="AC130" s="163">
        <f>Commercial8EndUse!W55</f>
        <v>0.50199074074074068</v>
      </c>
      <c r="AD130" s="163">
        <f>Commercial8EndUse!X55</f>
        <v>0.17115740740740748</v>
      </c>
      <c r="AE130" s="552">
        <f>Commercial8EndUse!Y55</f>
        <v>1</v>
      </c>
      <c r="AF130" s="26"/>
      <c r="AG130" s="26" t="s">
        <v>764</v>
      </c>
      <c r="AH130" s="26"/>
      <c r="AJ130" s="170">
        <v>2016</v>
      </c>
      <c r="AK130" s="127">
        <v>0</v>
      </c>
      <c r="AL130" s="127">
        <v>0.32685185185185184</v>
      </c>
      <c r="AM130" s="127">
        <v>0</v>
      </c>
      <c r="AN130" s="127">
        <v>0</v>
      </c>
      <c r="AO130" s="127">
        <f t="shared" si="34"/>
        <v>0.67314814814814816</v>
      </c>
      <c r="AP130" s="127">
        <v>0</v>
      </c>
      <c r="AQ130" s="27">
        <f t="shared" si="35"/>
        <v>1</v>
      </c>
    </row>
    <row r="131" spans="1:43" s="103" customFormat="1">
      <c r="A131" s="161" t="s">
        <v>657</v>
      </c>
      <c r="B131" s="23">
        <v>2017</v>
      </c>
      <c r="C131" s="127">
        <f t="shared" ref="C131:C164" si="36">C$120*M131/$M$120*25/24</f>
        <v>0.26505681818181775</v>
      </c>
      <c r="D131" s="26">
        <v>0.12</v>
      </c>
      <c r="E131" s="26">
        <v>0.12</v>
      </c>
      <c r="F131" s="26">
        <v>0.05</v>
      </c>
      <c r="G131" s="26">
        <v>0.14000000000000001</v>
      </c>
      <c r="H131" s="26">
        <f>1-G131-F131-E131-D131-C131</f>
        <v>0.3049431818181822</v>
      </c>
      <c r="I131" s="27">
        <f t="shared" si="33"/>
        <v>1</v>
      </c>
      <c r="L131" s="23">
        <v>2017</v>
      </c>
      <c r="M131" s="127">
        <f>1-SUM(N131:R131)</f>
        <v>0.3109999999999995</v>
      </c>
      <c r="N131" s="127">
        <f t="shared" ref="N131:P150" si="37">TREND(N$126:N$130,$L$126:$L$130,$L131)</f>
        <v>0.08</v>
      </c>
      <c r="O131" s="127">
        <f t="shared" si="37"/>
        <v>0.14900000000000047</v>
      </c>
      <c r="P131" s="127">
        <f t="shared" si="37"/>
        <v>0.06</v>
      </c>
      <c r="Q131" s="26">
        <v>0.08</v>
      </c>
      <c r="R131" s="26">
        <v>0.32</v>
      </c>
      <c r="S131" s="27">
        <f t="shared" ref="S131:S164" si="38">SUM(M131:R131)</f>
        <v>1</v>
      </c>
      <c r="T131" s="26"/>
      <c r="X131" s="23">
        <v>2017</v>
      </c>
      <c r="Y131" s="163">
        <f>(C131-M131*'Future Type Share'!$AE18)/(1-'Future Type Share'!$AE18)</f>
        <v>1.8537615740740976E-2</v>
      </c>
      <c r="Z131" s="163">
        <f>(D131-N131*'Future Type Share'!$AE18)/(1-'Future Type Share'!$AE18)</f>
        <v>0.33462962962962944</v>
      </c>
      <c r="AA131" s="163">
        <f>(E131-O131*'Future Type Share'!$AE18)/(1-'Future Type Share'!$AE18)</f>
        <v>-3.5606481481483904E-2</v>
      </c>
      <c r="AB131" s="163">
        <f>(F131-P131*'Future Type Share'!$AE18)/(1-'Future Type Share'!$AE18)</f>
        <v>-3.6574074074073488E-3</v>
      </c>
      <c r="AC131" s="163">
        <f>(G131-Q131*'Future Type Share'!$AE18)/(1-'Future Type Share'!$AE18)</f>
        <v>0.46194444444444432</v>
      </c>
      <c r="AD131" s="163">
        <f>(H131-R131*'Future Type Share'!$AE18)/(1-'Future Type Share'!$AE18)</f>
        <v>0.22415219907407646</v>
      </c>
      <c r="AE131" s="27">
        <f t="shared" ref="AE131:AE164" si="39">SUM(Y131:AD131)</f>
        <v>1</v>
      </c>
      <c r="AF131" s="26"/>
      <c r="AG131" s="26"/>
      <c r="AH131" s="26"/>
      <c r="AJ131" s="170">
        <v>2017</v>
      </c>
      <c r="AK131" s="127">
        <v>0</v>
      </c>
      <c r="AL131" s="127">
        <v>0.33462962962962944</v>
      </c>
      <c r="AM131" s="127">
        <v>0</v>
      </c>
      <c r="AN131" s="127">
        <v>0</v>
      </c>
      <c r="AO131" s="127">
        <f t="shared" si="34"/>
        <v>0.66537037037037061</v>
      </c>
      <c r="AP131" s="127">
        <v>0</v>
      </c>
      <c r="AQ131" s="27">
        <f t="shared" si="35"/>
        <v>1</v>
      </c>
    </row>
    <row r="132" spans="1:43" s="103" customFormat="1">
      <c r="A132" s="103" t="s">
        <v>746</v>
      </c>
      <c r="B132" s="23">
        <v>2018</v>
      </c>
      <c r="C132" s="127">
        <f t="shared" si="36"/>
        <v>0.26590909090909071</v>
      </c>
      <c r="D132" s="26">
        <v>0.12</v>
      </c>
      <c r="E132" s="26">
        <v>0.12</v>
      </c>
      <c r="F132" s="26">
        <v>0.05</v>
      </c>
      <c r="G132" s="26">
        <v>0.14000000000000001</v>
      </c>
      <c r="H132" s="26">
        <f t="shared" ref="H132:H164" si="40">1-G132-F132-E132-D132-C132</f>
        <v>0.30409090909090924</v>
      </c>
      <c r="I132" s="27">
        <f t="shared" si="33"/>
        <v>1</v>
      </c>
      <c r="L132" s="23">
        <v>2018</v>
      </c>
      <c r="M132" s="127">
        <f t="shared" ref="M132:M164" si="41">1-SUM(N132:R132)</f>
        <v>0.31199999999999983</v>
      </c>
      <c r="N132" s="127">
        <f t="shared" si="37"/>
        <v>0.08</v>
      </c>
      <c r="O132" s="127">
        <f t="shared" si="37"/>
        <v>0.14800000000000013</v>
      </c>
      <c r="P132" s="127">
        <f t="shared" si="37"/>
        <v>0.06</v>
      </c>
      <c r="Q132" s="26">
        <v>0.08</v>
      </c>
      <c r="R132" s="26">
        <v>0.32</v>
      </c>
      <c r="S132" s="27">
        <f t="shared" si="38"/>
        <v>1</v>
      </c>
      <c r="T132" s="26"/>
      <c r="X132" s="23">
        <v>2018</v>
      </c>
      <c r="Y132" s="163">
        <f>(C132-M132*'Future Type Share'!$AE19)/(1-'Future Type Share'!$AE19)</f>
        <v>1.74038349796624E-2</v>
      </c>
      <c r="Z132" s="163">
        <f>(D132-N132*'Future Type Share'!$AE19)/(1-'Future Type Share'!$AE19)</f>
        <v>0.33566531086577578</v>
      </c>
      <c r="AA132" s="163">
        <f>(E132-O132*'Future Type Share'!$AE19)/(1-'Future Type Share'!$AE19)</f>
        <v>-3.0965717606043754E-2</v>
      </c>
      <c r="AB132" s="163">
        <f>(F132-P132*'Future Type Share'!$AE19)/(1-'Future Type Share'!$AE19)</f>
        <v>-3.9163277164439231E-3</v>
      </c>
      <c r="AC132" s="163">
        <f>(G132-Q132*'Future Type Share'!$AE19)/(1-'Future Type Share'!$AE19)</f>
        <v>0.46349796629866374</v>
      </c>
      <c r="AD132" s="163">
        <f>(H132-R132*'Future Type Share'!$AE19)/(1-'Future Type Share'!$AE19)</f>
        <v>0.21831493317838555</v>
      </c>
      <c r="AE132" s="27">
        <f t="shared" si="39"/>
        <v>0.99999999999999978</v>
      </c>
      <c r="AF132" s="26"/>
      <c r="AG132" s="26"/>
      <c r="AH132" s="26"/>
      <c r="AJ132" s="170">
        <v>2018</v>
      </c>
      <c r="AK132" s="127">
        <v>0</v>
      </c>
      <c r="AL132" s="127">
        <v>0.33566531086577578</v>
      </c>
      <c r="AM132" s="127">
        <v>0</v>
      </c>
      <c r="AN132" s="127">
        <v>0</v>
      </c>
      <c r="AO132" s="127">
        <f t="shared" si="34"/>
        <v>0.66433468913422422</v>
      </c>
      <c r="AP132" s="127">
        <v>0</v>
      </c>
      <c r="AQ132" s="27">
        <f t="shared" si="35"/>
        <v>1</v>
      </c>
    </row>
    <row r="133" spans="1:43" s="103" customFormat="1">
      <c r="B133" s="23">
        <v>2019</v>
      </c>
      <c r="C133" s="127">
        <f t="shared" si="36"/>
        <v>0.26676136363636344</v>
      </c>
      <c r="D133" s="26">
        <v>0.12</v>
      </c>
      <c r="E133" s="26">
        <v>0.12</v>
      </c>
      <c r="F133" s="26">
        <v>0.05</v>
      </c>
      <c r="G133" s="26">
        <v>0.14000000000000001</v>
      </c>
      <c r="H133" s="26">
        <f t="shared" si="40"/>
        <v>0.30323863636363652</v>
      </c>
      <c r="I133" s="27">
        <f t="shared" si="33"/>
        <v>1</v>
      </c>
      <c r="L133" s="23">
        <v>2019</v>
      </c>
      <c r="M133" s="127">
        <f t="shared" si="41"/>
        <v>0.31299999999999972</v>
      </c>
      <c r="N133" s="127">
        <f t="shared" si="37"/>
        <v>0.08</v>
      </c>
      <c r="O133" s="127">
        <f t="shared" si="37"/>
        <v>0.14700000000000024</v>
      </c>
      <c r="P133" s="127">
        <f t="shared" si="37"/>
        <v>0.06</v>
      </c>
      <c r="Q133" s="26">
        <v>0.08</v>
      </c>
      <c r="R133" s="26">
        <v>0.32</v>
      </c>
      <c r="S133" s="27">
        <f t="shared" si="38"/>
        <v>1</v>
      </c>
      <c r="T133" s="26"/>
      <c r="X133" s="23">
        <v>2019</v>
      </c>
      <c r="Y133" s="163">
        <f>(C133-M133*'Future Type Share'!$AE20)/(1-'Future Type Share'!$AE20)</f>
        <v>1.6252625437573196E-2</v>
      </c>
      <c r="Z133" s="163">
        <f>(D133-N133*'Future Type Share'!$AE20)/(1-'Future Type Share'!$AE20)</f>
        <v>0.33670945157526239</v>
      </c>
      <c r="AA133" s="163">
        <f>(E133-O133*'Future Type Share'!$AE20)/(1-'Future Type Share'!$AE20)</f>
        <v>-2.6278879813303489E-2</v>
      </c>
      <c r="AB133" s="163">
        <f>(F133-P133*'Future Type Share'!$AE20)/(1-'Future Type Share'!$AE20)</f>
        <v>-4.1773628938155906E-3</v>
      </c>
      <c r="AC133" s="163">
        <f>(G133-Q133*'Future Type Share'!$AE20)/(1-'Future Type Share'!$AE20)</f>
        <v>0.46506417736289374</v>
      </c>
      <c r="AD133" s="163">
        <f>(H133-R133*'Future Type Share'!$AE20)/(1-'Future Type Share'!$AE20)</f>
        <v>0.2124299883313894</v>
      </c>
      <c r="AE133" s="27">
        <f t="shared" si="39"/>
        <v>0.99999999999999956</v>
      </c>
      <c r="AF133" s="26"/>
      <c r="AG133" s="26"/>
      <c r="AH133" s="26"/>
      <c r="AJ133" s="170">
        <v>2019</v>
      </c>
      <c r="AK133" s="127">
        <v>0</v>
      </c>
      <c r="AL133" s="127">
        <v>0.33670945157526239</v>
      </c>
      <c r="AM133" s="127">
        <v>0</v>
      </c>
      <c r="AN133" s="127">
        <v>0</v>
      </c>
      <c r="AO133" s="127">
        <f t="shared" si="34"/>
        <v>0.66329054842473756</v>
      </c>
      <c r="AP133" s="127">
        <v>0</v>
      </c>
      <c r="AQ133" s="27">
        <f t="shared" si="35"/>
        <v>1</v>
      </c>
    </row>
    <row r="134" spans="1:43" s="103" customFormat="1">
      <c r="B134" s="23">
        <v>2020</v>
      </c>
      <c r="C134" s="127">
        <f t="shared" si="36"/>
        <v>0.26761363636363605</v>
      </c>
      <c r="D134" s="26">
        <v>0.12</v>
      </c>
      <c r="E134" s="26">
        <v>0.12</v>
      </c>
      <c r="F134" s="26">
        <v>0.05</v>
      </c>
      <c r="G134" s="26">
        <v>0.14000000000000001</v>
      </c>
      <c r="H134" s="26">
        <f t="shared" si="40"/>
        <v>0.3023863636363639</v>
      </c>
      <c r="I134" s="27">
        <f t="shared" si="33"/>
        <v>1</v>
      </c>
      <c r="L134" s="23">
        <v>2020</v>
      </c>
      <c r="M134" s="127">
        <f t="shared" si="41"/>
        <v>0.31399999999999961</v>
      </c>
      <c r="N134" s="127">
        <f t="shared" si="37"/>
        <v>0.08</v>
      </c>
      <c r="O134" s="127">
        <f t="shared" si="37"/>
        <v>0.14600000000000035</v>
      </c>
      <c r="P134" s="127">
        <f t="shared" si="37"/>
        <v>0.06</v>
      </c>
      <c r="Q134" s="26">
        <v>0.08</v>
      </c>
      <c r="R134" s="26">
        <v>0.32</v>
      </c>
      <c r="S134" s="27">
        <f t="shared" si="38"/>
        <v>1</v>
      </c>
      <c r="T134" s="26"/>
      <c r="X134" s="23">
        <v>2020</v>
      </c>
      <c r="Y134" s="163">
        <f>(C134-M134*'Future Type Share'!$AE21)/(1-'Future Type Share'!$AE21)</f>
        <v>1.5083772700644411E-2</v>
      </c>
      <c r="Z134" s="163">
        <f>(D134-N134*'Future Type Share'!$AE21)/(1-'Future Type Share'!$AE21)</f>
        <v>0.33776215582893976</v>
      </c>
      <c r="AA134" s="163">
        <f>(E134-O134*'Future Type Share'!$AE21)/(1-'Future Type Share'!$AE21)</f>
        <v>-2.1545401288812802E-2</v>
      </c>
      <c r="AB134" s="163">
        <f>(F134-P134*'Future Type Share'!$AE21)/(1-'Future Type Share'!$AE21)</f>
        <v>-4.4405389572349241E-3</v>
      </c>
      <c r="AC134" s="163">
        <f>(G134-Q134*'Future Type Share'!$AE21)/(1-'Future Type Share'!$AE21)</f>
        <v>0.46664323374340977</v>
      </c>
      <c r="AD134" s="163">
        <f>(H134-R134*'Future Type Share'!$AE21)/(1-'Future Type Share'!$AE21)</f>
        <v>0.20649677797305357</v>
      </c>
      <c r="AE134" s="27">
        <f t="shared" si="39"/>
        <v>0.99999999999999978</v>
      </c>
      <c r="AF134" s="26"/>
      <c r="AG134" s="26"/>
      <c r="AH134" s="26"/>
      <c r="AJ134" s="170">
        <v>2020</v>
      </c>
      <c r="AK134" s="127">
        <v>0</v>
      </c>
      <c r="AL134" s="127">
        <v>0.33776215582893976</v>
      </c>
      <c r="AM134" s="127">
        <v>0</v>
      </c>
      <c r="AN134" s="127">
        <v>0</v>
      </c>
      <c r="AO134" s="127">
        <f t="shared" si="34"/>
        <v>0.66223784417106024</v>
      </c>
      <c r="AP134" s="127">
        <v>0</v>
      </c>
      <c r="AQ134" s="27">
        <f t="shared" si="35"/>
        <v>1</v>
      </c>
    </row>
    <row r="135" spans="1:43" s="103" customFormat="1">
      <c r="B135" s="23">
        <v>2021</v>
      </c>
      <c r="C135" s="127">
        <f t="shared" si="36"/>
        <v>0.26846590909090873</v>
      </c>
      <c r="D135" s="26">
        <v>0.12</v>
      </c>
      <c r="E135" s="26">
        <v>0.12</v>
      </c>
      <c r="F135" s="26">
        <v>0.05</v>
      </c>
      <c r="G135" s="26">
        <v>0.14000000000000001</v>
      </c>
      <c r="H135" s="26">
        <f t="shared" si="40"/>
        <v>0.30153409090909122</v>
      </c>
      <c r="I135" s="27">
        <f t="shared" si="33"/>
        <v>1</v>
      </c>
      <c r="L135" s="23">
        <v>2021</v>
      </c>
      <c r="M135" s="127">
        <f t="shared" si="41"/>
        <v>0.3149999999999995</v>
      </c>
      <c r="N135" s="127">
        <f t="shared" si="37"/>
        <v>0.08</v>
      </c>
      <c r="O135" s="127">
        <f t="shared" si="37"/>
        <v>0.14500000000000046</v>
      </c>
      <c r="P135" s="127">
        <f t="shared" si="37"/>
        <v>0.06</v>
      </c>
      <c r="Q135" s="26">
        <v>0.08</v>
      </c>
      <c r="R135" s="26">
        <v>0.32</v>
      </c>
      <c r="S135" s="27">
        <f t="shared" si="38"/>
        <v>1</v>
      </c>
      <c r="T135" s="26"/>
      <c r="X135" s="23">
        <v>2021</v>
      </c>
      <c r="Y135" s="163">
        <f>(C135-M135*'Future Type Share'!$AE22)/(1-'Future Type Share'!$AE22)</f>
        <v>1.3897058823529776E-2</v>
      </c>
      <c r="Z135" s="163">
        <f>(D135-N135*'Future Type Share'!$AE22)/(1-'Future Type Share'!$AE22)</f>
        <v>0.33882352941176469</v>
      </c>
      <c r="AA135" s="163">
        <f>(E135-O135*'Future Type Share'!$AE22)/(1-'Future Type Share'!$AE22)</f>
        <v>-1.6764705882355527E-2</v>
      </c>
      <c r="AB135" s="163">
        <f>(F135-P135*'Future Type Share'!$AE22)/(1-'Future Type Share'!$AE22)</f>
        <v>-4.705882352941144E-3</v>
      </c>
      <c r="AC135" s="163">
        <f>(G135-Q135*'Future Type Share'!$AE22)/(1-'Future Type Share'!$AE22)</f>
        <v>0.46823529411764719</v>
      </c>
      <c r="AD135" s="163">
        <f>(H135-R135*'Future Type Share'!$AE22)/(1-'Future Type Share'!$AE22)</f>
        <v>0.20051470588235507</v>
      </c>
      <c r="AE135" s="27">
        <f t="shared" si="39"/>
        <v>1</v>
      </c>
      <c r="AF135" s="26"/>
      <c r="AG135" s="26"/>
      <c r="AH135" s="26"/>
      <c r="AJ135" s="170">
        <v>2021</v>
      </c>
      <c r="AK135" s="127">
        <v>0</v>
      </c>
      <c r="AL135" s="127">
        <v>0.33882352941176469</v>
      </c>
      <c r="AM135" s="127">
        <v>0</v>
      </c>
      <c r="AN135" s="127">
        <v>0</v>
      </c>
      <c r="AO135" s="127">
        <f t="shared" si="34"/>
        <v>0.66117647058823525</v>
      </c>
      <c r="AP135" s="127">
        <v>0</v>
      </c>
      <c r="AQ135" s="27">
        <f t="shared" si="35"/>
        <v>1</v>
      </c>
    </row>
    <row r="136" spans="1:43" s="103" customFormat="1">
      <c r="B136" s="23">
        <v>2022</v>
      </c>
      <c r="C136" s="127">
        <f t="shared" si="36"/>
        <v>0.26931818181818168</v>
      </c>
      <c r="D136" s="26">
        <v>0.12</v>
      </c>
      <c r="E136" s="26">
        <v>0.12</v>
      </c>
      <c r="F136" s="26">
        <v>0.05</v>
      </c>
      <c r="G136" s="26">
        <v>0.14000000000000001</v>
      </c>
      <c r="H136" s="26">
        <f t="shared" si="40"/>
        <v>0.30068181818181827</v>
      </c>
      <c r="I136" s="27">
        <f t="shared" si="33"/>
        <v>1</v>
      </c>
      <c r="L136" s="23">
        <v>2022</v>
      </c>
      <c r="M136" s="127">
        <f t="shared" si="41"/>
        <v>0.31599999999999984</v>
      </c>
      <c r="N136" s="127">
        <f t="shared" si="37"/>
        <v>0.08</v>
      </c>
      <c r="O136" s="127">
        <f t="shared" si="37"/>
        <v>0.14400000000000013</v>
      </c>
      <c r="P136" s="127">
        <f t="shared" si="37"/>
        <v>0.06</v>
      </c>
      <c r="Q136" s="26">
        <v>0.08</v>
      </c>
      <c r="R136" s="26">
        <v>0.32</v>
      </c>
      <c r="S136" s="27">
        <f t="shared" si="38"/>
        <v>1</v>
      </c>
      <c r="T136" s="26"/>
      <c r="X136" s="23">
        <v>2022</v>
      </c>
      <c r="Y136" s="163">
        <f>(C136-M136*'Future Type Share'!$AE23)/(1-'Future Type Share'!$AE23)</f>
        <v>1.2692262256349967E-2</v>
      </c>
      <c r="Z136" s="163">
        <f>(D136-N136*'Future Type Share'!$AE23)/(1-'Future Type Share'!$AE23)</f>
        <v>0.33989367985823965</v>
      </c>
      <c r="AA136" s="163">
        <f>(E136-O136*'Future Type Share'!$AE23)/(1-'Future Type Share'!$AE23)</f>
        <v>-1.1936207914944538E-2</v>
      </c>
      <c r="AB136" s="163">
        <f>(F136-P136*'Future Type Share'!$AE23)/(1-'Future Type Share'!$AE23)</f>
        <v>-4.9734199645598788E-3</v>
      </c>
      <c r="AC136" s="163">
        <f>(G136-Q136*'Future Type Share'!$AE23)/(1-'Future Type Share'!$AE23)</f>
        <v>0.46984051978735958</v>
      </c>
      <c r="AD136" s="163">
        <f>(H136-R136*'Future Type Share'!$AE23)/(1-'Future Type Share'!$AE23)</f>
        <v>0.19448316597755527</v>
      </c>
      <c r="AE136" s="27">
        <f t="shared" si="39"/>
        <v>1</v>
      </c>
      <c r="AF136" s="26"/>
      <c r="AG136" s="26"/>
      <c r="AH136" s="26"/>
      <c r="AJ136" s="170">
        <v>2022</v>
      </c>
      <c r="AK136" s="127">
        <v>0</v>
      </c>
      <c r="AL136" s="127">
        <v>0.33989367985823965</v>
      </c>
      <c r="AM136" s="127">
        <v>0</v>
      </c>
      <c r="AN136" s="127">
        <v>0</v>
      </c>
      <c r="AO136" s="127">
        <f t="shared" si="34"/>
        <v>0.66010632014176029</v>
      </c>
      <c r="AP136" s="127">
        <v>0</v>
      </c>
      <c r="AQ136" s="27">
        <f t="shared" si="35"/>
        <v>1</v>
      </c>
    </row>
    <row r="137" spans="1:43" s="103" customFormat="1">
      <c r="B137" s="23">
        <v>2023</v>
      </c>
      <c r="C137" s="127">
        <f t="shared" si="36"/>
        <v>0.2701704545454543</v>
      </c>
      <c r="D137" s="26">
        <v>0.12</v>
      </c>
      <c r="E137" s="26">
        <v>0.12</v>
      </c>
      <c r="F137" s="26">
        <v>0.05</v>
      </c>
      <c r="G137" s="26">
        <v>0.14000000000000001</v>
      </c>
      <c r="H137" s="26">
        <f t="shared" si="40"/>
        <v>0.29982954545454565</v>
      </c>
      <c r="I137" s="27">
        <f t="shared" si="33"/>
        <v>1</v>
      </c>
      <c r="L137" s="23">
        <v>2023</v>
      </c>
      <c r="M137" s="127">
        <f t="shared" si="41"/>
        <v>0.31699999999999973</v>
      </c>
      <c r="N137" s="127">
        <f t="shared" si="37"/>
        <v>0.08</v>
      </c>
      <c r="O137" s="127">
        <f t="shared" si="37"/>
        <v>0.14300000000000024</v>
      </c>
      <c r="P137" s="127">
        <f t="shared" si="37"/>
        <v>0.06</v>
      </c>
      <c r="Q137" s="26">
        <v>0.08</v>
      </c>
      <c r="R137" s="26">
        <v>0.32</v>
      </c>
      <c r="S137" s="27">
        <f t="shared" si="38"/>
        <v>1</v>
      </c>
      <c r="T137" s="26"/>
      <c r="X137" s="23">
        <v>2023</v>
      </c>
      <c r="Y137" s="163">
        <f>(C137-M137*'Future Type Share'!$AE24)/(1-'Future Type Share'!$AE24)</f>
        <v>1.1469157769869315E-2</v>
      </c>
      <c r="Z137" s="163">
        <f>(D137-N137*'Future Type Share'!$AE24)/(1-'Future Type Share'!$AE24)</f>
        <v>0.34097271648873079</v>
      </c>
      <c r="AA137" s="163">
        <f>(E137-O137*'Future Type Share'!$AE24)/(1-'Future Type Share'!$AE24)</f>
        <v>-7.059311981021524E-3</v>
      </c>
      <c r="AB137" s="163">
        <f>(F137-P137*'Future Type Share'!$AE24)/(1-'Future Type Share'!$AE24)</f>
        <v>-5.2431791221826621E-3</v>
      </c>
      <c r="AC137" s="163">
        <f>(G137-Q137*'Future Type Share'!$AE24)/(1-'Future Type Share'!$AE24)</f>
        <v>0.47145907473309628</v>
      </c>
      <c r="AD137" s="163">
        <f>(H137-R137*'Future Type Share'!$AE24)/(1-'Future Type Share'!$AE24)</f>
        <v>0.18840154211150778</v>
      </c>
      <c r="AE137" s="27">
        <f t="shared" si="39"/>
        <v>1</v>
      </c>
      <c r="AF137" s="26"/>
      <c r="AG137" s="26"/>
      <c r="AH137" s="26"/>
      <c r="AJ137" s="170">
        <v>2023</v>
      </c>
      <c r="AK137" s="127">
        <v>0</v>
      </c>
      <c r="AL137" s="127">
        <v>0.34097271648873079</v>
      </c>
      <c r="AM137" s="127">
        <v>0</v>
      </c>
      <c r="AN137" s="127">
        <v>0</v>
      </c>
      <c r="AO137" s="127">
        <f t="shared" si="34"/>
        <v>0.65902728351126916</v>
      </c>
      <c r="AP137" s="127">
        <v>0</v>
      </c>
      <c r="AQ137" s="27">
        <f t="shared" si="35"/>
        <v>1</v>
      </c>
    </row>
    <row r="138" spans="1:43" s="103" customFormat="1">
      <c r="B138" s="23">
        <v>2024</v>
      </c>
      <c r="C138" s="127">
        <f t="shared" si="36"/>
        <v>0.27102272727272697</v>
      </c>
      <c r="D138" s="26">
        <v>0.12</v>
      </c>
      <c r="E138" s="26">
        <v>0.12</v>
      </c>
      <c r="F138" s="26">
        <v>0.05</v>
      </c>
      <c r="G138" s="26">
        <v>0.14000000000000001</v>
      </c>
      <c r="H138" s="26">
        <f t="shared" si="40"/>
        <v>0.29897727272727298</v>
      </c>
      <c r="I138" s="27">
        <f t="shared" si="33"/>
        <v>1</v>
      </c>
      <c r="L138" s="23">
        <v>2024</v>
      </c>
      <c r="M138" s="127">
        <f t="shared" si="41"/>
        <v>0.31799999999999962</v>
      </c>
      <c r="N138" s="127">
        <f t="shared" si="37"/>
        <v>0.08</v>
      </c>
      <c r="O138" s="127">
        <f t="shared" si="37"/>
        <v>0.14200000000000035</v>
      </c>
      <c r="P138" s="127">
        <f t="shared" si="37"/>
        <v>0.06</v>
      </c>
      <c r="Q138" s="26">
        <v>0.08</v>
      </c>
      <c r="R138" s="26">
        <v>0.32</v>
      </c>
      <c r="S138" s="27">
        <f t="shared" si="38"/>
        <v>1</v>
      </c>
      <c r="T138" s="26"/>
      <c r="X138" s="23">
        <v>2024</v>
      </c>
      <c r="Y138" s="163">
        <f>(C138-M138*'Future Type Share'!$AE25)/(1-'Future Type Share'!$AE25)</f>
        <v>1.022751637879721E-2</v>
      </c>
      <c r="Z138" s="163">
        <f>(D138-N138*'Future Type Share'!$AE25)/(1-'Future Type Share'!$AE25)</f>
        <v>0.34206075044669432</v>
      </c>
      <c r="AA138" s="163">
        <f>(E138-O138*'Future Type Share'!$AE25)/(1-'Future Type Share'!$AE25)</f>
        <v>-2.133412745683847E-3</v>
      </c>
      <c r="AB138" s="163">
        <f>(F138-P138*'Future Type Share'!$AE25)/(1-'Future Type Share'!$AE25)</f>
        <v>-5.5151876116735542E-3</v>
      </c>
      <c r="AC138" s="163">
        <f>(G138-Q138*'Future Type Share'!$AE25)/(1-'Future Type Share'!$AE25)</f>
        <v>0.47309112567004163</v>
      </c>
      <c r="AD138" s="163">
        <f>(H138-R138*'Future Type Share'!$AE25)/(1-'Future Type Share'!$AE25)</f>
        <v>0.1822692078618241</v>
      </c>
      <c r="AE138" s="27">
        <f t="shared" si="39"/>
        <v>0.99999999999999989</v>
      </c>
      <c r="AF138" s="26"/>
      <c r="AG138" s="26"/>
      <c r="AH138" s="26"/>
      <c r="AJ138" s="170">
        <v>2024</v>
      </c>
      <c r="AK138" s="127">
        <v>0</v>
      </c>
      <c r="AL138" s="127">
        <v>0.34206075044669432</v>
      </c>
      <c r="AM138" s="127">
        <v>0</v>
      </c>
      <c r="AN138" s="127">
        <v>0</v>
      </c>
      <c r="AO138" s="127">
        <f t="shared" si="34"/>
        <v>0.65793924955330563</v>
      </c>
      <c r="AP138" s="127">
        <v>0</v>
      </c>
      <c r="AQ138" s="27">
        <f t="shared" si="35"/>
        <v>1</v>
      </c>
    </row>
    <row r="139" spans="1:43" s="103" customFormat="1">
      <c r="B139" s="23">
        <v>2025</v>
      </c>
      <c r="C139" s="127">
        <f t="shared" si="36"/>
        <v>0.27187499999999959</v>
      </c>
      <c r="D139" s="26">
        <v>0.12</v>
      </c>
      <c r="E139" s="26">
        <v>0.12</v>
      </c>
      <c r="F139" s="26">
        <v>0.05</v>
      </c>
      <c r="G139" s="26">
        <v>0.14000000000000001</v>
      </c>
      <c r="H139" s="26">
        <f t="shared" si="40"/>
        <v>0.29812500000000036</v>
      </c>
      <c r="I139" s="27">
        <f t="shared" si="33"/>
        <v>1</v>
      </c>
      <c r="L139" s="23">
        <v>2025</v>
      </c>
      <c r="M139" s="127">
        <f t="shared" si="41"/>
        <v>0.31899999999999951</v>
      </c>
      <c r="N139" s="127">
        <f t="shared" si="37"/>
        <v>0.08</v>
      </c>
      <c r="O139" s="127">
        <f t="shared" si="37"/>
        <v>0.14100000000000046</v>
      </c>
      <c r="P139" s="127">
        <f t="shared" si="37"/>
        <v>0.06</v>
      </c>
      <c r="Q139" s="26">
        <v>0.08</v>
      </c>
      <c r="R139" s="26">
        <v>0.32</v>
      </c>
      <c r="S139" s="27">
        <f t="shared" si="38"/>
        <v>1</v>
      </c>
      <c r="T139" s="26"/>
      <c r="X139" s="23">
        <v>2025</v>
      </c>
      <c r="Y139" s="163">
        <f>(C139-M139*'Future Type Share'!$AE26)/(1-'Future Type Share'!$AE26)</f>
        <v>8.9671052631579203E-3</v>
      </c>
      <c r="Z139" s="163">
        <f>(D139-N139*'Future Type Share'!$AE26)/(1-'Future Type Share'!$AE26)</f>
        <v>0.34315789473684222</v>
      </c>
      <c r="AA139" s="163">
        <f>(E139-O139*'Future Type Share'!$AE26)/(1-'Future Type Share'!$AE26)</f>
        <v>2.8421052631552608E-3</v>
      </c>
      <c r="AB139" s="163">
        <f>(F139-P139*'Future Type Share'!$AE26)/(1-'Future Type Share'!$AE26)</f>
        <v>-5.7894736842105223E-3</v>
      </c>
      <c r="AC139" s="163">
        <f>(G139-Q139*'Future Type Share'!$AE26)/(1-'Future Type Share'!$AE26)</f>
        <v>0.47473684210526346</v>
      </c>
      <c r="AD139" s="163">
        <f>(H139-R139*'Future Type Share'!$AE26)/(1-'Future Type Share'!$AE26)</f>
        <v>0.17608552631579166</v>
      </c>
      <c r="AE139" s="27">
        <f t="shared" si="39"/>
        <v>1</v>
      </c>
      <c r="AF139" s="26"/>
      <c r="AG139" s="26"/>
      <c r="AH139" s="26"/>
      <c r="AJ139" s="170">
        <v>2025</v>
      </c>
      <c r="AK139" s="127">
        <v>0</v>
      </c>
      <c r="AL139" s="127">
        <v>0.34315789473684222</v>
      </c>
      <c r="AM139" s="127">
        <v>0</v>
      </c>
      <c r="AN139" s="127">
        <v>0</v>
      </c>
      <c r="AO139" s="127">
        <f t="shared" si="34"/>
        <v>0.65684210526315778</v>
      </c>
      <c r="AP139" s="127">
        <v>0</v>
      </c>
      <c r="AQ139" s="27">
        <f t="shared" si="35"/>
        <v>1</v>
      </c>
    </row>
    <row r="140" spans="1:43" s="103" customFormat="1">
      <c r="B140" s="23">
        <v>2026</v>
      </c>
      <c r="C140" s="127">
        <f t="shared" si="36"/>
        <v>0.27272727272727254</v>
      </c>
      <c r="D140" s="26">
        <v>0.12</v>
      </c>
      <c r="E140" s="26">
        <v>0.12</v>
      </c>
      <c r="F140" s="26">
        <v>0.05</v>
      </c>
      <c r="G140" s="26">
        <v>0.14000000000000001</v>
      </c>
      <c r="H140" s="26">
        <f t="shared" si="40"/>
        <v>0.29727272727272741</v>
      </c>
      <c r="I140" s="27">
        <f t="shared" si="33"/>
        <v>1</v>
      </c>
      <c r="L140" s="23">
        <v>2026</v>
      </c>
      <c r="M140" s="127">
        <f t="shared" si="41"/>
        <v>0.31999999999999984</v>
      </c>
      <c r="N140" s="127">
        <f t="shared" si="37"/>
        <v>0.08</v>
      </c>
      <c r="O140" s="127">
        <f t="shared" si="37"/>
        <v>0.14000000000000012</v>
      </c>
      <c r="P140" s="127">
        <f t="shared" si="37"/>
        <v>0.06</v>
      </c>
      <c r="Q140" s="26">
        <v>0.08</v>
      </c>
      <c r="R140" s="26">
        <v>0.32</v>
      </c>
      <c r="S140" s="27">
        <f t="shared" si="38"/>
        <v>1</v>
      </c>
      <c r="T140" s="26"/>
      <c r="X140" s="23">
        <v>2026</v>
      </c>
      <c r="Y140" s="163">
        <f>(C140-M140*'Future Type Share'!$AE27)/(1-'Future Type Share'!$AE27)</f>
        <v>7.6876876876873406E-3</v>
      </c>
      <c r="Z140" s="163">
        <f>(D140-N140*'Future Type Share'!$AE27)/(1-'Future Type Share'!$AE27)</f>
        <v>0.34426426426426415</v>
      </c>
      <c r="AA140" s="163">
        <f>(E140-O140*'Future Type Share'!$AE27)/(1-'Future Type Share'!$AE27)</f>
        <v>7.867867867867126E-3</v>
      </c>
      <c r="AB140" s="163">
        <f>(F140-P140*'Future Type Share'!$AE27)/(1-'Future Type Share'!$AE27)</f>
        <v>-6.0660660660660191E-3</v>
      </c>
      <c r="AC140" s="163">
        <f>(G140-Q140*'Future Type Share'!$AE27)/(1-'Future Type Share'!$AE27)</f>
        <v>0.47639639639639642</v>
      </c>
      <c r="AD140" s="163">
        <f>(H140-R140*'Future Type Share'!$AE27)/(1-'Future Type Share'!$AE27)</f>
        <v>0.16984984984985055</v>
      </c>
      <c r="AE140" s="27">
        <f t="shared" si="39"/>
        <v>0.99999999999999956</v>
      </c>
      <c r="AF140" s="26"/>
      <c r="AG140" s="26"/>
      <c r="AH140" s="26"/>
      <c r="AJ140" s="170">
        <v>2026</v>
      </c>
      <c r="AK140" s="127">
        <v>0</v>
      </c>
      <c r="AL140" s="127">
        <v>0.34426426426426415</v>
      </c>
      <c r="AM140" s="127">
        <v>0</v>
      </c>
      <c r="AN140" s="127">
        <v>0</v>
      </c>
      <c r="AO140" s="127">
        <f t="shared" si="34"/>
        <v>0.65573573573573585</v>
      </c>
      <c r="AP140" s="127">
        <v>0</v>
      </c>
      <c r="AQ140" s="27">
        <f t="shared" si="35"/>
        <v>1</v>
      </c>
    </row>
    <row r="141" spans="1:43" s="103" customFormat="1">
      <c r="B141" s="23">
        <v>2027</v>
      </c>
      <c r="C141" s="127">
        <f t="shared" si="36"/>
        <v>0.27357954545454521</v>
      </c>
      <c r="D141" s="26">
        <v>0.12</v>
      </c>
      <c r="E141" s="26">
        <v>0.12</v>
      </c>
      <c r="F141" s="26">
        <v>0.05</v>
      </c>
      <c r="G141" s="26">
        <v>0.14000000000000001</v>
      </c>
      <c r="H141" s="26">
        <f t="shared" si="40"/>
        <v>0.29642045454545474</v>
      </c>
      <c r="I141" s="27">
        <f t="shared" si="33"/>
        <v>1</v>
      </c>
      <c r="L141" s="23">
        <v>2027</v>
      </c>
      <c r="M141" s="127">
        <f t="shared" si="41"/>
        <v>0.32099999999999973</v>
      </c>
      <c r="N141" s="127">
        <f t="shared" si="37"/>
        <v>0.08</v>
      </c>
      <c r="O141" s="127">
        <f t="shared" si="37"/>
        <v>0.13900000000000023</v>
      </c>
      <c r="P141" s="127">
        <f t="shared" si="37"/>
        <v>0.06</v>
      </c>
      <c r="Q141" s="26">
        <v>0.08</v>
      </c>
      <c r="R141" s="26">
        <v>0.32</v>
      </c>
      <c r="S141" s="27">
        <f t="shared" si="38"/>
        <v>1</v>
      </c>
      <c r="T141" s="26"/>
      <c r="X141" s="23">
        <v>2027</v>
      </c>
      <c r="Y141" s="163">
        <f>(C141-M141*'Future Type Share'!$AE28)/(1-'Future Type Share'!$AE28)</f>
        <v>6.3890229191796754E-3</v>
      </c>
      <c r="Z141" s="163">
        <f>(D141-N141*'Future Type Share'!$AE28)/(1-'Future Type Share'!$AE28)</f>
        <v>0.34537997587454744</v>
      </c>
      <c r="AA141" s="163">
        <f>(E141-O141*'Future Type Share'!$AE28)/(1-'Future Type Share'!$AE28)</f>
        <v>1.2944511459588618E-2</v>
      </c>
      <c r="AB141" s="163">
        <f>(F141-P141*'Future Type Share'!$AE28)/(1-'Future Type Share'!$AE28)</f>
        <v>-6.3449939686368211E-3</v>
      </c>
      <c r="AC141" s="163">
        <f>(G141-Q141*'Future Type Share'!$AE28)/(1-'Future Type Share'!$AE28)</f>
        <v>0.47806996381182132</v>
      </c>
      <c r="AD141" s="163">
        <f>(H141-R141*'Future Type Share'!$AE28)/(1-'Future Type Share'!$AE28)</f>
        <v>0.1635615199034996</v>
      </c>
      <c r="AE141" s="27">
        <f t="shared" si="39"/>
        <v>1</v>
      </c>
      <c r="AF141" s="26"/>
      <c r="AG141" s="26"/>
      <c r="AH141" s="26"/>
      <c r="AJ141" s="170">
        <v>2027</v>
      </c>
      <c r="AK141" s="127">
        <v>0</v>
      </c>
      <c r="AL141" s="127">
        <v>0.34537997587454744</v>
      </c>
      <c r="AM141" s="127">
        <v>0</v>
      </c>
      <c r="AN141" s="127">
        <v>0</v>
      </c>
      <c r="AO141" s="127">
        <f t="shared" si="34"/>
        <v>0.6546200241254525</v>
      </c>
      <c r="AP141" s="127">
        <v>0</v>
      </c>
      <c r="AQ141" s="27">
        <f t="shared" si="35"/>
        <v>1</v>
      </c>
    </row>
    <row r="142" spans="1:43" s="103" customFormat="1">
      <c r="B142" s="23">
        <v>2028</v>
      </c>
      <c r="C142" s="127">
        <f t="shared" si="36"/>
        <v>0.27443181818181789</v>
      </c>
      <c r="D142" s="26">
        <v>0.12</v>
      </c>
      <c r="E142" s="26">
        <v>0.12</v>
      </c>
      <c r="F142" s="26">
        <v>0.05</v>
      </c>
      <c r="G142" s="26">
        <v>0.14000000000000001</v>
      </c>
      <c r="H142" s="26">
        <f t="shared" si="40"/>
        <v>0.29556818181818206</v>
      </c>
      <c r="I142" s="27">
        <f t="shared" si="33"/>
        <v>1</v>
      </c>
      <c r="L142" s="23">
        <v>2028</v>
      </c>
      <c r="M142" s="127">
        <f t="shared" si="41"/>
        <v>0.32199999999999962</v>
      </c>
      <c r="N142" s="127">
        <f t="shared" si="37"/>
        <v>0.08</v>
      </c>
      <c r="O142" s="127">
        <f t="shared" si="37"/>
        <v>0.13800000000000034</v>
      </c>
      <c r="P142" s="127">
        <f t="shared" si="37"/>
        <v>0.06</v>
      </c>
      <c r="Q142" s="26">
        <v>0.08</v>
      </c>
      <c r="R142" s="26">
        <v>0.32</v>
      </c>
      <c r="S142" s="27">
        <f t="shared" si="38"/>
        <v>1</v>
      </c>
      <c r="T142" s="26"/>
      <c r="X142" s="23">
        <v>2028</v>
      </c>
      <c r="Y142" s="163">
        <f>(C142-M142*'Future Type Share'!$AE29)/(1-'Future Type Share'!$AE29)</f>
        <v>5.0708661417324472E-3</v>
      </c>
      <c r="Z142" s="163">
        <f>(D142-N142*'Future Type Share'!$AE29)/(1-'Future Type Share'!$AE29)</f>
        <v>0.3465051483949122</v>
      </c>
      <c r="AA142" s="163">
        <f>(E142-O142*'Future Type Share'!$AE29)/(1-'Future Type Share'!$AE29)</f>
        <v>1.8072683222287486E-2</v>
      </c>
      <c r="AB142" s="163">
        <f>(F142-P142*'Future Type Share'!$AE29)/(1-'Future Type Share'!$AE29)</f>
        <v>-6.6262870987280108E-3</v>
      </c>
      <c r="AC142" s="163">
        <f>(G142-Q142*'Future Type Share'!$AE29)/(1-'Future Type Share'!$AE29)</f>
        <v>0.47975772259236849</v>
      </c>
      <c r="AD142" s="163">
        <f>(H142-R142*'Future Type Share'!$AE29)/(1-'Future Type Share'!$AE29)</f>
        <v>0.15721986674742744</v>
      </c>
      <c r="AE142" s="27">
        <f t="shared" si="39"/>
        <v>1</v>
      </c>
      <c r="AF142" s="26"/>
      <c r="AG142" s="26"/>
      <c r="AH142" s="26"/>
      <c r="AJ142" s="170">
        <v>2028</v>
      </c>
      <c r="AK142" s="127">
        <v>0</v>
      </c>
      <c r="AL142" s="127">
        <v>0.3465051483949122</v>
      </c>
      <c r="AM142" s="127">
        <v>0</v>
      </c>
      <c r="AN142" s="127">
        <v>0</v>
      </c>
      <c r="AO142" s="127">
        <f t="shared" si="34"/>
        <v>0.6534948516050878</v>
      </c>
      <c r="AP142" s="127">
        <v>0</v>
      </c>
      <c r="AQ142" s="27">
        <f t="shared" si="35"/>
        <v>1</v>
      </c>
    </row>
    <row r="143" spans="1:43" s="103" customFormat="1">
      <c r="B143" s="23">
        <v>2029</v>
      </c>
      <c r="C143" s="127">
        <f t="shared" si="36"/>
        <v>0.27528409090909051</v>
      </c>
      <c r="D143" s="26">
        <v>0.12</v>
      </c>
      <c r="E143" s="26">
        <v>0.12</v>
      </c>
      <c r="F143" s="26">
        <v>0.05</v>
      </c>
      <c r="G143" s="26">
        <v>0.14000000000000001</v>
      </c>
      <c r="H143" s="26">
        <f t="shared" si="40"/>
        <v>0.29471590909090944</v>
      </c>
      <c r="I143" s="27">
        <f t="shared" si="33"/>
        <v>1</v>
      </c>
      <c r="L143" s="23">
        <v>2029</v>
      </c>
      <c r="M143" s="127">
        <f t="shared" si="41"/>
        <v>0.32299999999999951</v>
      </c>
      <c r="N143" s="127">
        <f t="shared" si="37"/>
        <v>0.08</v>
      </c>
      <c r="O143" s="127">
        <f t="shared" si="37"/>
        <v>0.13700000000000045</v>
      </c>
      <c r="P143" s="127">
        <f t="shared" si="37"/>
        <v>0.06</v>
      </c>
      <c r="Q143" s="26">
        <v>0.08</v>
      </c>
      <c r="R143" s="26">
        <v>0.32</v>
      </c>
      <c r="S143" s="27">
        <f t="shared" si="38"/>
        <v>1</v>
      </c>
      <c r="T143" s="26"/>
      <c r="X143" s="23">
        <v>2029</v>
      </c>
      <c r="Y143" s="163">
        <f>(C143-M143*'Future Type Share'!$AE30)/(1-'Future Type Share'!$AE30)</f>
        <v>3.7329683698299884E-3</v>
      </c>
      <c r="Z143" s="163">
        <f>(D143-N143*'Future Type Share'!$AE30)/(1-'Future Type Share'!$AE30)</f>
        <v>0.34763990267639888</v>
      </c>
      <c r="AA143" s="163">
        <f>(E143-O143*'Future Type Share'!$AE30)/(1-'Future Type Share'!$AE30)</f>
        <v>2.3253041362527822E-2</v>
      </c>
      <c r="AB143" s="163">
        <f>(F143-P143*'Future Type Share'!$AE30)/(1-'Future Type Share'!$AE30)</f>
        <v>-6.9099756690996798E-3</v>
      </c>
      <c r="AC143" s="163">
        <f>(G143-Q143*'Future Type Share'!$AE30)/(1-'Future Type Share'!$AE30)</f>
        <v>0.48145985401459845</v>
      </c>
      <c r="AD143" s="163">
        <f>(H143-R143*'Future Type Share'!$AE30)/(1-'Future Type Share'!$AE30)</f>
        <v>0.15082420924574447</v>
      </c>
      <c r="AE143" s="27">
        <f t="shared" si="39"/>
        <v>0.99999999999999989</v>
      </c>
      <c r="AF143" s="26"/>
      <c r="AG143" s="26"/>
      <c r="AH143" s="26"/>
      <c r="AJ143" s="170">
        <v>2029</v>
      </c>
      <c r="AK143" s="127">
        <v>0</v>
      </c>
      <c r="AL143" s="127">
        <v>0.34763990267639888</v>
      </c>
      <c r="AM143" s="127">
        <v>0</v>
      </c>
      <c r="AN143" s="127">
        <v>0</v>
      </c>
      <c r="AO143" s="127">
        <f t="shared" si="34"/>
        <v>0.65236009732360112</v>
      </c>
      <c r="AP143" s="127">
        <v>0</v>
      </c>
      <c r="AQ143" s="27">
        <f t="shared" si="35"/>
        <v>1</v>
      </c>
    </row>
    <row r="144" spans="1:43" s="103" customFormat="1">
      <c r="B144" s="23">
        <v>2030</v>
      </c>
      <c r="C144" s="127">
        <f t="shared" si="36"/>
        <v>0.27613636363636346</v>
      </c>
      <c r="D144" s="26">
        <v>0.12</v>
      </c>
      <c r="E144" s="26">
        <v>0.12</v>
      </c>
      <c r="F144" s="26">
        <v>0.05</v>
      </c>
      <c r="G144" s="26">
        <v>0.14000000000000001</v>
      </c>
      <c r="H144" s="26">
        <f t="shared" si="40"/>
        <v>0.29386363636363649</v>
      </c>
      <c r="I144" s="27">
        <f t="shared" si="33"/>
        <v>1</v>
      </c>
      <c r="L144" s="23">
        <v>2030</v>
      </c>
      <c r="M144" s="127">
        <f t="shared" si="41"/>
        <v>0.32399999999999984</v>
      </c>
      <c r="N144" s="127">
        <f t="shared" si="37"/>
        <v>0.08</v>
      </c>
      <c r="O144" s="127">
        <f t="shared" si="37"/>
        <v>0.13600000000000012</v>
      </c>
      <c r="P144" s="127">
        <f t="shared" si="37"/>
        <v>0.06</v>
      </c>
      <c r="Q144" s="26">
        <v>0.08</v>
      </c>
      <c r="R144" s="26">
        <v>0.32</v>
      </c>
      <c r="S144" s="27">
        <f t="shared" si="38"/>
        <v>1</v>
      </c>
      <c r="T144" s="26"/>
      <c r="X144" s="23">
        <v>2030</v>
      </c>
      <c r="Y144" s="163">
        <f>(C144-M144*'Future Type Share'!$AE31)/(1-'Future Type Share'!$AE31)</f>
        <v>2.375076359193277E-3</v>
      </c>
      <c r="Z144" s="163">
        <f>(D144-N144*'Future Type Share'!$AE31)/(1-'Future Type Share'!$AE31)</f>
        <v>0.34878436163714122</v>
      </c>
      <c r="AA144" s="163">
        <f>(E144-O144*'Future Type Share'!$AE31)/(1-'Future Type Share'!$AE31)</f>
        <v>2.8486255345142753E-2</v>
      </c>
      <c r="AB144" s="163">
        <f>(F144-P144*'Future Type Share'!$AE31)/(1-'Future Type Share'!$AE31)</f>
        <v>-7.1960904092852598E-3</v>
      </c>
      <c r="AC144" s="163">
        <f>(G144-Q144*'Future Type Share'!$AE31)/(1-'Future Type Share'!$AE31)</f>
        <v>0.48317654245571195</v>
      </c>
      <c r="AD144" s="163">
        <f>(H144-R144*'Future Type Share'!$AE31)/(1-'Future Type Share'!$AE31)</f>
        <v>0.14437385461209601</v>
      </c>
      <c r="AE144" s="27">
        <f t="shared" si="39"/>
        <v>1</v>
      </c>
      <c r="AF144" s="26"/>
      <c r="AG144" s="26"/>
      <c r="AH144" s="26"/>
      <c r="AJ144" s="170">
        <v>2030</v>
      </c>
      <c r="AK144" s="127">
        <v>0</v>
      </c>
      <c r="AL144" s="127">
        <v>0.34878436163714122</v>
      </c>
      <c r="AM144" s="127">
        <v>0</v>
      </c>
      <c r="AN144" s="127">
        <v>0</v>
      </c>
      <c r="AO144" s="127">
        <f t="shared" si="34"/>
        <v>0.65121563836285878</v>
      </c>
      <c r="AP144" s="127">
        <v>0</v>
      </c>
      <c r="AQ144" s="27">
        <f t="shared" si="35"/>
        <v>1</v>
      </c>
    </row>
    <row r="145" spans="2:43" s="103" customFormat="1">
      <c r="B145" s="23">
        <v>2031</v>
      </c>
      <c r="C145" s="127">
        <f t="shared" si="36"/>
        <v>0.27698863636363619</v>
      </c>
      <c r="D145" s="26">
        <v>0.12</v>
      </c>
      <c r="E145" s="26">
        <v>0.12</v>
      </c>
      <c r="F145" s="26">
        <v>0.05</v>
      </c>
      <c r="G145" s="26">
        <v>0.14000000000000001</v>
      </c>
      <c r="H145" s="26">
        <f t="shared" si="40"/>
        <v>0.29301136363636376</v>
      </c>
      <c r="I145" s="27">
        <f t="shared" si="33"/>
        <v>1</v>
      </c>
      <c r="L145" s="23">
        <v>2031</v>
      </c>
      <c r="M145" s="127">
        <f t="shared" si="41"/>
        <v>0.32499999999999973</v>
      </c>
      <c r="N145" s="127">
        <f t="shared" si="37"/>
        <v>0.08</v>
      </c>
      <c r="O145" s="127">
        <f t="shared" si="37"/>
        <v>0.13500000000000023</v>
      </c>
      <c r="P145" s="127">
        <f t="shared" si="37"/>
        <v>0.06</v>
      </c>
      <c r="Q145" s="26">
        <v>0.08</v>
      </c>
      <c r="R145" s="26">
        <v>0.32</v>
      </c>
      <c r="S145" s="27">
        <f t="shared" si="38"/>
        <v>1</v>
      </c>
      <c r="T145" s="26"/>
      <c r="X145" s="23">
        <v>2031</v>
      </c>
      <c r="Y145" s="163">
        <f>(C145-M145*'Future Type Share'!$AE32)/(1-'Future Type Share'!$AE32)</f>
        <v>9.9693251533779031E-4</v>
      </c>
      <c r="Z145" s="163">
        <f>(D145-N145*'Future Type Share'!$AE32)/(1-'Future Type Share'!$AE32)</f>
        <v>0.34993865030674837</v>
      </c>
      <c r="AA145" s="163">
        <f>(E145-O145*'Future Type Share'!$AE32)/(1-'Future Type Share'!$AE32)</f>
        <v>3.3773006134968024E-2</v>
      </c>
      <c r="AB145" s="163">
        <f>(F145-P145*'Future Type Share'!$AE32)/(1-'Future Type Share'!$AE32)</f>
        <v>-7.4846625766871004E-3</v>
      </c>
      <c r="AC145" s="163">
        <f>(G145-Q145*'Future Type Share'!$AE32)/(1-'Future Type Share'!$AE32)</f>
        <v>0.48490797546012271</v>
      </c>
      <c r="AD145" s="163">
        <f>(H145-R145*'Future Type Share'!$AE32)/(1-'Future Type Share'!$AE32)</f>
        <v>0.1378680981595099</v>
      </c>
      <c r="AE145" s="27">
        <f t="shared" si="39"/>
        <v>0.99999999999999978</v>
      </c>
      <c r="AF145" s="26"/>
      <c r="AG145" s="26"/>
      <c r="AH145" s="26"/>
      <c r="AJ145" s="170">
        <v>2031</v>
      </c>
      <c r="AK145" s="127">
        <v>0</v>
      </c>
      <c r="AL145" s="127">
        <v>0.34993865030674837</v>
      </c>
      <c r="AM145" s="127">
        <v>0</v>
      </c>
      <c r="AN145" s="127">
        <v>0</v>
      </c>
      <c r="AO145" s="127">
        <f t="shared" si="34"/>
        <v>0.65006134969325169</v>
      </c>
      <c r="AP145" s="127">
        <v>0</v>
      </c>
      <c r="AQ145" s="27">
        <f t="shared" si="35"/>
        <v>1</v>
      </c>
    </row>
    <row r="146" spans="2:43" s="103" customFormat="1">
      <c r="B146" s="23">
        <v>2032</v>
      </c>
      <c r="C146" s="127">
        <f t="shared" si="36"/>
        <v>0.27784090909090881</v>
      </c>
      <c r="D146" s="26">
        <v>0.12</v>
      </c>
      <c r="E146" s="26">
        <v>0.12</v>
      </c>
      <c r="F146" s="26">
        <v>0.05</v>
      </c>
      <c r="G146" s="26">
        <v>0.14000000000000001</v>
      </c>
      <c r="H146" s="26">
        <f t="shared" si="40"/>
        <v>0.29215909090909115</v>
      </c>
      <c r="I146" s="27">
        <f t="shared" si="33"/>
        <v>1</v>
      </c>
      <c r="L146" s="23">
        <v>2032</v>
      </c>
      <c r="M146" s="127">
        <f t="shared" si="41"/>
        <v>0.32599999999999962</v>
      </c>
      <c r="N146" s="127">
        <f t="shared" si="37"/>
        <v>0.08</v>
      </c>
      <c r="O146" s="127">
        <f t="shared" si="37"/>
        <v>0.13400000000000034</v>
      </c>
      <c r="P146" s="127">
        <f t="shared" si="37"/>
        <v>0.06</v>
      </c>
      <c r="Q146" s="26">
        <v>0.08</v>
      </c>
      <c r="R146" s="26">
        <v>0.32</v>
      </c>
      <c r="S146" s="27">
        <f t="shared" si="38"/>
        <v>1</v>
      </c>
      <c r="T146" s="26"/>
      <c r="X146" s="23">
        <v>2032</v>
      </c>
      <c r="Y146" s="163">
        <f>(C146-M146*'Future Type Share'!$AE33)/(1-'Future Type Share'!$AE33)</f>
        <v>-4.0172520024617459E-4</v>
      </c>
      <c r="Z146" s="163">
        <f>(D146-N146*'Future Type Share'!$AE33)/(1-'Future Type Share'!$AE33)</f>
        <v>0.35110289587184207</v>
      </c>
      <c r="AA146" s="163">
        <f>(E146-O146*'Future Type Share'!$AE33)/(1-'Future Type Share'!$AE33)</f>
        <v>3.9113986444853283E-2</v>
      </c>
      <c r="AB146" s="163">
        <f>(F146-P146*'Future Type Share'!$AE33)/(1-'Future Type Share'!$AE33)</f>
        <v>-7.7757239679605052E-3</v>
      </c>
      <c r="AC146" s="163">
        <f>(G146-Q146*'Future Type Share'!$AE33)/(1-'Future Type Share'!$AE33)</f>
        <v>0.48665434380776323</v>
      </c>
      <c r="AD146" s="163">
        <f>(H146-R146*'Future Type Share'!$AE33)/(1-'Future Type Share'!$AE33)</f>
        <v>0.13130622304374798</v>
      </c>
      <c r="AE146" s="27">
        <f t="shared" si="39"/>
        <v>0.99999999999999989</v>
      </c>
      <c r="AF146" s="26"/>
      <c r="AG146" s="26"/>
      <c r="AH146" s="26"/>
      <c r="AJ146" s="170">
        <v>2032</v>
      </c>
      <c r="AK146" s="127">
        <v>0</v>
      </c>
      <c r="AL146" s="127">
        <v>0.35110289587184207</v>
      </c>
      <c r="AM146" s="127">
        <v>0</v>
      </c>
      <c r="AN146" s="127">
        <v>0</v>
      </c>
      <c r="AO146" s="127">
        <f t="shared" si="34"/>
        <v>0.64889710412815793</v>
      </c>
      <c r="AP146" s="127">
        <v>0</v>
      </c>
      <c r="AQ146" s="27">
        <f t="shared" si="35"/>
        <v>1</v>
      </c>
    </row>
    <row r="147" spans="2:43" s="103" customFormat="1">
      <c r="B147" s="23">
        <v>2033</v>
      </c>
      <c r="C147" s="127">
        <f t="shared" si="36"/>
        <v>0.27869318181818142</v>
      </c>
      <c r="D147" s="26">
        <v>0.12</v>
      </c>
      <c r="E147" s="26">
        <v>0.12</v>
      </c>
      <c r="F147" s="26">
        <v>0.05</v>
      </c>
      <c r="G147" s="26">
        <v>0.14000000000000001</v>
      </c>
      <c r="H147" s="26">
        <f t="shared" si="40"/>
        <v>0.29130681818181853</v>
      </c>
      <c r="I147" s="27">
        <f t="shared" si="33"/>
        <v>1</v>
      </c>
      <c r="L147" s="23">
        <v>2033</v>
      </c>
      <c r="M147" s="127">
        <f t="shared" si="41"/>
        <v>0.32699999999999951</v>
      </c>
      <c r="N147" s="127">
        <f t="shared" si="37"/>
        <v>0.08</v>
      </c>
      <c r="O147" s="127">
        <f t="shared" si="37"/>
        <v>0.13300000000000045</v>
      </c>
      <c r="P147" s="127">
        <f t="shared" si="37"/>
        <v>0.06</v>
      </c>
      <c r="Q147" s="26">
        <v>0.08</v>
      </c>
      <c r="R147" s="26">
        <v>0.32</v>
      </c>
      <c r="S147" s="27">
        <f t="shared" si="38"/>
        <v>1</v>
      </c>
      <c r="T147" s="26"/>
      <c r="X147" s="23">
        <v>2033</v>
      </c>
      <c r="Y147" s="163">
        <f>(C147-M147*'Future Type Share'!$AE34)/(1-'Future Type Share'!$AE34)</f>
        <v>-1.8211633663365145E-3</v>
      </c>
      <c r="Z147" s="163">
        <f>(D147-N147*'Future Type Share'!$AE34)/(1-'Future Type Share'!$AE34)</f>
        <v>0.35227722772277231</v>
      </c>
      <c r="AA147" s="163">
        <f>(E147-O147*'Future Type Share'!$AE34)/(1-'Future Type Share'!$AE34)</f>
        <v>4.4509900990096309E-2</v>
      </c>
      <c r="AB147" s="163">
        <f>(F147-P147*'Future Type Share'!$AE34)/(1-'Future Type Share'!$AE34)</f>
        <v>-8.0693069306930678E-3</v>
      </c>
      <c r="AC147" s="163">
        <f>(G147-Q147*'Future Type Share'!$AE34)/(1-'Future Type Share'!$AE34)</f>
        <v>0.48841584158415863</v>
      </c>
      <c r="AD147" s="163">
        <f>(H147-R147*'Future Type Share'!$AE34)/(1-'Future Type Share'!$AE34)</f>
        <v>0.12468750000000242</v>
      </c>
      <c r="AE147" s="27">
        <f t="shared" si="39"/>
        <v>1.0000000000000002</v>
      </c>
      <c r="AF147" s="26"/>
      <c r="AG147" s="26"/>
      <c r="AH147" s="26"/>
      <c r="AJ147" s="170">
        <v>2033</v>
      </c>
      <c r="AK147" s="127">
        <v>0</v>
      </c>
      <c r="AL147" s="127">
        <v>0.35227722772277231</v>
      </c>
      <c r="AM147" s="127">
        <v>0</v>
      </c>
      <c r="AN147" s="127">
        <v>0</v>
      </c>
      <c r="AO147" s="127">
        <f t="shared" si="34"/>
        <v>0.64772277227722763</v>
      </c>
      <c r="AP147" s="127">
        <v>0</v>
      </c>
      <c r="AQ147" s="27">
        <f t="shared" si="35"/>
        <v>1</v>
      </c>
    </row>
    <row r="148" spans="2:43" s="103" customFormat="1">
      <c r="B148" s="23">
        <v>2034</v>
      </c>
      <c r="C148" s="127">
        <f t="shared" si="36"/>
        <v>0.27954545454545443</v>
      </c>
      <c r="D148" s="26">
        <v>0.12</v>
      </c>
      <c r="E148" s="26">
        <v>0.12</v>
      </c>
      <c r="F148" s="26">
        <v>0.05</v>
      </c>
      <c r="G148" s="26">
        <v>0.14000000000000001</v>
      </c>
      <c r="H148" s="26">
        <f t="shared" si="40"/>
        <v>0.29045454545454552</v>
      </c>
      <c r="I148" s="27">
        <f t="shared" si="33"/>
        <v>1</v>
      </c>
      <c r="L148" s="23">
        <v>2034</v>
      </c>
      <c r="M148" s="127">
        <f t="shared" si="41"/>
        <v>0.32799999999999985</v>
      </c>
      <c r="N148" s="127">
        <f t="shared" si="37"/>
        <v>0.08</v>
      </c>
      <c r="O148" s="127">
        <f t="shared" si="37"/>
        <v>0.13200000000000012</v>
      </c>
      <c r="P148" s="127">
        <f t="shared" si="37"/>
        <v>0.06</v>
      </c>
      <c r="Q148" s="26">
        <v>0.08</v>
      </c>
      <c r="R148" s="26">
        <v>0.32</v>
      </c>
      <c r="S148" s="27">
        <f t="shared" si="38"/>
        <v>1</v>
      </c>
      <c r="T148" s="26"/>
      <c r="X148" s="23">
        <v>2034</v>
      </c>
      <c r="Y148" s="163">
        <f>(C148-M148*'Future Type Share'!$AE35)/(1-'Future Type Share'!$AE35)</f>
        <v>-3.2616532007455463E-3</v>
      </c>
      <c r="Z148" s="163">
        <f>(D148-N148*'Future Type Share'!$AE35)/(1-'Future Type Share'!$AE35)</f>
        <v>0.35346177750155361</v>
      </c>
      <c r="AA148" s="163">
        <f>(E148-O148*'Future Type Share'!$AE35)/(1-'Future Type Share'!$AE35)</f>
        <v>4.9961466749533154E-2</v>
      </c>
      <c r="AB148" s="163">
        <f>(F148-P148*'Future Type Share'!$AE35)/(1-'Future Type Share'!$AE35)</f>
        <v>-8.3654443753883936E-3</v>
      </c>
      <c r="AC148" s="163">
        <f>(G148-Q148*'Future Type Share'!$AE35)/(1-'Future Type Share'!$AE35)</f>
        <v>0.49019266625233054</v>
      </c>
      <c r="AD148" s="163">
        <f>(H148-R148*'Future Type Share'!$AE35)/(1-'Future Type Share'!$AE35)</f>
        <v>0.1180111870727165</v>
      </c>
      <c r="AE148" s="27">
        <f t="shared" si="39"/>
        <v>0.99999999999999989</v>
      </c>
      <c r="AF148" s="26"/>
      <c r="AG148" s="26"/>
      <c r="AH148" s="26"/>
      <c r="AJ148" s="170">
        <v>2034</v>
      </c>
      <c r="AK148" s="127">
        <v>0</v>
      </c>
      <c r="AL148" s="127">
        <v>0.35346177750155361</v>
      </c>
      <c r="AM148" s="127">
        <v>0</v>
      </c>
      <c r="AN148" s="127">
        <v>0</v>
      </c>
      <c r="AO148" s="127">
        <f t="shared" si="34"/>
        <v>0.64653822249844639</v>
      </c>
      <c r="AP148" s="127">
        <v>0</v>
      </c>
      <c r="AQ148" s="27">
        <f t="shared" si="35"/>
        <v>1</v>
      </c>
    </row>
    <row r="149" spans="2:43" s="103" customFormat="1">
      <c r="B149" s="23">
        <v>2035</v>
      </c>
      <c r="C149" s="127">
        <f t="shared" si="36"/>
        <v>0.28039772727272705</v>
      </c>
      <c r="D149" s="26">
        <v>0.12</v>
      </c>
      <c r="E149" s="26">
        <v>0.12</v>
      </c>
      <c r="F149" s="26">
        <v>0.05</v>
      </c>
      <c r="G149" s="26">
        <v>0.14000000000000001</v>
      </c>
      <c r="H149" s="26">
        <f t="shared" si="40"/>
        <v>0.2896022727272729</v>
      </c>
      <c r="I149" s="27">
        <f t="shared" si="33"/>
        <v>1</v>
      </c>
      <c r="L149" s="23">
        <v>2035</v>
      </c>
      <c r="M149" s="127">
        <f t="shared" si="41"/>
        <v>0.32899999999999974</v>
      </c>
      <c r="N149" s="127">
        <f t="shared" si="37"/>
        <v>0.08</v>
      </c>
      <c r="O149" s="127">
        <f t="shared" si="37"/>
        <v>0.13100000000000023</v>
      </c>
      <c r="P149" s="127">
        <f t="shared" si="37"/>
        <v>0.06</v>
      </c>
      <c r="Q149" s="26">
        <v>0.08</v>
      </c>
      <c r="R149" s="26">
        <v>0.32</v>
      </c>
      <c r="S149" s="27">
        <f t="shared" si="38"/>
        <v>1</v>
      </c>
      <c r="T149" s="26"/>
      <c r="X149" s="23">
        <v>2035</v>
      </c>
      <c r="Y149" s="163">
        <f>(C149-M149*'Future Type Share'!$AE36)/(1-'Future Type Share'!$AE36)</f>
        <v>-4.7234706616729747E-3</v>
      </c>
      <c r="Z149" s="163">
        <f>(D149-N149*'Future Type Share'!$AE36)/(1-'Future Type Share'!$AE36)</f>
        <v>0.3546566791510613</v>
      </c>
      <c r="AA149" s="163">
        <f>(E149-O149*'Future Type Share'!$AE36)/(1-'Future Type Share'!$AE36)</f>
        <v>5.5469413233456756E-2</v>
      </c>
      <c r="AB149" s="163">
        <f>(F149-P149*'Future Type Share'!$AE36)/(1-'Future Type Share'!$AE36)</f>
        <v>-8.6641697877653089E-3</v>
      </c>
      <c r="AC149" s="163">
        <f>(G149-Q149*'Future Type Share'!$AE36)/(1-'Future Type Share'!$AE36)</f>
        <v>0.49198501872659206</v>
      </c>
      <c r="AD149" s="163">
        <f>(H149-R149*'Future Type Share'!$AE36)/(1-'Future Type Share'!$AE36)</f>
        <v>0.11127652933832818</v>
      </c>
      <c r="AE149" s="27">
        <f t="shared" si="39"/>
        <v>1</v>
      </c>
      <c r="AF149" s="26"/>
      <c r="AG149" s="26"/>
      <c r="AH149" s="26"/>
      <c r="AJ149" s="170">
        <v>2035</v>
      </c>
      <c r="AK149" s="127">
        <v>0</v>
      </c>
      <c r="AL149" s="127">
        <v>0.3546566791510613</v>
      </c>
      <c r="AM149" s="127">
        <v>0</v>
      </c>
      <c r="AN149" s="127">
        <v>0</v>
      </c>
      <c r="AO149" s="127">
        <f t="shared" si="34"/>
        <v>0.64534332084893875</v>
      </c>
      <c r="AP149" s="127">
        <v>0</v>
      </c>
      <c r="AQ149" s="27">
        <f t="shared" si="35"/>
        <v>1</v>
      </c>
    </row>
    <row r="150" spans="2:43" s="103" customFormat="1">
      <c r="B150" s="23">
        <v>2036</v>
      </c>
      <c r="C150" s="127">
        <f t="shared" si="36"/>
        <v>0.28124999999999967</v>
      </c>
      <c r="D150" s="26">
        <v>0.12</v>
      </c>
      <c r="E150" s="26">
        <v>0.12</v>
      </c>
      <c r="F150" s="26">
        <v>0.05</v>
      </c>
      <c r="G150" s="26">
        <v>0.14000000000000001</v>
      </c>
      <c r="H150" s="26">
        <f t="shared" si="40"/>
        <v>0.28875000000000028</v>
      </c>
      <c r="I150" s="27">
        <f t="shared" si="33"/>
        <v>1</v>
      </c>
      <c r="L150" s="23">
        <v>2036</v>
      </c>
      <c r="M150" s="127">
        <f t="shared" si="41"/>
        <v>0.32999999999999963</v>
      </c>
      <c r="N150" s="127">
        <f t="shared" si="37"/>
        <v>0.08</v>
      </c>
      <c r="O150" s="127">
        <f t="shared" si="37"/>
        <v>0.13000000000000034</v>
      </c>
      <c r="P150" s="127">
        <f t="shared" si="37"/>
        <v>0.06</v>
      </c>
      <c r="Q150" s="26">
        <v>0.08</v>
      </c>
      <c r="R150" s="26">
        <v>0.32</v>
      </c>
      <c r="S150" s="27">
        <f t="shared" si="38"/>
        <v>1</v>
      </c>
      <c r="T150" s="26"/>
      <c r="X150" s="23">
        <v>2036</v>
      </c>
      <c r="Y150" s="163">
        <f>(C150-M150*'Future Type Share'!$AE37)/(1-'Future Type Share'!$AE37)</f>
        <v>-6.2068965517242192E-3</v>
      </c>
      <c r="Z150" s="163">
        <f>(D150-N150*'Future Type Share'!$AE37)/(1-'Future Type Share'!$AE37)</f>
        <v>0.35586206896551714</v>
      </c>
      <c r="AA150" s="163">
        <f>(E150-O150*'Future Type Share'!$AE37)/(1-'Future Type Share'!$AE37)</f>
        <v>6.1034482758618648E-2</v>
      </c>
      <c r="AB150" s="163">
        <f>(F150-P150*'Future Type Share'!$AE37)/(1-'Future Type Share'!$AE37)</f>
        <v>-8.9655172413792786E-3</v>
      </c>
      <c r="AC150" s="163">
        <f>(G150-Q150*'Future Type Share'!$AE37)/(1-'Future Type Share'!$AE37)</f>
        <v>0.49379310344827587</v>
      </c>
      <c r="AD150" s="163">
        <f>(H150-R150*'Future Type Share'!$AE37)/(1-'Future Type Share'!$AE37)</f>
        <v>0.10448275862069153</v>
      </c>
      <c r="AE150" s="27">
        <f t="shared" si="39"/>
        <v>0.99999999999999978</v>
      </c>
      <c r="AF150" s="26"/>
      <c r="AG150" s="26"/>
      <c r="AH150" s="26"/>
      <c r="AJ150" s="170">
        <v>2036</v>
      </c>
      <c r="AK150" s="127">
        <v>0</v>
      </c>
      <c r="AL150" s="127">
        <v>0.35586206896551714</v>
      </c>
      <c r="AM150" s="127">
        <v>0</v>
      </c>
      <c r="AN150" s="127">
        <v>0</v>
      </c>
      <c r="AO150" s="127">
        <f t="shared" si="34"/>
        <v>0.6441379310344828</v>
      </c>
      <c r="AP150" s="127">
        <v>0</v>
      </c>
      <c r="AQ150" s="27">
        <f t="shared" si="35"/>
        <v>1</v>
      </c>
    </row>
    <row r="151" spans="2:43" s="103" customFormat="1">
      <c r="B151" s="23">
        <v>2037</v>
      </c>
      <c r="C151" s="127">
        <f t="shared" si="36"/>
        <v>0.28210227272727234</v>
      </c>
      <c r="D151" s="26">
        <v>0.12</v>
      </c>
      <c r="E151" s="26">
        <v>0.12</v>
      </c>
      <c r="F151" s="26">
        <v>0.05</v>
      </c>
      <c r="G151" s="26">
        <v>0.14000000000000001</v>
      </c>
      <c r="H151" s="26">
        <f t="shared" si="40"/>
        <v>0.28789772727272761</v>
      </c>
      <c r="I151" s="27">
        <f t="shared" si="33"/>
        <v>1</v>
      </c>
      <c r="L151" s="23">
        <v>2037</v>
      </c>
      <c r="M151" s="127">
        <f t="shared" si="41"/>
        <v>0.33099999999999952</v>
      </c>
      <c r="N151" s="127">
        <f t="shared" ref="N151:P164" si="42">TREND(N$126:N$130,$L$126:$L$130,$L151)</f>
        <v>0.08</v>
      </c>
      <c r="O151" s="127">
        <f t="shared" si="42"/>
        <v>0.12900000000000045</v>
      </c>
      <c r="P151" s="127">
        <f t="shared" si="42"/>
        <v>0.06</v>
      </c>
      <c r="Q151" s="26">
        <v>0.08</v>
      </c>
      <c r="R151" s="26">
        <v>0.32</v>
      </c>
      <c r="S151" s="27">
        <f t="shared" si="38"/>
        <v>1</v>
      </c>
      <c r="T151" s="26"/>
      <c r="X151" s="23">
        <v>2037</v>
      </c>
      <c r="Y151" s="163">
        <f>(C151-M151*'Future Type Share'!$AE38)/(1-'Future Type Share'!$AE38)</f>
        <v>-7.7122166246845437E-3</v>
      </c>
      <c r="Z151" s="163">
        <f>(D151-N151*'Future Type Share'!$AE38)/(1-'Future Type Share'!$AE38)</f>
        <v>0.35707808564231708</v>
      </c>
      <c r="AA151" s="163">
        <f>(E151-O151*'Future Type Share'!$AE38)/(1-'Future Type Share'!$AE38)</f>
        <v>6.6657430730476003E-2</v>
      </c>
      <c r="AB151" s="163">
        <f>(F151-P151*'Future Type Share'!$AE38)/(1-'Future Type Share'!$AE38)</f>
        <v>-9.2695214105792661E-3</v>
      </c>
      <c r="AC151" s="163">
        <f>(G151-Q151*'Future Type Share'!$AE38)/(1-'Future Type Share'!$AE38)</f>
        <v>0.49561712846347578</v>
      </c>
      <c r="AD151" s="163">
        <f>(H151-R151*'Future Type Share'!$AE38)/(1-'Future Type Share'!$AE38)</f>
        <v>9.7629093198994737E-2</v>
      </c>
      <c r="AE151" s="27">
        <f t="shared" si="39"/>
        <v>0.99999999999999978</v>
      </c>
      <c r="AF151" s="26"/>
      <c r="AG151" s="26"/>
      <c r="AH151" s="26"/>
      <c r="AJ151" s="170">
        <v>2037</v>
      </c>
      <c r="AK151" s="127">
        <v>0</v>
      </c>
      <c r="AL151" s="127">
        <v>0.35707808564231708</v>
      </c>
      <c r="AM151" s="127">
        <v>0</v>
      </c>
      <c r="AN151" s="127">
        <v>0</v>
      </c>
      <c r="AO151" s="127">
        <f t="shared" si="34"/>
        <v>0.64292191435768298</v>
      </c>
      <c r="AP151" s="127">
        <v>0</v>
      </c>
      <c r="AQ151" s="27">
        <f t="shared" si="35"/>
        <v>1</v>
      </c>
    </row>
    <row r="152" spans="2:43" s="103" customFormat="1">
      <c r="B152" s="23">
        <v>2038</v>
      </c>
      <c r="C152" s="127">
        <f t="shared" si="36"/>
        <v>0.28295454545454529</v>
      </c>
      <c r="D152" s="26">
        <v>0.12</v>
      </c>
      <c r="E152" s="26">
        <v>0.12</v>
      </c>
      <c r="F152" s="26">
        <v>0.05</v>
      </c>
      <c r="G152" s="26">
        <v>0.14000000000000001</v>
      </c>
      <c r="H152" s="26">
        <f t="shared" si="40"/>
        <v>0.28704545454545466</v>
      </c>
      <c r="I152" s="27">
        <f t="shared" si="33"/>
        <v>1</v>
      </c>
      <c r="L152" s="23">
        <v>2038</v>
      </c>
      <c r="M152" s="127">
        <f t="shared" si="41"/>
        <v>0.33199999999999985</v>
      </c>
      <c r="N152" s="127">
        <f t="shared" si="42"/>
        <v>0.08</v>
      </c>
      <c r="O152" s="127">
        <f t="shared" si="42"/>
        <v>0.12800000000000011</v>
      </c>
      <c r="P152" s="127">
        <f t="shared" si="42"/>
        <v>0.06</v>
      </c>
      <c r="Q152" s="26">
        <v>0.08</v>
      </c>
      <c r="R152" s="26">
        <v>0.32</v>
      </c>
      <c r="S152" s="27">
        <f t="shared" si="38"/>
        <v>1</v>
      </c>
      <c r="T152" s="26"/>
      <c r="X152" s="23">
        <v>2038</v>
      </c>
      <c r="Y152" s="163">
        <f>(C152-M152*'Future Type Share'!$AE39)/(1-'Future Type Share'!$AE39)</f>
        <v>-9.2397216951300241E-3</v>
      </c>
      <c r="Z152" s="163">
        <f>(D152-N152*'Future Type Share'!$AE39)/(1-'Future Type Share'!$AE39)</f>
        <v>0.35830487033523084</v>
      </c>
      <c r="AA152" s="163">
        <f>(E152-O152*'Future Type Share'!$AE39)/(1-'Future Type Share'!$AE39)</f>
        <v>7.2339025932953077E-2</v>
      </c>
      <c r="AB152" s="163">
        <f>(F152-P152*'Future Type Share'!$AE39)/(1-'Future Type Share'!$AE39)</f>
        <v>-9.5762175838077015E-3</v>
      </c>
      <c r="AC152" s="163">
        <f>(G152-Q152*'Future Type Share'!$AE39)/(1-'Future Type Share'!$AE39)</f>
        <v>0.49745730550284639</v>
      </c>
      <c r="AD152" s="163">
        <f>(H152-R152*'Future Type Share'!$AE39)/(1-'Future Type Share'!$AE39)</f>
        <v>9.0714737507906928E-2</v>
      </c>
      <c r="AE152" s="27">
        <f t="shared" si="39"/>
        <v>0.99999999999999956</v>
      </c>
      <c r="AF152" s="26"/>
      <c r="AG152" s="26"/>
      <c r="AH152" s="26"/>
      <c r="AJ152" s="170">
        <v>2038</v>
      </c>
      <c r="AK152" s="127">
        <v>0</v>
      </c>
      <c r="AL152" s="127">
        <v>0.35830487033523084</v>
      </c>
      <c r="AM152" s="127">
        <v>0</v>
      </c>
      <c r="AN152" s="127">
        <v>0</v>
      </c>
      <c r="AO152" s="127">
        <f t="shared" si="34"/>
        <v>0.64169512966476916</v>
      </c>
      <c r="AP152" s="127">
        <v>0</v>
      </c>
      <c r="AQ152" s="27">
        <f t="shared" si="35"/>
        <v>1</v>
      </c>
    </row>
    <row r="153" spans="2:43" s="103" customFormat="1">
      <c r="B153" s="23">
        <v>2039</v>
      </c>
      <c r="C153" s="127">
        <f t="shared" si="36"/>
        <v>0.28380681818181791</v>
      </c>
      <c r="D153" s="26">
        <v>0.12</v>
      </c>
      <c r="E153" s="26">
        <v>0.12</v>
      </c>
      <c r="F153" s="26">
        <v>0.05</v>
      </c>
      <c r="G153" s="26">
        <v>0.14000000000000001</v>
      </c>
      <c r="H153" s="26">
        <f t="shared" si="40"/>
        <v>0.28619318181818204</v>
      </c>
      <c r="I153" s="27">
        <f t="shared" si="33"/>
        <v>1</v>
      </c>
      <c r="L153" s="23">
        <v>2039</v>
      </c>
      <c r="M153" s="127">
        <f t="shared" si="41"/>
        <v>0.33299999999999974</v>
      </c>
      <c r="N153" s="127">
        <f t="shared" si="42"/>
        <v>0.08</v>
      </c>
      <c r="O153" s="127">
        <f t="shared" si="42"/>
        <v>0.12700000000000022</v>
      </c>
      <c r="P153" s="127">
        <f t="shared" si="42"/>
        <v>0.06</v>
      </c>
      <c r="Q153" s="26">
        <v>0.08</v>
      </c>
      <c r="R153" s="26">
        <v>0.32</v>
      </c>
      <c r="S153" s="27">
        <f t="shared" si="38"/>
        <v>1</v>
      </c>
      <c r="T153" s="26"/>
      <c r="X153" s="23">
        <v>2039</v>
      </c>
      <c r="Y153" s="163">
        <f>(C153-M153*'Future Type Share'!$AE40)/(1-'Future Type Share'!$AE40)</f>
        <v>-1.0789707750953208E-2</v>
      </c>
      <c r="Z153" s="163">
        <f>(D153-N153*'Future Type Share'!$AE40)/(1-'Future Type Share'!$AE40)</f>
        <v>0.35954256670902146</v>
      </c>
      <c r="AA153" s="163">
        <f>(E153-O153*'Future Type Share'!$AE40)/(1-'Future Type Share'!$AE40)</f>
        <v>7.8080050825919886E-2</v>
      </c>
      <c r="AB153" s="163">
        <f>(F153-P153*'Future Type Share'!$AE40)/(1-'Future Type Share'!$AE40)</f>
        <v>-9.8856416772553374E-3</v>
      </c>
      <c r="AC153" s="163">
        <f>(G153-Q153*'Future Type Share'!$AE40)/(1-'Future Type Share'!$AE40)</f>
        <v>0.49931385006353229</v>
      </c>
      <c r="AD153" s="163">
        <f>(H153-R153*'Future Type Share'!$AE40)/(1-'Future Type Share'!$AE40)</f>
        <v>8.3738881829734893E-2</v>
      </c>
      <c r="AE153" s="27">
        <f t="shared" si="39"/>
        <v>1</v>
      </c>
      <c r="AF153" s="26"/>
      <c r="AG153" s="26"/>
      <c r="AH153" s="26"/>
      <c r="AJ153" s="170">
        <v>2039</v>
      </c>
      <c r="AK153" s="127">
        <v>0</v>
      </c>
      <c r="AL153" s="127">
        <v>0.35954256670902146</v>
      </c>
      <c r="AM153" s="127">
        <v>0</v>
      </c>
      <c r="AN153" s="127">
        <v>0</v>
      </c>
      <c r="AO153" s="127">
        <f t="shared" si="34"/>
        <v>0.64045743329097848</v>
      </c>
      <c r="AP153" s="127">
        <v>0</v>
      </c>
      <c r="AQ153" s="27">
        <f t="shared" si="35"/>
        <v>1</v>
      </c>
    </row>
    <row r="154" spans="2:43" s="103" customFormat="1">
      <c r="B154" s="23">
        <v>2040</v>
      </c>
      <c r="C154" s="127">
        <f t="shared" si="36"/>
        <v>0.28465909090909064</v>
      </c>
      <c r="D154" s="26">
        <v>0.12</v>
      </c>
      <c r="E154" s="26">
        <v>0.12</v>
      </c>
      <c r="F154" s="26">
        <v>0.05</v>
      </c>
      <c r="G154" s="26">
        <v>0.14000000000000001</v>
      </c>
      <c r="H154" s="26">
        <f t="shared" si="40"/>
        <v>0.28534090909090931</v>
      </c>
      <c r="I154" s="27">
        <f t="shared" si="33"/>
        <v>1</v>
      </c>
      <c r="L154" s="23">
        <v>2040</v>
      </c>
      <c r="M154" s="127">
        <f t="shared" si="41"/>
        <v>0.33399999999999963</v>
      </c>
      <c r="N154" s="127">
        <f t="shared" si="42"/>
        <v>0.08</v>
      </c>
      <c r="O154" s="127">
        <f t="shared" si="42"/>
        <v>0.12600000000000033</v>
      </c>
      <c r="P154" s="127">
        <f t="shared" si="42"/>
        <v>0.06</v>
      </c>
      <c r="Q154" s="26">
        <v>0.08</v>
      </c>
      <c r="R154" s="26">
        <v>0.32</v>
      </c>
      <c r="S154" s="27">
        <f t="shared" si="38"/>
        <v>1</v>
      </c>
      <c r="T154" s="26"/>
      <c r="X154" s="23">
        <v>2040</v>
      </c>
      <c r="Y154" s="163">
        <f>(C154-M154*'Future Type Share'!$AE41)/(1-'Future Type Share'!$AE41)</f>
        <v>-1.23624760689213E-2</v>
      </c>
      <c r="Z154" s="163">
        <f>(D154-N154*'Future Type Share'!$AE41)/(1-'Future Type Share'!$AE41)</f>
        <v>0.36079132099553296</v>
      </c>
      <c r="AA154" s="163">
        <f>(E154-O154*'Future Type Share'!$AE41)/(1-'Future Type Share'!$AE41)</f>
        <v>8.3881301850668041E-2</v>
      </c>
      <c r="AB154" s="163">
        <f>(F154-P154*'Future Type Share'!$AE41)/(1-'Future Type Share'!$AE41)</f>
        <v>-1.0197830248883218E-2</v>
      </c>
      <c r="AC154" s="163">
        <f>(G154-Q154*'Future Type Share'!$AE41)/(1-'Future Type Share'!$AE41)</f>
        <v>0.50118698149329965</v>
      </c>
      <c r="AD154" s="163">
        <f>(H154-R154*'Future Type Share'!$AE41)/(1-'Future Type Share'!$AE41)</f>
        <v>7.670070197830399E-2</v>
      </c>
      <c r="AE154" s="27">
        <f t="shared" si="39"/>
        <v>1</v>
      </c>
      <c r="AF154" s="26"/>
      <c r="AG154" s="26"/>
      <c r="AH154" s="26"/>
      <c r="AJ154" s="170">
        <v>2040</v>
      </c>
      <c r="AK154" s="127">
        <v>0</v>
      </c>
      <c r="AL154" s="127">
        <v>0.36079132099553296</v>
      </c>
      <c r="AM154" s="127">
        <v>0</v>
      </c>
      <c r="AN154" s="127">
        <v>0</v>
      </c>
      <c r="AO154" s="127">
        <f t="shared" si="34"/>
        <v>0.6392086790044671</v>
      </c>
      <c r="AP154" s="127">
        <v>0</v>
      </c>
      <c r="AQ154" s="27">
        <f t="shared" si="35"/>
        <v>1</v>
      </c>
    </row>
    <row r="155" spans="2:43" s="103" customFormat="1">
      <c r="B155" s="23">
        <v>2041</v>
      </c>
      <c r="C155" s="127">
        <f t="shared" si="36"/>
        <v>0.28551136363636326</v>
      </c>
      <c r="D155" s="26">
        <v>0.12</v>
      </c>
      <c r="E155" s="26">
        <v>0.12</v>
      </c>
      <c r="F155" s="26">
        <v>0.05</v>
      </c>
      <c r="G155" s="26">
        <v>0.14000000000000001</v>
      </c>
      <c r="H155" s="26">
        <f t="shared" si="40"/>
        <v>0.28448863636363669</v>
      </c>
      <c r="I155" s="27">
        <f t="shared" si="33"/>
        <v>1</v>
      </c>
      <c r="L155" s="23">
        <v>2041</v>
      </c>
      <c r="M155" s="127">
        <f t="shared" si="41"/>
        <v>0.33499999999999952</v>
      </c>
      <c r="N155" s="127">
        <f t="shared" si="42"/>
        <v>0.08</v>
      </c>
      <c r="O155" s="127">
        <f t="shared" si="42"/>
        <v>0.12500000000000044</v>
      </c>
      <c r="P155" s="127">
        <f t="shared" si="42"/>
        <v>0.06</v>
      </c>
      <c r="Q155" s="26">
        <v>0.08</v>
      </c>
      <c r="R155" s="26">
        <v>0.32</v>
      </c>
      <c r="S155" s="27">
        <f t="shared" si="38"/>
        <v>1</v>
      </c>
      <c r="T155" s="26"/>
      <c r="X155" s="23">
        <v>2041</v>
      </c>
      <c r="Y155" s="163">
        <f>(C155-M155*'Future Type Share'!$AE42)/(1-'Future Type Share'!$AE42)</f>
        <v>-1.3958333333333146E-2</v>
      </c>
      <c r="Z155" s="163">
        <f>(D155-N155*'Future Type Share'!$AE42)/(1-'Future Type Share'!$AE42)</f>
        <v>0.36205128205128195</v>
      </c>
      <c r="AA155" s="163">
        <f>(E155-O155*'Future Type Share'!$AE42)/(1-'Future Type Share'!$AE42)</f>
        <v>8.9743589743587079E-2</v>
      </c>
      <c r="AB155" s="163">
        <f>(F155-P155*'Future Type Share'!$AE42)/(1-'Future Type Share'!$AE42)</f>
        <v>-1.0512820512820466E-2</v>
      </c>
      <c r="AC155" s="163">
        <f>(G155-Q155*'Future Type Share'!$AE42)/(1-'Future Type Share'!$AE42)</f>
        <v>0.50307692307692309</v>
      </c>
      <c r="AD155" s="163">
        <f>(H155-R155*'Future Type Share'!$AE42)/(1-'Future Type Share'!$AE42)</f>
        <v>6.95993589743613E-2</v>
      </c>
      <c r="AE155" s="27">
        <f t="shared" si="39"/>
        <v>0.99999999999999978</v>
      </c>
      <c r="AF155" s="26"/>
      <c r="AG155" s="26"/>
      <c r="AH155" s="26"/>
      <c r="AJ155" s="170">
        <v>2041</v>
      </c>
      <c r="AK155" s="127">
        <v>0</v>
      </c>
      <c r="AL155" s="127">
        <v>0.36205128205128195</v>
      </c>
      <c r="AM155" s="127">
        <v>0</v>
      </c>
      <c r="AN155" s="127">
        <v>0</v>
      </c>
      <c r="AO155" s="127">
        <f t="shared" si="34"/>
        <v>0.63794871794871799</v>
      </c>
      <c r="AP155" s="127">
        <v>0</v>
      </c>
      <c r="AQ155" s="27">
        <f t="shared" si="35"/>
        <v>1</v>
      </c>
    </row>
    <row r="156" spans="2:43" s="103" customFormat="1">
      <c r="B156" s="23">
        <v>2042</v>
      </c>
      <c r="C156" s="127">
        <f t="shared" si="36"/>
        <v>0.28636363636363621</v>
      </c>
      <c r="D156" s="26">
        <v>0.12</v>
      </c>
      <c r="E156" s="26">
        <v>0.12</v>
      </c>
      <c r="F156" s="26">
        <v>0.05</v>
      </c>
      <c r="G156" s="26">
        <v>0.14000000000000001</v>
      </c>
      <c r="H156" s="26">
        <f t="shared" si="40"/>
        <v>0.28363636363636374</v>
      </c>
      <c r="I156" s="27">
        <f t="shared" si="33"/>
        <v>1</v>
      </c>
      <c r="L156" s="23">
        <v>2042</v>
      </c>
      <c r="M156" s="127">
        <f t="shared" si="41"/>
        <v>0.33599999999999985</v>
      </c>
      <c r="N156" s="127">
        <f t="shared" si="42"/>
        <v>0.08</v>
      </c>
      <c r="O156" s="127">
        <f t="shared" si="42"/>
        <v>0.12400000000000011</v>
      </c>
      <c r="P156" s="127">
        <f t="shared" si="42"/>
        <v>0.06</v>
      </c>
      <c r="Q156" s="26">
        <v>0.08</v>
      </c>
      <c r="R156" s="26">
        <v>0.32</v>
      </c>
      <c r="S156" s="27">
        <f t="shared" si="38"/>
        <v>1</v>
      </c>
      <c r="T156" s="26"/>
      <c r="X156" s="23">
        <v>2042</v>
      </c>
      <c r="Y156" s="163">
        <f>(C156-M156*'Future Type Share'!$AE43)/(1-'Future Type Share'!$AE43)</f>
        <v>-1.5577591757888287E-2</v>
      </c>
      <c r="Z156" s="163">
        <f>(D156-N156*'Future Type Share'!$AE43)/(1-'Future Type Share'!$AE43)</f>
        <v>0.36332260141661316</v>
      </c>
      <c r="AA156" s="163">
        <f>(E156-O156*'Future Type Share'!$AE43)/(1-'Future Type Share'!$AE43)</f>
        <v>9.5667739858337958E-2</v>
      </c>
      <c r="AB156" s="163">
        <f>(F156-P156*'Future Type Share'!$AE43)/(1-'Future Type Share'!$AE43)</f>
        <v>-1.083065035415327E-2</v>
      </c>
      <c r="AC156" s="163">
        <f>(G156-Q156*'Future Type Share'!$AE43)/(1-'Future Type Share'!$AE43)</f>
        <v>0.50498390212491995</v>
      </c>
      <c r="AD156" s="163">
        <f>(H156-R156*'Future Type Share'!$AE43)/(1-'Future Type Share'!$AE43)</f>
        <v>6.2433998712170501E-2</v>
      </c>
      <c r="AE156" s="27">
        <f t="shared" si="39"/>
        <v>1</v>
      </c>
      <c r="AF156" s="26"/>
      <c r="AG156" s="26"/>
      <c r="AH156" s="26"/>
      <c r="AJ156" s="170">
        <v>2042</v>
      </c>
      <c r="AK156" s="127">
        <v>0</v>
      </c>
      <c r="AL156" s="127">
        <v>0.36332260141661316</v>
      </c>
      <c r="AM156" s="127">
        <v>0</v>
      </c>
      <c r="AN156" s="127">
        <v>0</v>
      </c>
      <c r="AO156" s="127">
        <f t="shared" si="34"/>
        <v>0.6366773985833869</v>
      </c>
      <c r="AP156" s="127">
        <v>0</v>
      </c>
      <c r="AQ156" s="27">
        <f t="shared" si="35"/>
        <v>1</v>
      </c>
    </row>
    <row r="157" spans="2:43" s="103" customFormat="1">
      <c r="B157" s="23">
        <v>2043</v>
      </c>
      <c r="C157" s="127">
        <f t="shared" si="36"/>
        <v>0.28721590909090883</v>
      </c>
      <c r="D157" s="26">
        <v>0.12</v>
      </c>
      <c r="E157" s="26">
        <v>0.12</v>
      </c>
      <c r="F157" s="26">
        <v>0.05</v>
      </c>
      <c r="G157" s="26">
        <v>0.14000000000000001</v>
      </c>
      <c r="H157" s="26">
        <f t="shared" si="40"/>
        <v>0.28278409090909112</v>
      </c>
      <c r="I157" s="27">
        <f t="shared" si="33"/>
        <v>1</v>
      </c>
      <c r="L157" s="23">
        <v>2043</v>
      </c>
      <c r="M157" s="127">
        <f t="shared" si="41"/>
        <v>0.33699999999999974</v>
      </c>
      <c r="N157" s="127">
        <f t="shared" si="42"/>
        <v>0.08</v>
      </c>
      <c r="O157" s="127">
        <f t="shared" si="42"/>
        <v>0.12300000000000022</v>
      </c>
      <c r="P157" s="127">
        <f t="shared" si="42"/>
        <v>0.06</v>
      </c>
      <c r="Q157" s="26">
        <v>0.08</v>
      </c>
      <c r="R157" s="26">
        <v>0.32</v>
      </c>
      <c r="S157" s="27">
        <f t="shared" si="38"/>
        <v>1</v>
      </c>
      <c r="T157" s="26"/>
      <c r="X157" s="23">
        <v>2043</v>
      </c>
      <c r="Y157" s="163">
        <f>(C157-M157*'Future Type Share'!$AE44)/(1-'Future Type Share'!$AE44)</f>
        <v>-1.7220569210867263E-2</v>
      </c>
      <c r="Z157" s="163">
        <f>(D157-N157*'Future Type Share'!$AE44)/(1-'Future Type Share'!$AE44)</f>
        <v>0.36460543337645535</v>
      </c>
      <c r="AA157" s="163">
        <f>(E157-O157*'Future Type Share'!$AE44)/(1-'Future Type Share'!$AE44)</f>
        <v>0.10165459249676442</v>
      </c>
      <c r="AB157" s="163">
        <f>(F157-P157*'Future Type Share'!$AE44)/(1-'Future Type Share'!$AE44)</f>
        <v>-1.115135834411381E-2</v>
      </c>
      <c r="AC157" s="163">
        <f>(G157-Q157*'Future Type Share'!$AE44)/(1-'Future Type Share'!$AE44)</f>
        <v>0.50690815006468315</v>
      </c>
      <c r="AD157" s="163">
        <f>(H157-R157*'Future Type Share'!$AE44)/(1-'Future Type Share'!$AE44)</f>
        <v>5.5203751617077662E-2</v>
      </c>
      <c r="AE157" s="27">
        <f t="shared" si="39"/>
        <v>0.99999999999999944</v>
      </c>
      <c r="AF157" s="26"/>
      <c r="AG157" s="26"/>
      <c r="AH157" s="26"/>
      <c r="AJ157" s="170">
        <v>2043</v>
      </c>
      <c r="AK157" s="127">
        <v>0</v>
      </c>
      <c r="AL157" s="127">
        <v>0.36460543337645535</v>
      </c>
      <c r="AM157" s="127">
        <v>0</v>
      </c>
      <c r="AN157" s="127">
        <v>0</v>
      </c>
      <c r="AO157" s="127">
        <f t="shared" si="34"/>
        <v>0.63539456662354465</v>
      </c>
      <c r="AP157" s="127">
        <v>0</v>
      </c>
      <c r="AQ157" s="27">
        <f t="shared" si="35"/>
        <v>1</v>
      </c>
    </row>
    <row r="158" spans="2:43" s="103" customFormat="1">
      <c r="B158" s="23">
        <v>2044</v>
      </c>
      <c r="C158" s="127">
        <f t="shared" si="36"/>
        <v>0.28806818181818156</v>
      </c>
      <c r="D158" s="26">
        <v>0.12</v>
      </c>
      <c r="E158" s="26">
        <v>0.12</v>
      </c>
      <c r="F158" s="26">
        <v>0.05</v>
      </c>
      <c r="G158" s="26">
        <v>0.14000000000000001</v>
      </c>
      <c r="H158" s="26">
        <f t="shared" si="40"/>
        <v>0.28193181818181839</v>
      </c>
      <c r="I158" s="27">
        <f t="shared" si="33"/>
        <v>1</v>
      </c>
      <c r="L158" s="23">
        <v>2044</v>
      </c>
      <c r="M158" s="127">
        <f t="shared" si="41"/>
        <v>0.33799999999999963</v>
      </c>
      <c r="N158" s="127">
        <f t="shared" si="42"/>
        <v>0.08</v>
      </c>
      <c r="O158" s="127">
        <f t="shared" si="42"/>
        <v>0.12200000000000033</v>
      </c>
      <c r="P158" s="127">
        <f t="shared" si="42"/>
        <v>0.06</v>
      </c>
      <c r="Q158" s="26">
        <v>0.08</v>
      </c>
      <c r="R158" s="26">
        <v>0.32</v>
      </c>
      <c r="S158" s="27">
        <f t="shared" si="38"/>
        <v>1</v>
      </c>
      <c r="T158" s="26"/>
      <c r="X158" s="23">
        <v>2044</v>
      </c>
      <c r="Y158" s="163">
        <f>(C158-M158*'Future Type Share'!$AE45)/(1-'Future Type Share'!$AE45)</f>
        <v>-1.8887589343729277E-2</v>
      </c>
      <c r="Z158" s="163">
        <f>(D158-N158*'Future Type Share'!$AE45)/(1-'Future Type Share'!$AE45)</f>
        <v>0.36589993502274187</v>
      </c>
      <c r="AA158" s="163">
        <f>(E158-O158*'Future Type Share'!$AE45)/(1-'Future Type Share'!$AE45)</f>
        <v>0.10770500324886086</v>
      </c>
      <c r="AB158" s="163">
        <f>(F158-P158*'Future Type Share'!$AE45)/(1-'Future Type Share'!$AE45)</f>
        <v>-1.1474983755685429E-2</v>
      </c>
      <c r="AC158" s="163">
        <f>(G158-Q158*'Future Type Share'!$AE45)/(1-'Future Type Share'!$AE45)</f>
        <v>0.508849902534113</v>
      </c>
      <c r="AD158" s="163">
        <f>(H158-R158*'Future Type Share'!$AE45)/(1-'Future Type Share'!$AE45)</f>
        <v>4.7907732293698997E-2</v>
      </c>
      <c r="AE158" s="27">
        <f t="shared" si="39"/>
        <v>1</v>
      </c>
      <c r="AF158" s="26"/>
      <c r="AG158" s="26"/>
      <c r="AH158" s="26"/>
      <c r="AJ158" s="170">
        <v>2044</v>
      </c>
      <c r="AK158" s="127">
        <v>0</v>
      </c>
      <c r="AL158" s="127">
        <v>0.36589993502274187</v>
      </c>
      <c r="AM158" s="127">
        <v>0</v>
      </c>
      <c r="AN158" s="127">
        <v>0</v>
      </c>
      <c r="AO158" s="127">
        <f t="shared" si="34"/>
        <v>0.63410006497725813</v>
      </c>
      <c r="AP158" s="127">
        <v>0</v>
      </c>
      <c r="AQ158" s="27">
        <f t="shared" si="35"/>
        <v>1</v>
      </c>
    </row>
    <row r="159" spans="2:43" s="103" customFormat="1">
      <c r="B159" s="23">
        <v>2045</v>
      </c>
      <c r="C159" s="127">
        <f t="shared" si="36"/>
        <v>0.28892045454545418</v>
      </c>
      <c r="D159" s="26">
        <v>0.12</v>
      </c>
      <c r="E159" s="26">
        <v>0.12</v>
      </c>
      <c r="F159" s="26">
        <v>0.05</v>
      </c>
      <c r="G159" s="26">
        <v>0.14000000000000001</v>
      </c>
      <c r="H159" s="26">
        <f t="shared" si="40"/>
        <v>0.28107954545454578</v>
      </c>
      <c r="I159" s="27">
        <f t="shared" si="33"/>
        <v>1</v>
      </c>
      <c r="L159" s="23">
        <v>2045</v>
      </c>
      <c r="M159" s="127">
        <f t="shared" si="41"/>
        <v>0.33899999999999952</v>
      </c>
      <c r="N159" s="127">
        <f t="shared" si="42"/>
        <v>0.08</v>
      </c>
      <c r="O159" s="127">
        <f t="shared" si="42"/>
        <v>0.12100000000000044</v>
      </c>
      <c r="P159" s="127">
        <f t="shared" si="42"/>
        <v>0.06</v>
      </c>
      <c r="Q159" s="26">
        <v>0.08</v>
      </c>
      <c r="R159" s="26">
        <v>0.32</v>
      </c>
      <c r="S159" s="27">
        <f t="shared" si="38"/>
        <v>1</v>
      </c>
      <c r="T159" s="26"/>
      <c r="X159" s="23">
        <v>2045</v>
      </c>
      <c r="Y159" s="163">
        <f>(C159-M159*'Future Type Share'!$AE46)/(1-'Future Type Share'!$AE46)</f>
        <v>-2.0578981723237553E-2</v>
      </c>
      <c r="Z159" s="163">
        <f>(D159-N159*'Future Type Share'!$AE46)/(1-'Future Type Share'!$AE46)</f>
        <v>0.36720626631853798</v>
      </c>
      <c r="AA159" s="163">
        <f>(E159-O159*'Future Type Share'!$AE46)/(1-'Future Type Share'!$AE46)</f>
        <v>0.11381984334203375</v>
      </c>
      <c r="AB159" s="163">
        <f>(F159-P159*'Future Type Share'!$AE46)/(1-'Future Type Share'!$AE46)</f>
        <v>-1.1801566579634451E-2</v>
      </c>
      <c r="AC159" s="163">
        <f>(G159-Q159*'Future Type Share'!$AE46)/(1-'Future Type Share'!$AE46)</f>
        <v>0.51080939947780712</v>
      </c>
      <c r="AD159" s="163">
        <f>(H159-R159*'Future Type Share'!$AE46)/(1-'Future Type Share'!$AE46)</f>
        <v>4.0545039164493181E-2</v>
      </c>
      <c r="AE159" s="27">
        <f t="shared" si="39"/>
        <v>1</v>
      </c>
      <c r="AF159" s="26"/>
      <c r="AG159" s="26"/>
      <c r="AH159" s="26"/>
      <c r="AJ159" s="170">
        <v>2045</v>
      </c>
      <c r="AK159" s="127">
        <v>0</v>
      </c>
      <c r="AL159" s="127">
        <v>0.36720626631853798</v>
      </c>
      <c r="AM159" s="127">
        <v>0</v>
      </c>
      <c r="AN159" s="127">
        <v>0</v>
      </c>
      <c r="AO159" s="127">
        <f t="shared" si="34"/>
        <v>0.63279373368146197</v>
      </c>
      <c r="AP159" s="127">
        <v>0</v>
      </c>
      <c r="AQ159" s="27">
        <f t="shared" si="35"/>
        <v>1</v>
      </c>
    </row>
    <row r="160" spans="2:43" s="103" customFormat="1">
      <c r="B160" s="23">
        <v>2046</v>
      </c>
      <c r="C160" s="127">
        <f t="shared" si="36"/>
        <v>0.28977272727272718</v>
      </c>
      <c r="D160" s="26">
        <v>0.12</v>
      </c>
      <c r="E160" s="26">
        <v>0.12</v>
      </c>
      <c r="F160" s="26">
        <v>0.05</v>
      </c>
      <c r="G160" s="26">
        <v>0.14000000000000001</v>
      </c>
      <c r="H160" s="26">
        <f t="shared" si="40"/>
        <v>0.28022727272727277</v>
      </c>
      <c r="I160" s="27">
        <f t="shared" si="33"/>
        <v>1</v>
      </c>
      <c r="L160" s="23">
        <v>2046</v>
      </c>
      <c r="M160" s="127">
        <f t="shared" si="41"/>
        <v>0.33999999999999986</v>
      </c>
      <c r="N160" s="127">
        <f t="shared" si="42"/>
        <v>0.08</v>
      </c>
      <c r="O160" s="127">
        <f t="shared" si="42"/>
        <v>0.12000000000000011</v>
      </c>
      <c r="P160" s="127">
        <f t="shared" si="42"/>
        <v>0.06</v>
      </c>
      <c r="Q160" s="26">
        <v>0.08</v>
      </c>
      <c r="R160" s="26">
        <v>0.32</v>
      </c>
      <c r="S160" s="27">
        <f t="shared" si="38"/>
        <v>1</v>
      </c>
      <c r="T160" s="26"/>
      <c r="X160" s="23">
        <v>2046</v>
      </c>
      <c r="Y160" s="163">
        <f>(C160-M160*'Future Type Share'!$AE47)/(1-'Future Type Share'!$AE47)</f>
        <v>-2.2295081967212693E-2</v>
      </c>
      <c r="Z160" s="163">
        <f>(D160-N160*'Future Type Share'!$AE47)/(1-'Future Type Share'!$AE47)</f>
        <v>0.36852459016393435</v>
      </c>
      <c r="AA160" s="163">
        <f>(E160-O160*'Future Type Share'!$AE47)/(1-'Future Type Share'!$AE47)</f>
        <v>0.11999999999999933</v>
      </c>
      <c r="AB160" s="163">
        <f>(F160-P160*'Future Type Share'!$AE47)/(1-'Future Type Share'!$AE47)</f>
        <v>-1.2131147540983541E-2</v>
      </c>
      <c r="AC160" s="163">
        <f>(G160-Q160*'Future Type Share'!$AE47)/(1-'Future Type Share'!$AE47)</f>
        <v>0.51278688524590166</v>
      </c>
      <c r="AD160" s="163">
        <f>(H160-R160*'Future Type Share'!$AE47)/(1-'Future Type Share'!$AE47)</f>
        <v>3.3114754098361045E-2</v>
      </c>
      <c r="AE160" s="27">
        <f t="shared" si="39"/>
        <v>1</v>
      </c>
      <c r="AF160" s="26"/>
      <c r="AG160" s="26"/>
      <c r="AH160" s="26"/>
      <c r="AJ160" s="170">
        <v>2046</v>
      </c>
      <c r="AK160" s="127">
        <v>0</v>
      </c>
      <c r="AL160" s="127">
        <v>0.36852459016393435</v>
      </c>
      <c r="AM160" s="127">
        <v>0</v>
      </c>
      <c r="AN160" s="127">
        <v>0</v>
      </c>
      <c r="AO160" s="127">
        <f t="shared" si="34"/>
        <v>0.63147540983606565</v>
      </c>
      <c r="AP160" s="127">
        <v>0</v>
      </c>
      <c r="AQ160" s="27">
        <f t="shared" si="35"/>
        <v>1</v>
      </c>
    </row>
    <row r="161" spans="1:43" s="103" customFormat="1">
      <c r="B161" s="23">
        <v>2047</v>
      </c>
      <c r="C161" s="127">
        <f t="shared" si="36"/>
        <v>0.2906249999999998</v>
      </c>
      <c r="D161" s="26">
        <v>0.12</v>
      </c>
      <c r="E161" s="26">
        <v>0.12</v>
      </c>
      <c r="F161" s="26">
        <v>0.05</v>
      </c>
      <c r="G161" s="26">
        <v>0.14000000000000001</v>
      </c>
      <c r="H161" s="26">
        <f t="shared" si="40"/>
        <v>0.27937500000000015</v>
      </c>
      <c r="I161" s="27">
        <f t="shared" si="33"/>
        <v>1</v>
      </c>
      <c r="L161" s="23">
        <v>2047</v>
      </c>
      <c r="M161" s="127">
        <f t="shared" si="41"/>
        <v>0.34099999999999975</v>
      </c>
      <c r="N161" s="127">
        <f t="shared" si="42"/>
        <v>0.08</v>
      </c>
      <c r="O161" s="127">
        <f t="shared" si="42"/>
        <v>0.11900000000000022</v>
      </c>
      <c r="P161" s="127">
        <f t="shared" si="42"/>
        <v>0.06</v>
      </c>
      <c r="Q161" s="26">
        <v>0.08</v>
      </c>
      <c r="R161" s="26">
        <v>0.32</v>
      </c>
      <c r="S161" s="27">
        <f t="shared" si="38"/>
        <v>1</v>
      </c>
      <c r="T161" s="26"/>
      <c r="X161" s="23">
        <v>2047</v>
      </c>
      <c r="Y161" s="163">
        <f>(C161-M161*'Future Type Share'!$AE48)/(1-'Future Type Share'!$AE48)</f>
        <v>-2.4036231884058092E-2</v>
      </c>
      <c r="Z161" s="163">
        <f>(D161-N161*'Future Type Share'!$AE48)/(1-'Future Type Share'!$AE48)</f>
        <v>0.36985507246376831</v>
      </c>
      <c r="AA161" s="163">
        <f>(E161-O161*'Future Type Share'!$AE48)/(1-'Future Type Share'!$AE48)</f>
        <v>0.12624637681159284</v>
      </c>
      <c r="AB161" s="163">
        <f>(F161-P161*'Future Type Share'!$AE48)/(1-'Future Type Share'!$AE48)</f>
        <v>-1.2463768115942032E-2</v>
      </c>
      <c r="AC161" s="163">
        <f>(G161-Q161*'Future Type Share'!$AE48)/(1-'Future Type Share'!$AE48)</f>
        <v>0.51478260869565262</v>
      </c>
      <c r="AD161" s="163">
        <f>(H161-R161*'Future Type Share'!$AE48)/(1-'Future Type Share'!$AE48)</f>
        <v>2.5615942028986406E-2</v>
      </c>
      <c r="AE161" s="27">
        <f t="shared" si="39"/>
        <v>1</v>
      </c>
      <c r="AF161" s="26"/>
      <c r="AG161" s="26"/>
      <c r="AH161" s="26"/>
      <c r="AJ161" s="170">
        <v>2047</v>
      </c>
      <c r="AK161" s="127">
        <v>0</v>
      </c>
      <c r="AL161" s="127">
        <v>0.36985507246376831</v>
      </c>
      <c r="AM161" s="127">
        <v>0</v>
      </c>
      <c r="AN161" s="127">
        <v>0</v>
      </c>
      <c r="AO161" s="127">
        <f t="shared" si="34"/>
        <v>0.63014492753623164</v>
      </c>
      <c r="AP161" s="127">
        <v>0</v>
      </c>
      <c r="AQ161" s="27">
        <f t="shared" si="35"/>
        <v>1</v>
      </c>
    </row>
    <row r="162" spans="1:43" s="103" customFormat="1">
      <c r="B162" s="23">
        <v>2048</v>
      </c>
      <c r="C162" s="127">
        <f t="shared" si="36"/>
        <v>0.29147727272727242</v>
      </c>
      <c r="D162" s="26">
        <v>0.12</v>
      </c>
      <c r="E162" s="26">
        <v>0.12</v>
      </c>
      <c r="F162" s="26">
        <v>0.05</v>
      </c>
      <c r="G162" s="26">
        <v>0.14000000000000001</v>
      </c>
      <c r="H162" s="26">
        <f t="shared" si="40"/>
        <v>0.27852272727272753</v>
      </c>
      <c r="I162" s="27">
        <f t="shared" si="33"/>
        <v>1</v>
      </c>
      <c r="L162" s="23">
        <v>2048</v>
      </c>
      <c r="M162" s="127">
        <f t="shared" si="41"/>
        <v>0.34199999999999964</v>
      </c>
      <c r="N162" s="127">
        <f t="shared" si="42"/>
        <v>0.08</v>
      </c>
      <c r="O162" s="127">
        <f t="shared" si="42"/>
        <v>0.11800000000000033</v>
      </c>
      <c r="P162" s="127">
        <f t="shared" si="42"/>
        <v>0.06</v>
      </c>
      <c r="Q162" s="26">
        <v>0.08</v>
      </c>
      <c r="R162" s="26">
        <v>0.32</v>
      </c>
      <c r="S162" s="27">
        <f t="shared" si="38"/>
        <v>1</v>
      </c>
      <c r="T162" s="26"/>
      <c r="X162" s="23">
        <v>2048</v>
      </c>
      <c r="Y162" s="163">
        <f>(C162-M162*'Future Type Share'!$AE49)/(1-'Future Type Share'!$AE49)</f>
        <v>-2.5802779616148151E-2</v>
      </c>
      <c r="Z162" s="163">
        <f>(D162-N162*'Future Type Share'!$AE49)/(1-'Future Type Share'!$AE49)</f>
        <v>0.37119788219722033</v>
      </c>
      <c r="AA162" s="163">
        <f>(E162-O162*'Future Type Share'!$AE49)/(1-'Future Type Share'!$AE49)</f>
        <v>0.13255989410985894</v>
      </c>
      <c r="AB162" s="163">
        <f>(F162-P162*'Future Type Share'!$AE49)/(1-'Future Type Share'!$AE49)</f>
        <v>-1.2799470549305048E-2</v>
      </c>
      <c r="AC162" s="163">
        <f>(G162-Q162*'Future Type Share'!$AE49)/(1-'Future Type Share'!$AE49)</f>
        <v>0.51679682329583065</v>
      </c>
      <c r="AD162" s="163">
        <f>(H162-R162*'Future Type Share'!$AE49)/(1-'Future Type Share'!$AE49)</f>
        <v>1.8047650562543139E-2</v>
      </c>
      <c r="AE162" s="27">
        <f t="shared" si="39"/>
        <v>0.99999999999999978</v>
      </c>
      <c r="AF162" s="26"/>
      <c r="AG162" s="26"/>
      <c r="AH162" s="26"/>
      <c r="AJ162" s="170">
        <v>2048</v>
      </c>
      <c r="AK162" s="127">
        <v>0</v>
      </c>
      <c r="AL162" s="127">
        <v>0.37119788219722033</v>
      </c>
      <c r="AM162" s="127">
        <v>0</v>
      </c>
      <c r="AN162" s="127">
        <v>0</v>
      </c>
      <c r="AO162" s="127">
        <f t="shared" si="34"/>
        <v>0.62880211780277961</v>
      </c>
      <c r="AP162" s="127">
        <v>0</v>
      </c>
      <c r="AQ162" s="27">
        <f t="shared" si="35"/>
        <v>1</v>
      </c>
    </row>
    <row r="163" spans="1:43" s="103" customFormat="1">
      <c r="B163" s="23">
        <v>2049</v>
      </c>
      <c r="C163" s="127">
        <f t="shared" si="36"/>
        <v>0.29232954545454504</v>
      </c>
      <c r="D163" s="26">
        <v>0.12</v>
      </c>
      <c r="E163" s="26">
        <v>0.12</v>
      </c>
      <c r="F163" s="26">
        <v>0.05</v>
      </c>
      <c r="G163" s="26">
        <v>0.14000000000000001</v>
      </c>
      <c r="H163" s="26">
        <f t="shared" si="40"/>
        <v>0.27767045454545491</v>
      </c>
      <c r="I163" s="27">
        <f t="shared" si="33"/>
        <v>1</v>
      </c>
      <c r="L163" s="23">
        <v>2049</v>
      </c>
      <c r="M163" s="127">
        <f t="shared" si="41"/>
        <v>0.34299999999999953</v>
      </c>
      <c r="N163" s="127">
        <f t="shared" si="42"/>
        <v>0.08</v>
      </c>
      <c r="O163" s="127">
        <f t="shared" si="42"/>
        <v>0.11700000000000044</v>
      </c>
      <c r="P163" s="127">
        <f t="shared" si="42"/>
        <v>0.06</v>
      </c>
      <c r="Q163" s="26">
        <v>0.08</v>
      </c>
      <c r="R163" s="26">
        <v>0.32</v>
      </c>
      <c r="S163" s="27">
        <f t="shared" si="38"/>
        <v>1</v>
      </c>
      <c r="T163" s="26"/>
      <c r="X163" s="23">
        <v>2049</v>
      </c>
      <c r="Y163" s="163">
        <f>(C163-M163*'Future Type Share'!$AE50)/(1-'Future Type Share'!$AE50)</f>
        <v>-2.7595079787233814E-2</v>
      </c>
      <c r="Z163" s="163">
        <f>(D163-N163*'Future Type Share'!$AE50)/(1-'Future Type Share'!$AE50)</f>
        <v>0.37255319148936145</v>
      </c>
      <c r="AA163" s="163">
        <f>(E163-O163*'Future Type Share'!$AE50)/(1-'Future Type Share'!$AE50)</f>
        <v>0.13894148936169928</v>
      </c>
      <c r="AB163" s="163">
        <f>(F163-P163*'Future Type Share'!$AE50)/(1-'Future Type Share'!$AE50)</f>
        <v>-1.3138297872340325E-2</v>
      </c>
      <c r="AC163" s="163">
        <f>(G163-Q163*'Future Type Share'!$AE50)/(1-'Future Type Share'!$AE50)</f>
        <v>0.51882978723404238</v>
      </c>
      <c r="AD163" s="163">
        <f>(H163-R163*'Future Type Share'!$AE50)/(1-'Future Type Share'!$AE50)</f>
        <v>1.0408909574470757E-2</v>
      </c>
      <c r="AE163" s="27">
        <f t="shared" si="39"/>
        <v>0.99999999999999967</v>
      </c>
      <c r="AF163" s="26"/>
      <c r="AG163" s="26"/>
      <c r="AH163" s="26"/>
      <c r="AJ163" s="170">
        <v>2049</v>
      </c>
      <c r="AK163" s="127">
        <v>0</v>
      </c>
      <c r="AL163" s="127">
        <v>0.37255319148936145</v>
      </c>
      <c r="AM163" s="127">
        <v>0</v>
      </c>
      <c r="AN163" s="127">
        <v>0</v>
      </c>
      <c r="AO163" s="127">
        <f t="shared" si="34"/>
        <v>0.62744680851063861</v>
      </c>
      <c r="AP163" s="127">
        <v>0</v>
      </c>
      <c r="AQ163" s="27">
        <f t="shared" si="35"/>
        <v>1</v>
      </c>
    </row>
    <row r="164" spans="1:43" s="103" customFormat="1">
      <c r="B164" s="28">
        <v>2050</v>
      </c>
      <c r="C164" s="128">
        <f t="shared" si="36"/>
        <v>0.29318181818181771</v>
      </c>
      <c r="D164" s="30">
        <v>0.12</v>
      </c>
      <c r="E164" s="30">
        <v>0.12</v>
      </c>
      <c r="F164" s="30">
        <v>0.05</v>
      </c>
      <c r="G164" s="30">
        <v>0.14000000000000001</v>
      </c>
      <c r="H164" s="30">
        <f t="shared" si="40"/>
        <v>0.27681818181818224</v>
      </c>
      <c r="I164" s="31">
        <f t="shared" si="33"/>
        <v>1</v>
      </c>
      <c r="L164" s="28">
        <v>2050</v>
      </c>
      <c r="M164" s="128">
        <f t="shared" si="41"/>
        <v>0.34399999999999942</v>
      </c>
      <c r="N164" s="128">
        <f t="shared" si="42"/>
        <v>0.08</v>
      </c>
      <c r="O164" s="128">
        <f t="shared" si="42"/>
        <v>0.11600000000000055</v>
      </c>
      <c r="P164" s="128">
        <f t="shared" si="42"/>
        <v>0.06</v>
      </c>
      <c r="Q164" s="30">
        <v>0.08</v>
      </c>
      <c r="R164" s="30">
        <v>0.32</v>
      </c>
      <c r="S164" s="31">
        <f t="shared" si="38"/>
        <v>1</v>
      </c>
      <c r="T164" s="26"/>
      <c r="X164" s="28">
        <v>2050</v>
      </c>
      <c r="Y164" s="172">
        <f>(C164-M164*'Future Type Share'!$AE51)/(1-'Future Type Share'!$AE51)</f>
        <v>-2.9413493653974377E-2</v>
      </c>
      <c r="Z164" s="172">
        <f>(D164-N164*'Future Type Share'!$AE51)/(1-'Future Type Share'!$AE51)</f>
        <v>0.37392117568470279</v>
      </c>
      <c r="AA164" s="172">
        <f>(E164-O164*'Future Type Share'!$AE51)/(1-'Future Type Share'!$AE51)</f>
        <v>0.14539211756846679</v>
      </c>
      <c r="AB164" s="172">
        <f>(F164-P164*'Future Type Share'!$AE51)/(1-'Future Type Share'!$AE51)</f>
        <v>-1.3480293921175656E-2</v>
      </c>
      <c r="AC164" s="172">
        <f>(G164-Q164*'Future Type Share'!$AE51)/(1-'Future Type Share'!$AE51)</f>
        <v>0.52088176352705429</v>
      </c>
      <c r="AD164" s="172">
        <f>(H164-R164*'Future Type Share'!$AE51)/(1-'Future Type Share'!$AE51)</f>
        <v>2.6987307949259539E-3</v>
      </c>
      <c r="AE164" s="31">
        <f t="shared" si="39"/>
        <v>0.99999999999999978</v>
      </c>
      <c r="AF164" s="26"/>
      <c r="AG164" s="26"/>
      <c r="AH164" s="26"/>
      <c r="AJ164" s="171">
        <v>2050</v>
      </c>
      <c r="AK164" s="128">
        <v>0</v>
      </c>
      <c r="AL164" s="128">
        <v>0.37392117568470279</v>
      </c>
      <c r="AM164" s="128">
        <v>0</v>
      </c>
      <c r="AN164" s="128">
        <v>0</v>
      </c>
      <c r="AO164" s="128">
        <f t="shared" si="34"/>
        <v>0.62607882431529727</v>
      </c>
      <c r="AP164" s="128">
        <v>0</v>
      </c>
      <c r="AQ164" s="31">
        <f t="shared" si="35"/>
        <v>1</v>
      </c>
    </row>
    <row r="165" spans="1:43">
      <c r="A165" s="24"/>
      <c r="B165" s="24"/>
    </row>
    <row r="166" spans="1:43">
      <c r="A166" s="24"/>
      <c r="B166" s="24"/>
    </row>
  </sheetData>
  <mergeCells count="2">
    <mergeCell ref="Y121:AE125"/>
    <mergeCell ref="AK121:AQ125"/>
  </mergeCells>
  <phoneticPr fontId="3" type="noConversion"/>
  <pageMargins left="0.7" right="0.7" top="0.75" bottom="0.75" header="0.3" footer="0.3"/>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U53"/>
  <sheetViews>
    <sheetView zoomScale="61" zoomScaleNormal="55" workbookViewId="0">
      <selection activeCell="J13" sqref="J13"/>
    </sheetView>
  </sheetViews>
  <sheetFormatPr defaultColWidth="8.7109375" defaultRowHeight="15"/>
  <cols>
    <col min="1" max="1" width="14.5703125" style="103" customWidth="1"/>
    <col min="2" max="2" width="11.140625" style="103" bestFit="1" customWidth="1"/>
    <col min="3" max="3" width="9.42578125" style="103" customWidth="1"/>
    <col min="4" max="4" width="9.7109375" style="103" bestFit="1" customWidth="1"/>
    <col min="5" max="6" width="8.7109375" style="103"/>
    <col min="7" max="7" width="10.85546875" style="103" bestFit="1" customWidth="1"/>
    <col min="8" max="8" width="8.7109375" style="103"/>
    <col min="9" max="10" width="6.7109375" style="103" customWidth="1"/>
    <col min="11" max="16384" width="8.7109375" style="103"/>
  </cols>
  <sheetData>
    <row r="1" spans="1:47" ht="21">
      <c r="A1" s="121" t="s">
        <v>674</v>
      </c>
      <c r="I1" s="68"/>
      <c r="S1" s="68"/>
      <c r="AC1" s="68"/>
      <c r="AM1" s="68"/>
    </row>
    <row r="2" spans="1:47">
      <c r="I2" s="68"/>
      <c r="S2" s="68"/>
      <c r="AC2" s="68"/>
      <c r="AM2" s="68"/>
    </row>
    <row r="3" spans="1:47">
      <c r="A3" s="103" t="s">
        <v>750</v>
      </c>
      <c r="I3" s="68"/>
      <c r="K3" s="103" t="s">
        <v>750</v>
      </c>
      <c r="S3" s="68"/>
      <c r="U3" s="103" t="s">
        <v>750</v>
      </c>
      <c r="AC3" s="68"/>
      <c r="AE3" s="103" t="s">
        <v>750</v>
      </c>
      <c r="AM3" s="68"/>
      <c r="AO3" s="103" t="s">
        <v>750</v>
      </c>
    </row>
    <row r="4" spans="1:47">
      <c r="A4" s="103">
        <f>A9</f>
        <v>2006</v>
      </c>
      <c r="B4" s="62">
        <f>B9</f>
        <v>15863.890000000001</v>
      </c>
      <c r="C4" s="62">
        <f>C9</f>
        <v>0</v>
      </c>
      <c r="D4" s="62">
        <f>D9</f>
        <v>0</v>
      </c>
      <c r="E4" s="62">
        <f>E9</f>
        <v>0</v>
      </c>
      <c r="I4" s="68"/>
      <c r="K4" s="103">
        <f>K9</f>
        <v>2006</v>
      </c>
      <c r="L4" s="62">
        <f>L9</f>
        <v>30794.61</v>
      </c>
      <c r="M4" s="62">
        <f>M9</f>
        <v>0</v>
      </c>
      <c r="N4" s="62">
        <f>N9</f>
        <v>0</v>
      </c>
      <c r="O4" s="62">
        <f>O9</f>
        <v>0</v>
      </c>
      <c r="S4" s="68"/>
      <c r="U4" s="103">
        <f>U9</f>
        <v>2006</v>
      </c>
      <c r="V4" s="62">
        <f>V9</f>
        <v>0</v>
      </c>
      <c r="W4" s="62">
        <f>W9</f>
        <v>0</v>
      </c>
      <c r="X4" s="62">
        <f>X9</f>
        <v>0</v>
      </c>
      <c r="Y4" s="62">
        <f>Y9</f>
        <v>0</v>
      </c>
      <c r="AC4" s="68"/>
      <c r="AE4" s="103">
        <f>AE9</f>
        <v>2006</v>
      </c>
      <c r="AF4" s="62">
        <f>AF9</f>
        <v>15863.89</v>
      </c>
      <c r="AG4" s="62">
        <f>AG9</f>
        <v>2467.3593062961168</v>
      </c>
      <c r="AH4" s="62">
        <f>AH9</f>
        <v>13627.461387407766</v>
      </c>
      <c r="AI4" s="62">
        <f>AI9</f>
        <v>2467.3593062961168</v>
      </c>
      <c r="AM4" s="68"/>
      <c r="AO4" s="103">
        <f>AO9</f>
        <v>2006</v>
      </c>
      <c r="AP4" s="62">
        <f>AP9</f>
        <v>30794.61</v>
      </c>
      <c r="AQ4" s="62">
        <f>AQ9</f>
        <v>0</v>
      </c>
      <c r="AR4" s="62">
        <f>AR9</f>
        <v>0</v>
      </c>
      <c r="AS4" s="62">
        <f>AS9</f>
        <v>0</v>
      </c>
    </row>
    <row r="5" spans="1:47">
      <c r="A5" s="103">
        <f>A15</f>
        <v>2012</v>
      </c>
      <c r="B5" s="62">
        <f>B15</f>
        <v>15271.949999999999</v>
      </c>
      <c r="C5" s="62">
        <f>C15</f>
        <v>0</v>
      </c>
      <c r="D5" s="62">
        <f>D15</f>
        <v>0</v>
      </c>
      <c r="E5" s="62">
        <f>E15</f>
        <v>0</v>
      </c>
      <c r="I5" s="68"/>
      <c r="K5" s="103">
        <f>K15</f>
        <v>2012</v>
      </c>
      <c r="L5" s="62">
        <f>L15</f>
        <v>30543.899999999998</v>
      </c>
      <c r="M5" s="62">
        <f>M15</f>
        <v>0</v>
      </c>
      <c r="N5" s="62">
        <f>N15</f>
        <v>0</v>
      </c>
      <c r="O5" s="62">
        <f>O15</f>
        <v>0</v>
      </c>
      <c r="S5" s="68"/>
      <c r="U5" s="103">
        <f>U15</f>
        <v>2012</v>
      </c>
      <c r="V5" s="62">
        <f>V15</f>
        <v>0</v>
      </c>
      <c r="W5" s="62">
        <f>W15</f>
        <v>0</v>
      </c>
      <c r="X5" s="62">
        <f>X15</f>
        <v>0</v>
      </c>
      <c r="Y5" s="62">
        <f>Y15</f>
        <v>0</v>
      </c>
      <c r="AC5" s="68"/>
      <c r="AE5" s="103">
        <f>AE15</f>
        <v>2012</v>
      </c>
      <c r="AF5" s="62">
        <f>AF15</f>
        <v>22398.860000000004</v>
      </c>
      <c r="AG5" s="62">
        <f>AG15</f>
        <v>2384.5</v>
      </c>
      <c r="AH5" s="62">
        <f>AH15</f>
        <v>14388</v>
      </c>
      <c r="AI5" s="62">
        <f>AI15</f>
        <v>2384.5</v>
      </c>
      <c r="AM5" s="68"/>
      <c r="AO5" s="103">
        <f>AO15</f>
        <v>2012</v>
      </c>
      <c r="AP5" s="62">
        <f>AP15</f>
        <v>33598.29</v>
      </c>
      <c r="AQ5" s="62">
        <f>AQ15</f>
        <v>0</v>
      </c>
      <c r="AR5" s="62">
        <f>AR15</f>
        <v>0</v>
      </c>
      <c r="AS5" s="62">
        <f>AS15</f>
        <v>0</v>
      </c>
    </row>
    <row r="6" spans="1:47">
      <c r="I6" s="68"/>
      <c r="S6" s="68"/>
      <c r="AC6" s="68"/>
      <c r="AM6" s="68"/>
    </row>
    <row r="7" spans="1:47">
      <c r="A7" s="18" t="s">
        <v>28</v>
      </c>
      <c r="I7" s="68"/>
      <c r="K7" s="60" t="s">
        <v>87</v>
      </c>
      <c r="S7" s="68"/>
      <c r="U7" s="60" t="s">
        <v>88</v>
      </c>
      <c r="AC7" s="68"/>
      <c r="AE7" s="60" t="s">
        <v>89</v>
      </c>
      <c r="AM7" s="68"/>
      <c r="AO7" s="60" t="s">
        <v>33</v>
      </c>
    </row>
    <row r="8" spans="1:47">
      <c r="A8" s="103" t="s">
        <v>1</v>
      </c>
      <c r="B8" s="103" t="s">
        <v>40</v>
      </c>
      <c r="C8" s="103" t="s">
        <v>82</v>
      </c>
      <c r="D8" s="103" t="s">
        <v>81</v>
      </c>
      <c r="E8" s="103" t="s">
        <v>83</v>
      </c>
      <c r="F8" s="103" t="s">
        <v>85</v>
      </c>
      <c r="G8" s="103" t="s">
        <v>84</v>
      </c>
      <c r="I8" s="68"/>
      <c r="K8" s="103" t="s">
        <v>1</v>
      </c>
      <c r="L8" s="103" t="s">
        <v>40</v>
      </c>
      <c r="M8" s="103" t="s">
        <v>82</v>
      </c>
      <c r="N8" s="103" t="s">
        <v>81</v>
      </c>
      <c r="O8" s="103" t="s">
        <v>83</v>
      </c>
      <c r="P8" s="103" t="s">
        <v>85</v>
      </c>
      <c r="Q8" s="103" t="s">
        <v>84</v>
      </c>
      <c r="S8" s="68"/>
      <c r="U8" s="103" t="s">
        <v>1</v>
      </c>
      <c r="V8" s="103" t="s">
        <v>40</v>
      </c>
      <c r="W8" s="103" t="s">
        <v>82</v>
      </c>
      <c r="X8" s="103" t="s">
        <v>81</v>
      </c>
      <c r="Y8" s="103" t="s">
        <v>83</v>
      </c>
      <c r="Z8" s="103" t="s">
        <v>85</v>
      </c>
      <c r="AA8" s="103" t="s">
        <v>84</v>
      </c>
      <c r="AC8" s="68"/>
      <c r="AE8" s="103" t="s">
        <v>1</v>
      </c>
      <c r="AF8" s="103" t="s">
        <v>40</v>
      </c>
      <c r="AG8" s="103" t="s">
        <v>82</v>
      </c>
      <c r="AH8" s="103" t="s">
        <v>81</v>
      </c>
      <c r="AI8" s="103" t="s">
        <v>83</v>
      </c>
      <c r="AJ8" s="103" t="s">
        <v>85</v>
      </c>
      <c r="AK8" s="103" t="s">
        <v>84</v>
      </c>
      <c r="AM8" s="68"/>
      <c r="AO8" s="103" t="s">
        <v>1</v>
      </c>
      <c r="AP8" s="103" t="s">
        <v>40</v>
      </c>
      <c r="AQ8" s="103" t="s">
        <v>82</v>
      </c>
      <c r="AR8" s="103" t="s">
        <v>81</v>
      </c>
      <c r="AS8" s="103" t="s">
        <v>83</v>
      </c>
      <c r="AT8" s="103" t="s">
        <v>85</v>
      </c>
      <c r="AU8" s="103" t="s">
        <v>84</v>
      </c>
    </row>
    <row r="9" spans="1:47">
      <c r="A9" s="103">
        <v>2006</v>
      </c>
      <c r="B9" s="62">
        <f>Commercial8Fuel!F5*Commercial8EndUse!J24</f>
        <v>15863.890000000001</v>
      </c>
      <c r="C9" s="103">
        <f>'Future Type Share'!AB7*0.5*'Future EndUse Share'!AM120</f>
        <v>0</v>
      </c>
      <c r="D9" s="103">
        <f>'Future Type Share'!Z7*'Future EndUse Share'!AM120</f>
        <v>0</v>
      </c>
      <c r="E9" s="103">
        <f>C9</f>
        <v>0</v>
      </c>
      <c r="F9" s="103">
        <v>0</v>
      </c>
      <c r="G9" s="103">
        <v>0</v>
      </c>
      <c r="I9" s="68"/>
      <c r="K9" s="103">
        <v>2006</v>
      </c>
      <c r="L9" s="62">
        <f>'Future Type Share'!AD7*'Future EndUse Share'!$M120</f>
        <v>30794.61</v>
      </c>
      <c r="M9" s="62">
        <f>Commercial8Fuel!D5*0.5*Residential8EndUse!S44</f>
        <v>0</v>
      </c>
      <c r="N9" s="62">
        <f>Commercial8Fuel!B5*Commercial8EndUse!S45</f>
        <v>0</v>
      </c>
      <c r="O9" s="62">
        <f>M9</f>
        <v>0</v>
      </c>
      <c r="P9" s="103">
        <v>0</v>
      </c>
      <c r="Q9" s="103">
        <v>0</v>
      </c>
      <c r="S9" s="68"/>
      <c r="U9" s="103">
        <v>2006</v>
      </c>
      <c r="V9" s="103">
        <v>0</v>
      </c>
      <c r="W9" s="103">
        <v>0</v>
      </c>
      <c r="X9" s="103">
        <v>0</v>
      </c>
      <c r="Y9" s="103">
        <v>0</v>
      </c>
      <c r="Z9" s="103">
        <v>0</v>
      </c>
      <c r="AA9" s="103">
        <v>0</v>
      </c>
      <c r="AC9" s="68"/>
      <c r="AE9" s="103">
        <v>2006</v>
      </c>
      <c r="AF9" s="62">
        <f>'Future Type Share'!AD7*('Future EndUse Share'!$N120+'Future EndUse Share'!$P120+'Future EndUse Share'!$Q120)</f>
        <v>15863.89</v>
      </c>
      <c r="AG9" s="62">
        <f>'Future Type Share'!AB7*0.5*('Future EndUse Share'!AL120+'Future EndUse Share'!AN120+'Future EndUse Share'!AO120)</f>
        <v>2467.3593062961168</v>
      </c>
      <c r="AH9" s="62">
        <f>'Future Type Share'!Z7*('Future EndUse Share'!$AL120+'Future EndUse Share'!$AN120+'Future EndUse Share'!$AO120)</f>
        <v>13627.461387407766</v>
      </c>
      <c r="AI9" s="62">
        <f>AG9</f>
        <v>2467.3593062961168</v>
      </c>
      <c r="AJ9" s="103">
        <v>0</v>
      </c>
      <c r="AK9" s="103">
        <v>0</v>
      </c>
      <c r="AM9" s="68"/>
      <c r="AO9" s="103">
        <v>2006</v>
      </c>
      <c r="AP9" s="62">
        <f>Commercial8Fuel!F5*(Commercial8EndUse!M24)</f>
        <v>30794.61</v>
      </c>
      <c r="AQ9" s="62">
        <f>'Future Type Share'!AB7*0.5*('Future EndUse Share'!AP120)</f>
        <v>0</v>
      </c>
      <c r="AR9" s="62">
        <f>'Future Type Share'!Z7*('Future EndUse Share'!AP120)</f>
        <v>0</v>
      </c>
      <c r="AS9" s="62">
        <f>AQ9</f>
        <v>0</v>
      </c>
      <c r="AT9" s="103">
        <v>0</v>
      </c>
      <c r="AU9" s="103">
        <v>0</v>
      </c>
    </row>
    <row r="10" spans="1:47">
      <c r="A10" s="103">
        <v>2007</v>
      </c>
      <c r="B10" s="63">
        <f>TREND(B$4:B$5,$A$4:$A$5,$A10)</f>
        <v>15765.233333333337</v>
      </c>
      <c r="C10" s="63">
        <f t="shared" ref="C10:G14" si="0">TREND(C$15:C$19,$A$15:$A$19,$A10)</f>
        <v>0</v>
      </c>
      <c r="D10" s="63">
        <f t="shared" si="0"/>
        <v>0</v>
      </c>
      <c r="E10" s="19">
        <f t="shared" si="0"/>
        <v>0</v>
      </c>
      <c r="F10" s="19">
        <f t="shared" si="0"/>
        <v>0</v>
      </c>
      <c r="G10" s="19">
        <f t="shared" si="0"/>
        <v>0</v>
      </c>
      <c r="I10" s="68"/>
      <c r="K10" s="103">
        <v>2007</v>
      </c>
      <c r="L10" s="63">
        <f>TREND(L$4:L$5,$K$4:$K$5,$K10)</f>
        <v>30752.824999999983</v>
      </c>
      <c r="M10" s="63">
        <f>TREND(M$4:M$5,$K$4:$K$5,$K10)</f>
        <v>0</v>
      </c>
      <c r="N10" s="63">
        <f>TREND(N$4:N$5,$K$4:$K$5,$K10)</f>
        <v>0</v>
      </c>
      <c r="O10" s="63">
        <f>TREND(O$4:O$5,$K$4:$K$5,$K10)</f>
        <v>0</v>
      </c>
      <c r="P10" s="63">
        <f t="shared" ref="P10:Q14" si="1">TREND(P$15:P$19,$K$15:$K$19,$K10)</f>
        <v>0</v>
      </c>
      <c r="Q10" s="63">
        <f t="shared" si="1"/>
        <v>0</v>
      </c>
      <c r="S10" s="68"/>
      <c r="U10" s="103">
        <v>2007</v>
      </c>
      <c r="V10" s="103">
        <v>0</v>
      </c>
      <c r="W10" s="103">
        <v>0</v>
      </c>
      <c r="X10" s="103">
        <v>0</v>
      </c>
      <c r="Y10" s="103">
        <v>0</v>
      </c>
      <c r="Z10" s="103">
        <v>0</v>
      </c>
      <c r="AA10" s="103">
        <v>0</v>
      </c>
      <c r="AC10" s="68"/>
      <c r="AE10" s="103">
        <v>2007</v>
      </c>
      <c r="AF10" s="63">
        <f>TREND(AF$4:AF$5,$AE$4:$AE$5,$AE10)</f>
        <v>16953.051666666754</v>
      </c>
      <c r="AG10" s="63">
        <f>TREND(AG$4:AG$5,$AE$4:$AE$5,$AE10)</f>
        <v>2453.5494219134307</v>
      </c>
      <c r="AH10" s="63">
        <f>TREND(AH$4:AH$5,$AE$4:$AE$5,$AE10)</f>
        <v>13754.217822839826</v>
      </c>
      <c r="AI10" s="63">
        <f>TREND(AI$4:AI$5,$AE$4:$AE$5,$AE10)</f>
        <v>2453.5494219134307</v>
      </c>
      <c r="AJ10" s="63">
        <f t="shared" ref="AJ10:AK14" si="2">TREND(AJ$15:AJ$19,$AE$15:$AE$19,$AE10)</f>
        <v>0</v>
      </c>
      <c r="AK10" s="63">
        <f t="shared" si="2"/>
        <v>0</v>
      </c>
      <c r="AM10" s="68"/>
      <c r="AO10" s="103">
        <v>2007</v>
      </c>
      <c r="AP10" s="63">
        <f>TREND(AP$4:AP$5,$AO$4:$AO$5,$AO10)</f>
        <v>31261.890000000014</v>
      </c>
      <c r="AQ10" s="63">
        <f t="shared" ref="AQ10:AS11" si="3">TREND(AQ$4:AQ$5,$AO$4:$AO$5,$AO10)</f>
        <v>0</v>
      </c>
      <c r="AR10" s="63">
        <f t="shared" si="3"/>
        <v>0</v>
      </c>
      <c r="AS10" s="63">
        <f t="shared" si="3"/>
        <v>0</v>
      </c>
      <c r="AT10" s="63">
        <f t="shared" ref="AT10:AU14" si="4">TREND(AT$15:AT$19,$AO$15:$AO$19,$AO10)</f>
        <v>0</v>
      </c>
      <c r="AU10" s="63">
        <f t="shared" si="4"/>
        <v>0</v>
      </c>
    </row>
    <row r="11" spans="1:47">
      <c r="A11" s="103">
        <v>2008</v>
      </c>
      <c r="B11" s="63">
        <f>TREND(B$4:B$5,$A$4:$A$5,$A11)</f>
        <v>15666.57666666669</v>
      </c>
      <c r="C11" s="63">
        <f t="shared" si="0"/>
        <v>0</v>
      </c>
      <c r="D11" s="63">
        <f t="shared" si="0"/>
        <v>0</v>
      </c>
      <c r="E11" s="19">
        <f t="shared" si="0"/>
        <v>0</v>
      </c>
      <c r="F11" s="19">
        <f t="shared" si="0"/>
        <v>0</v>
      </c>
      <c r="G11" s="19">
        <f t="shared" si="0"/>
        <v>0</v>
      </c>
      <c r="I11" s="68"/>
      <c r="K11" s="103">
        <v>2008</v>
      </c>
      <c r="L11" s="63">
        <f t="shared" ref="L11:O14" si="5">TREND(L$4:L$5,$K$4:$K$5,$K11)</f>
        <v>30711.039999999994</v>
      </c>
      <c r="M11" s="63">
        <f t="shared" si="5"/>
        <v>0</v>
      </c>
      <c r="N11" s="63">
        <f t="shared" si="5"/>
        <v>0</v>
      </c>
      <c r="O11" s="63">
        <f t="shared" si="5"/>
        <v>0</v>
      </c>
      <c r="P11" s="63">
        <f t="shared" si="1"/>
        <v>0</v>
      </c>
      <c r="Q11" s="63">
        <f t="shared" si="1"/>
        <v>0</v>
      </c>
      <c r="S11" s="68"/>
      <c r="U11" s="103">
        <v>2008</v>
      </c>
      <c r="V11" s="103">
        <v>0</v>
      </c>
      <c r="W11" s="103">
        <v>0</v>
      </c>
      <c r="X11" s="103">
        <v>0</v>
      </c>
      <c r="Y11" s="103">
        <v>0</v>
      </c>
      <c r="Z11" s="103">
        <v>0</v>
      </c>
      <c r="AA11" s="103">
        <v>0</v>
      </c>
      <c r="AC11" s="68"/>
      <c r="AE11" s="103">
        <v>2008</v>
      </c>
      <c r="AF11" s="63">
        <f t="shared" ref="AF11:AI14" si="6">TREND(AF$4:AF$5,$AE$4:$AE$5,$AE11)</f>
        <v>18042.213333333377</v>
      </c>
      <c r="AG11" s="63">
        <f t="shared" si="6"/>
        <v>2439.739537530746</v>
      </c>
      <c r="AH11" s="63">
        <f t="shared" si="6"/>
        <v>13880.974258271861</v>
      </c>
      <c r="AI11" s="63">
        <f t="shared" si="6"/>
        <v>2439.739537530746</v>
      </c>
      <c r="AJ11" s="63">
        <f t="shared" si="2"/>
        <v>0</v>
      </c>
      <c r="AK11" s="63">
        <f t="shared" si="2"/>
        <v>0</v>
      </c>
      <c r="AM11" s="68"/>
      <c r="AO11" s="103">
        <v>2008</v>
      </c>
      <c r="AP11" s="63">
        <f>TREND(AP$4:AP$5,$AO$4:$AO$5,$AO11)</f>
        <v>31729.170000000042</v>
      </c>
      <c r="AQ11" s="63">
        <f t="shared" si="3"/>
        <v>0</v>
      </c>
      <c r="AR11" s="63">
        <f t="shared" si="3"/>
        <v>0</v>
      </c>
      <c r="AS11" s="63">
        <f t="shared" si="3"/>
        <v>0</v>
      </c>
      <c r="AT11" s="63">
        <f t="shared" si="4"/>
        <v>0</v>
      </c>
      <c r="AU11" s="63">
        <f t="shared" si="4"/>
        <v>0</v>
      </c>
    </row>
    <row r="12" spans="1:47">
      <c r="A12" s="103">
        <v>2009</v>
      </c>
      <c r="B12" s="63">
        <f>TREND(B$4:B$5,$A$4:$A$5,$A12)</f>
        <v>15567.920000000013</v>
      </c>
      <c r="C12" s="63">
        <f t="shared" si="0"/>
        <v>0</v>
      </c>
      <c r="D12" s="63">
        <f t="shared" si="0"/>
        <v>0</v>
      </c>
      <c r="E12" s="19">
        <f t="shared" si="0"/>
        <v>0</v>
      </c>
      <c r="F12" s="19">
        <f t="shared" si="0"/>
        <v>0</v>
      </c>
      <c r="G12" s="19">
        <f t="shared" si="0"/>
        <v>0</v>
      </c>
      <c r="I12" s="68"/>
      <c r="K12" s="103">
        <v>2009</v>
      </c>
      <c r="L12" s="63">
        <f t="shared" si="5"/>
        <v>30669.25499999999</v>
      </c>
      <c r="M12" s="63">
        <f t="shared" si="5"/>
        <v>0</v>
      </c>
      <c r="N12" s="63">
        <f t="shared" si="5"/>
        <v>0</v>
      </c>
      <c r="O12" s="63">
        <f t="shared" si="5"/>
        <v>0</v>
      </c>
      <c r="P12" s="63">
        <f t="shared" si="1"/>
        <v>0</v>
      </c>
      <c r="Q12" s="63">
        <f t="shared" si="1"/>
        <v>0</v>
      </c>
      <c r="S12" s="68"/>
      <c r="U12" s="103">
        <v>2009</v>
      </c>
      <c r="V12" s="103">
        <v>0</v>
      </c>
      <c r="W12" s="103">
        <v>0</v>
      </c>
      <c r="X12" s="103">
        <v>0</v>
      </c>
      <c r="Y12" s="103">
        <v>0</v>
      </c>
      <c r="Z12" s="103">
        <v>0</v>
      </c>
      <c r="AA12" s="103">
        <v>0</v>
      </c>
      <c r="AC12" s="68"/>
      <c r="AE12" s="103">
        <v>2009</v>
      </c>
      <c r="AF12" s="63">
        <f t="shared" si="6"/>
        <v>19131.375</v>
      </c>
      <c r="AG12" s="63">
        <f t="shared" si="6"/>
        <v>2425.9296531480577</v>
      </c>
      <c r="AH12" s="63">
        <f t="shared" si="6"/>
        <v>14007.730693703896</v>
      </c>
      <c r="AI12" s="63">
        <f t="shared" si="6"/>
        <v>2425.9296531480577</v>
      </c>
      <c r="AJ12" s="63">
        <f t="shared" si="2"/>
        <v>0</v>
      </c>
      <c r="AK12" s="63">
        <f t="shared" si="2"/>
        <v>0</v>
      </c>
      <c r="AM12" s="68"/>
      <c r="AO12" s="103">
        <v>2009</v>
      </c>
      <c r="AP12" s="63">
        <f t="shared" ref="AP12:AS14" si="7">TREND(AP$4:AP$5,$AO$4:$AO$5,$AO12)</f>
        <v>32196.449999999953</v>
      </c>
      <c r="AQ12" s="63">
        <f t="shared" si="7"/>
        <v>0</v>
      </c>
      <c r="AR12" s="63">
        <f t="shared" si="7"/>
        <v>0</v>
      </c>
      <c r="AS12" s="63">
        <f t="shared" si="7"/>
        <v>0</v>
      </c>
      <c r="AT12" s="63">
        <f t="shared" si="4"/>
        <v>0</v>
      </c>
      <c r="AU12" s="63">
        <f t="shared" si="4"/>
        <v>0</v>
      </c>
    </row>
    <row r="13" spans="1:47">
      <c r="A13" s="103">
        <v>2010</v>
      </c>
      <c r="B13" s="63">
        <f>TREND(B$4:B$5,$A$4:$A$5,$A13)</f>
        <v>15469.263333333336</v>
      </c>
      <c r="C13" s="63">
        <f t="shared" si="0"/>
        <v>0</v>
      </c>
      <c r="D13" s="63">
        <f t="shared" si="0"/>
        <v>0</v>
      </c>
      <c r="E13" s="19">
        <f t="shared" si="0"/>
        <v>0</v>
      </c>
      <c r="F13" s="19">
        <f t="shared" si="0"/>
        <v>0</v>
      </c>
      <c r="G13" s="19">
        <f t="shared" si="0"/>
        <v>0</v>
      </c>
      <c r="I13" s="68"/>
      <c r="K13" s="103">
        <v>2010</v>
      </c>
      <c r="L13" s="63">
        <f t="shared" si="5"/>
        <v>30627.469999999987</v>
      </c>
      <c r="M13" s="63">
        <f t="shared" si="5"/>
        <v>0</v>
      </c>
      <c r="N13" s="63">
        <f t="shared" si="5"/>
        <v>0</v>
      </c>
      <c r="O13" s="63">
        <f t="shared" si="5"/>
        <v>0</v>
      </c>
      <c r="P13" s="63">
        <f t="shared" si="1"/>
        <v>0</v>
      </c>
      <c r="Q13" s="63">
        <f t="shared" si="1"/>
        <v>0</v>
      </c>
      <c r="S13" s="68"/>
      <c r="U13" s="103">
        <v>2010</v>
      </c>
      <c r="V13" s="103">
        <v>0</v>
      </c>
      <c r="W13" s="103">
        <v>0</v>
      </c>
      <c r="X13" s="103">
        <v>0</v>
      </c>
      <c r="Y13" s="103">
        <v>0</v>
      </c>
      <c r="Z13" s="103">
        <v>0</v>
      </c>
      <c r="AA13" s="103">
        <v>0</v>
      </c>
      <c r="AC13" s="68"/>
      <c r="AE13" s="103">
        <v>2010</v>
      </c>
      <c r="AF13" s="63">
        <f t="shared" si="6"/>
        <v>20220.536666666623</v>
      </c>
      <c r="AG13" s="63">
        <f t="shared" si="6"/>
        <v>2412.119768765373</v>
      </c>
      <c r="AH13" s="63">
        <f t="shared" si="6"/>
        <v>14134.48712913593</v>
      </c>
      <c r="AI13" s="63">
        <f t="shared" si="6"/>
        <v>2412.119768765373</v>
      </c>
      <c r="AJ13" s="63">
        <f t="shared" si="2"/>
        <v>0</v>
      </c>
      <c r="AK13" s="63">
        <f t="shared" si="2"/>
        <v>0</v>
      </c>
      <c r="AM13" s="68"/>
      <c r="AO13" s="103">
        <v>2010</v>
      </c>
      <c r="AP13" s="63">
        <f t="shared" si="7"/>
        <v>32663.729999999981</v>
      </c>
      <c r="AQ13" s="63">
        <f t="shared" si="7"/>
        <v>0</v>
      </c>
      <c r="AR13" s="63">
        <f t="shared" si="7"/>
        <v>0</v>
      </c>
      <c r="AS13" s="63">
        <f t="shared" si="7"/>
        <v>0</v>
      </c>
      <c r="AT13" s="63">
        <f t="shared" si="4"/>
        <v>0</v>
      </c>
      <c r="AU13" s="63">
        <f t="shared" si="4"/>
        <v>0</v>
      </c>
    </row>
    <row r="14" spans="1:47">
      <c r="A14" s="103">
        <v>2011</v>
      </c>
      <c r="B14" s="63">
        <f>TREND(B$4:B$5,$A$4:$A$5,$A14)</f>
        <v>15370.606666666688</v>
      </c>
      <c r="C14" s="63">
        <f t="shared" si="0"/>
        <v>0</v>
      </c>
      <c r="D14" s="63">
        <f t="shared" si="0"/>
        <v>0</v>
      </c>
      <c r="E14" s="19">
        <f t="shared" si="0"/>
        <v>0</v>
      </c>
      <c r="F14" s="19">
        <f t="shared" si="0"/>
        <v>0</v>
      </c>
      <c r="G14" s="19">
        <f t="shared" si="0"/>
        <v>0</v>
      </c>
      <c r="I14" s="68"/>
      <c r="K14" s="103">
        <v>2011</v>
      </c>
      <c r="L14" s="63">
        <f t="shared" si="5"/>
        <v>30585.684999999983</v>
      </c>
      <c r="M14" s="63">
        <f t="shared" si="5"/>
        <v>0</v>
      </c>
      <c r="N14" s="63">
        <f t="shared" si="5"/>
        <v>0</v>
      </c>
      <c r="O14" s="63">
        <f t="shared" si="5"/>
        <v>0</v>
      </c>
      <c r="P14" s="63">
        <f t="shared" si="1"/>
        <v>0</v>
      </c>
      <c r="Q14" s="63">
        <f t="shared" si="1"/>
        <v>0</v>
      </c>
      <c r="S14" s="68"/>
      <c r="U14" s="103">
        <v>2011</v>
      </c>
      <c r="V14" s="103">
        <v>0</v>
      </c>
      <c r="W14" s="103">
        <v>0</v>
      </c>
      <c r="X14" s="103">
        <v>0</v>
      </c>
      <c r="Y14" s="103">
        <v>0</v>
      </c>
      <c r="Z14" s="103">
        <v>0</v>
      </c>
      <c r="AA14" s="103">
        <v>0</v>
      </c>
      <c r="AC14" s="68"/>
      <c r="AE14" s="103">
        <v>2011</v>
      </c>
      <c r="AF14" s="63">
        <f t="shared" si="6"/>
        <v>21309.698333333246</v>
      </c>
      <c r="AG14" s="63">
        <f t="shared" si="6"/>
        <v>2398.3098843826883</v>
      </c>
      <c r="AH14" s="63">
        <f t="shared" si="6"/>
        <v>14261.243564567994</v>
      </c>
      <c r="AI14" s="63">
        <f t="shared" si="6"/>
        <v>2398.3098843826883</v>
      </c>
      <c r="AJ14" s="63">
        <f t="shared" si="2"/>
        <v>0</v>
      </c>
      <c r="AK14" s="63">
        <f t="shared" si="2"/>
        <v>0</v>
      </c>
      <c r="AM14" s="68"/>
      <c r="AO14" s="103">
        <v>2011</v>
      </c>
      <c r="AP14" s="63">
        <f t="shared" si="7"/>
        <v>33131.010000000009</v>
      </c>
      <c r="AQ14" s="63">
        <f t="shared" si="7"/>
        <v>0</v>
      </c>
      <c r="AR14" s="63">
        <f t="shared" si="7"/>
        <v>0</v>
      </c>
      <c r="AS14" s="63">
        <f t="shared" si="7"/>
        <v>0</v>
      </c>
      <c r="AT14" s="63">
        <f t="shared" si="4"/>
        <v>0</v>
      </c>
      <c r="AU14" s="63">
        <f t="shared" si="4"/>
        <v>0</v>
      </c>
    </row>
    <row r="15" spans="1:47">
      <c r="A15" s="103">
        <v>2012</v>
      </c>
      <c r="B15" s="62">
        <f>Commercial8Fuel!F11*Commercial8EndUse!J30</f>
        <v>15271.949999999999</v>
      </c>
      <c r="C15" s="103">
        <f>'Future Type Share'!AB13*0.5*'Future EndUse Share'!AM126</f>
        <v>0</v>
      </c>
      <c r="D15" s="103">
        <f>'Future Type Share'!Z13*'Future EndUse Share'!AM126</f>
        <v>0</v>
      </c>
      <c r="E15" s="103">
        <f t="shared" ref="E15:E21" si="8">C15</f>
        <v>0</v>
      </c>
      <c r="F15" s="103">
        <v>0</v>
      </c>
      <c r="G15" s="103">
        <v>0</v>
      </c>
      <c r="I15" s="68"/>
      <c r="K15" s="103">
        <v>2012</v>
      </c>
      <c r="L15" s="62">
        <f>'Future Type Share'!AD13*'Future EndUse Share'!$M126</f>
        <v>30543.899999999998</v>
      </c>
      <c r="M15" s="62">
        <f>Commercial8Fuel!D11*0.5*Residential8EndUse!S50</f>
        <v>0</v>
      </c>
      <c r="N15" s="62">
        <f>Commercial8Fuel!B11*Commercial8EndUse!S51</f>
        <v>0</v>
      </c>
      <c r="O15" s="62">
        <f t="shared" ref="O15:O20" si="9">M15</f>
        <v>0</v>
      </c>
      <c r="P15" s="103">
        <v>0</v>
      </c>
      <c r="Q15" s="103">
        <v>0</v>
      </c>
      <c r="S15" s="68"/>
      <c r="U15" s="103">
        <v>2012</v>
      </c>
      <c r="V15" s="103">
        <v>0</v>
      </c>
      <c r="W15" s="103">
        <v>0</v>
      </c>
      <c r="X15" s="103">
        <v>0</v>
      </c>
      <c r="Y15" s="103">
        <v>0</v>
      </c>
      <c r="Z15" s="103">
        <v>0</v>
      </c>
      <c r="AA15" s="103">
        <v>0</v>
      </c>
      <c r="AC15" s="68"/>
      <c r="AE15" s="103">
        <v>2012</v>
      </c>
      <c r="AF15" s="62">
        <f>'Future Type Share'!AD13*('Future EndUse Share'!$N126+'Future EndUse Share'!$P126+'Future EndUse Share'!$Q126)</f>
        <v>22398.860000000004</v>
      </c>
      <c r="AG15" s="62">
        <f>'Future Type Share'!AB13*0.5*('Future EndUse Share'!AL126+'Future EndUse Share'!AN126+'Future EndUse Share'!AO126)</f>
        <v>2384.5</v>
      </c>
      <c r="AH15" s="62">
        <f>'Future Type Share'!Z13*('Future EndUse Share'!$AL126+'Future EndUse Share'!$AN126+'Future EndUse Share'!$AO126)</f>
        <v>14388</v>
      </c>
      <c r="AI15" s="62">
        <f t="shared" ref="AI15:AI20" si="10">AG15</f>
        <v>2384.5</v>
      </c>
      <c r="AJ15" s="103">
        <v>0</v>
      </c>
      <c r="AK15" s="103">
        <v>0</v>
      </c>
      <c r="AM15" s="68"/>
      <c r="AO15" s="103">
        <v>2012</v>
      </c>
      <c r="AP15" s="62">
        <f>Commercial8Fuel!F11*(Commercial8EndUse!M30)</f>
        <v>33598.29</v>
      </c>
      <c r="AQ15" s="62">
        <f>'Future Type Share'!AB13*0.5*('Future EndUse Share'!AP126)</f>
        <v>0</v>
      </c>
      <c r="AR15" s="62">
        <f>'Future Type Share'!Z13*('Future EndUse Share'!AP126)</f>
        <v>0</v>
      </c>
      <c r="AS15" s="62">
        <f t="shared" ref="AS15:AS20" si="11">AQ15</f>
        <v>0</v>
      </c>
      <c r="AT15" s="103">
        <v>0</v>
      </c>
      <c r="AU15" s="103">
        <v>0</v>
      </c>
    </row>
    <row r="16" spans="1:47">
      <c r="A16" s="103">
        <v>2013</v>
      </c>
      <c r="B16" s="62">
        <f>Commercial8Fuel!F12*Commercial8EndUse!J31</f>
        <v>16236.800000000001</v>
      </c>
      <c r="C16" s="103">
        <f>'Future Type Share'!AB14*0.5*'Future EndUse Share'!AM127</f>
        <v>0</v>
      </c>
      <c r="D16" s="103">
        <f>'Future Type Share'!Z14*'Future EndUse Share'!AM127</f>
        <v>0</v>
      </c>
      <c r="E16" s="103">
        <f t="shared" si="8"/>
        <v>0</v>
      </c>
      <c r="F16" s="103">
        <v>0</v>
      </c>
      <c r="G16" s="103">
        <v>0</v>
      </c>
      <c r="I16" s="68"/>
      <c r="K16" s="103">
        <v>2013</v>
      </c>
      <c r="L16" s="62">
        <f>'Future Type Share'!AD14*'Future EndUse Share'!$M127</f>
        <v>30444</v>
      </c>
      <c r="M16" s="62">
        <f>Commercial8Fuel!D12*0.5*Residential8EndUse!S51</f>
        <v>0</v>
      </c>
      <c r="N16" s="62">
        <f>Commercial8Fuel!B12*Commercial8EndUse!S52</f>
        <v>0</v>
      </c>
      <c r="O16" s="62">
        <f t="shared" si="9"/>
        <v>0</v>
      </c>
      <c r="P16" s="103">
        <v>0</v>
      </c>
      <c r="Q16" s="103">
        <v>0</v>
      </c>
      <c r="S16" s="68"/>
      <c r="U16" s="103">
        <v>2013</v>
      </c>
      <c r="V16" s="103">
        <v>0</v>
      </c>
      <c r="W16" s="103">
        <v>0</v>
      </c>
      <c r="X16" s="103">
        <v>0</v>
      </c>
      <c r="Y16" s="103">
        <v>0</v>
      </c>
      <c r="Z16" s="103">
        <v>0</v>
      </c>
      <c r="AA16" s="103">
        <v>0</v>
      </c>
      <c r="AC16" s="68"/>
      <c r="AE16" s="103">
        <v>2013</v>
      </c>
      <c r="AF16" s="62">
        <f>'Future Type Share'!AD14*('Future EndUse Share'!$N127+'Future EndUse Share'!$P127+'Future EndUse Share'!$Q127)</f>
        <v>22325.600000000002</v>
      </c>
      <c r="AG16" s="62">
        <f>'Future Type Share'!AB14*0.5*('Future EndUse Share'!AL127+'Future EndUse Share'!AN127+'Future EndUse Share'!AO127)</f>
        <v>2513</v>
      </c>
      <c r="AH16" s="62">
        <f>'Future Type Share'!Z14*('Future EndUse Share'!$AL127+'Future EndUse Share'!$AN127+'Future EndUse Share'!$AO127)</f>
        <v>14709</v>
      </c>
      <c r="AI16" s="62">
        <f t="shared" si="10"/>
        <v>2513</v>
      </c>
      <c r="AJ16" s="103">
        <v>0</v>
      </c>
      <c r="AK16" s="103">
        <v>0</v>
      </c>
      <c r="AM16" s="68"/>
      <c r="AO16" s="103">
        <v>2013</v>
      </c>
      <c r="AP16" s="62">
        <f>Commercial8Fuel!F12*(Commercial8EndUse!M31)</f>
        <v>32473.600000000002</v>
      </c>
      <c r="AQ16" s="62">
        <f>'Future Type Share'!AB14*0.5*('Future EndUse Share'!AP127)</f>
        <v>0</v>
      </c>
      <c r="AR16" s="62">
        <f>'Future Type Share'!Z14*('Future EndUse Share'!AP127)</f>
        <v>0</v>
      </c>
      <c r="AS16" s="62">
        <f t="shared" si="11"/>
        <v>0</v>
      </c>
      <c r="AT16" s="103">
        <v>0</v>
      </c>
      <c r="AU16" s="103">
        <v>0</v>
      </c>
    </row>
    <row r="17" spans="1:47">
      <c r="A17" s="103">
        <v>2014</v>
      </c>
      <c r="B17" s="62">
        <f>Commercial8Fuel!F13*Commercial8EndUse!J32</f>
        <v>15394.05</v>
      </c>
      <c r="C17" s="103">
        <f>'Future Type Share'!AB15*0.5*'Future EndUse Share'!AM128</f>
        <v>0</v>
      </c>
      <c r="D17" s="103">
        <f>'Future Type Share'!Z15*'Future EndUse Share'!AM128</f>
        <v>0</v>
      </c>
      <c r="E17" s="103">
        <f t="shared" si="8"/>
        <v>0</v>
      </c>
      <c r="F17" s="103">
        <v>0</v>
      </c>
      <c r="G17" s="103">
        <v>0</v>
      </c>
      <c r="I17" s="68"/>
      <c r="K17" s="103">
        <v>2014</v>
      </c>
      <c r="L17" s="62">
        <f>'Future Type Share'!AD15*'Future EndUse Share'!$M128</f>
        <v>31814.37</v>
      </c>
      <c r="M17" s="62">
        <f>Commercial8Fuel!D13*0.5*Residential8EndUse!S52</f>
        <v>0</v>
      </c>
      <c r="N17" s="62">
        <f>Commercial8Fuel!B13*Commercial8EndUse!S53</f>
        <v>0</v>
      </c>
      <c r="O17" s="62">
        <f t="shared" si="9"/>
        <v>0</v>
      </c>
      <c r="P17" s="103">
        <v>0</v>
      </c>
      <c r="Q17" s="103">
        <v>0</v>
      </c>
      <c r="S17" s="68"/>
      <c r="U17" s="103">
        <v>2014</v>
      </c>
      <c r="V17" s="103">
        <v>0</v>
      </c>
      <c r="W17" s="103">
        <v>0</v>
      </c>
      <c r="X17" s="103">
        <v>0</v>
      </c>
      <c r="Y17" s="103">
        <v>0</v>
      </c>
      <c r="Z17" s="103">
        <v>0</v>
      </c>
      <c r="AA17" s="103">
        <v>0</v>
      </c>
      <c r="AC17" s="68"/>
      <c r="AE17" s="103">
        <v>2014</v>
      </c>
      <c r="AF17" s="62">
        <f>'Future Type Share'!AD15*('Future EndUse Share'!$N128+'Future EndUse Share'!$P128+'Future EndUse Share'!$Q128)</f>
        <v>22577.940000000002</v>
      </c>
      <c r="AG17" s="62">
        <f>'Future Type Share'!AB15*0.5*('Future EndUse Share'!AL128+'Future EndUse Share'!AN128+'Future EndUse Share'!AO128)</f>
        <v>2578</v>
      </c>
      <c r="AH17" s="62">
        <f>'Future Type Share'!Z15*('Future EndUse Share'!$AL128+'Future EndUse Share'!$AN128+'Future EndUse Share'!$AO128)</f>
        <v>14928</v>
      </c>
      <c r="AI17" s="62">
        <f t="shared" si="10"/>
        <v>2578</v>
      </c>
      <c r="AJ17" s="103">
        <v>0</v>
      </c>
      <c r="AK17" s="103">
        <v>0</v>
      </c>
      <c r="AM17" s="68"/>
      <c r="AO17" s="103">
        <v>2014</v>
      </c>
      <c r="AP17" s="62">
        <f>Commercial8Fuel!F13*(Commercial8EndUse!M32)</f>
        <v>32840.639999999999</v>
      </c>
      <c r="AQ17" s="62">
        <f>'Future Type Share'!AB15*0.5*('Future EndUse Share'!AP128)</f>
        <v>0</v>
      </c>
      <c r="AR17" s="62">
        <f>'Future Type Share'!Z15*('Future EndUse Share'!AP128)</f>
        <v>0</v>
      </c>
      <c r="AS17" s="62">
        <f t="shared" si="11"/>
        <v>0</v>
      </c>
      <c r="AT17" s="103">
        <v>0</v>
      </c>
      <c r="AU17" s="103">
        <v>0</v>
      </c>
    </row>
    <row r="18" spans="1:47">
      <c r="A18" s="103">
        <v>2015</v>
      </c>
      <c r="B18" s="62">
        <f>Commercial8Fuel!F14*Commercial8EndUse!J33</f>
        <v>15553.949999999999</v>
      </c>
      <c r="C18" s="103">
        <f>'Future Type Share'!AB16*0.5*'Future EndUse Share'!AM129</f>
        <v>0</v>
      </c>
      <c r="D18" s="103">
        <f>'Future Type Share'!Z16*'Future EndUse Share'!AM129</f>
        <v>0</v>
      </c>
      <c r="E18" s="103">
        <f t="shared" si="8"/>
        <v>0</v>
      </c>
      <c r="F18" s="103">
        <v>0</v>
      </c>
      <c r="G18" s="103">
        <v>0</v>
      </c>
      <c r="I18" s="68"/>
      <c r="K18" s="103">
        <v>2015</v>
      </c>
      <c r="L18" s="62">
        <f>'Future Type Share'!AD16*'Future EndUse Share'!$M129</f>
        <v>30070.969999999998</v>
      </c>
      <c r="M18" s="62">
        <f>Commercial8Fuel!D14*0.5*Residential8EndUse!S53</f>
        <v>0</v>
      </c>
      <c r="N18" s="62">
        <f>Commercial8Fuel!B14*Commercial8EndUse!S54</f>
        <v>0</v>
      </c>
      <c r="O18" s="62">
        <f t="shared" si="9"/>
        <v>0</v>
      </c>
      <c r="P18" s="103">
        <v>0</v>
      </c>
      <c r="Q18" s="103">
        <v>0</v>
      </c>
      <c r="S18" s="68"/>
      <c r="U18" s="103">
        <v>2015</v>
      </c>
      <c r="V18" s="103">
        <v>0</v>
      </c>
      <c r="W18" s="103">
        <v>0</v>
      </c>
      <c r="X18" s="103">
        <v>0</v>
      </c>
      <c r="Y18" s="103">
        <v>0</v>
      </c>
      <c r="Z18" s="103">
        <v>0</v>
      </c>
      <c r="AA18" s="103">
        <v>0</v>
      </c>
      <c r="AC18" s="68"/>
      <c r="AE18" s="103">
        <v>2015</v>
      </c>
      <c r="AF18" s="62">
        <f>'Future Type Share'!AD16*('Future EndUse Share'!$N129+'Future EndUse Share'!$P129+'Future EndUse Share'!$Q129)</f>
        <v>21775.530000000002</v>
      </c>
      <c r="AG18" s="62">
        <f>'Future Type Share'!AB16*0.5*('Future EndUse Share'!AL129+'Future EndUse Share'!AN129+'Future EndUse Share'!AO129)</f>
        <v>2593</v>
      </c>
      <c r="AH18" s="62">
        <f>'Future Type Share'!Z16*('Future EndUse Share'!$AL129+'Future EndUse Share'!$AN129+'Future EndUse Share'!$AO129)</f>
        <v>14795</v>
      </c>
      <c r="AI18" s="62">
        <f t="shared" si="10"/>
        <v>2593</v>
      </c>
      <c r="AJ18" s="103">
        <v>0</v>
      </c>
      <c r="AK18" s="103">
        <v>0</v>
      </c>
      <c r="AM18" s="68"/>
      <c r="AO18" s="103">
        <v>2015</v>
      </c>
      <c r="AP18" s="62">
        <f>Commercial8Fuel!F14*(Commercial8EndUse!M33)</f>
        <v>36292.549999999996</v>
      </c>
      <c r="AQ18" s="62">
        <f>'Future Type Share'!AB16*0.5*('Future EndUse Share'!AP129)</f>
        <v>0</v>
      </c>
      <c r="AR18" s="62">
        <f>'Future Type Share'!Z16*('Future EndUse Share'!AP129)</f>
        <v>0</v>
      </c>
      <c r="AS18" s="62">
        <f t="shared" si="11"/>
        <v>0</v>
      </c>
      <c r="AT18" s="103">
        <v>0</v>
      </c>
      <c r="AU18" s="103">
        <v>0</v>
      </c>
    </row>
    <row r="19" spans="1:47">
      <c r="A19" s="103">
        <v>2016</v>
      </c>
      <c r="B19" s="62">
        <f>Commercial8Fuel!F15*Commercial8EndUse!J34</f>
        <v>15582.15</v>
      </c>
      <c r="C19" s="103">
        <f>'Future Type Share'!AB17*0.5*'Future EndUse Share'!AM130</f>
        <v>0</v>
      </c>
      <c r="D19" s="103">
        <f>'Future Type Share'!Z17*'Future EndUse Share'!AM130</f>
        <v>0</v>
      </c>
      <c r="E19" s="103">
        <f t="shared" si="8"/>
        <v>0</v>
      </c>
      <c r="F19" s="103">
        <v>0</v>
      </c>
      <c r="G19" s="103">
        <v>0</v>
      </c>
      <c r="I19" s="68"/>
      <c r="K19" s="103">
        <v>2016</v>
      </c>
      <c r="L19" s="62">
        <f>'Future Type Share'!AD17*'Future EndUse Share'!$M130</f>
        <v>30125.489999999998</v>
      </c>
      <c r="M19" s="62">
        <f>Commercial8Fuel!D15*0.5*Residential8EndUse!S54</f>
        <v>0</v>
      </c>
      <c r="N19" s="62">
        <f>Commercial8Fuel!B15*Commercial8EndUse!S55</f>
        <v>0</v>
      </c>
      <c r="O19" s="62">
        <f t="shared" si="9"/>
        <v>0</v>
      </c>
      <c r="P19" s="103">
        <v>0</v>
      </c>
      <c r="Q19" s="103">
        <v>0</v>
      </c>
      <c r="S19" s="68"/>
      <c r="U19" s="103">
        <v>2016</v>
      </c>
      <c r="V19" s="103">
        <v>0</v>
      </c>
      <c r="W19" s="103">
        <v>0</v>
      </c>
      <c r="X19" s="103">
        <v>0</v>
      </c>
      <c r="Y19" s="103">
        <v>0</v>
      </c>
      <c r="Z19" s="103">
        <v>0</v>
      </c>
      <c r="AA19" s="103">
        <v>0</v>
      </c>
      <c r="AC19" s="68"/>
      <c r="AE19" s="103">
        <v>2016</v>
      </c>
      <c r="AF19" s="62">
        <f>'Future Type Share'!AD17*('Future EndUse Share'!$N130+'Future EndUse Share'!$P130+'Future EndUse Share'!$Q130)</f>
        <v>21815.010000000002</v>
      </c>
      <c r="AG19" s="62">
        <f>'Future Type Share'!AB17*0.5*('Future EndUse Share'!AL130+'Future EndUse Share'!AN130+'Future EndUse Share'!AO130)</f>
        <v>2582</v>
      </c>
      <c r="AH19" s="62">
        <f>'Future Type Share'!Z17*('Future EndUse Share'!$AL130+'Future EndUse Share'!$AN130+'Future EndUse Share'!$AO130)</f>
        <v>14924</v>
      </c>
      <c r="AI19" s="62">
        <f t="shared" si="10"/>
        <v>2582</v>
      </c>
      <c r="AJ19" s="103">
        <v>0</v>
      </c>
      <c r="AK19" s="103">
        <v>0</v>
      </c>
      <c r="AM19" s="68"/>
      <c r="AO19" s="103">
        <v>2016</v>
      </c>
      <c r="AP19" s="62">
        <f>Commercial8Fuel!F15*(Commercial8EndUse!M34)</f>
        <v>36358.35</v>
      </c>
      <c r="AQ19" s="62">
        <f>'Future Type Share'!AB17*0.5*('Future EndUse Share'!AP130)</f>
        <v>0</v>
      </c>
      <c r="AR19" s="62">
        <f>'Future Type Share'!Z17*('Future EndUse Share'!AP130)</f>
        <v>0</v>
      </c>
      <c r="AS19" s="62">
        <f t="shared" si="11"/>
        <v>0</v>
      </c>
      <c r="AT19" s="103">
        <v>0</v>
      </c>
      <c r="AU19" s="103">
        <v>0</v>
      </c>
    </row>
    <row r="20" spans="1:47">
      <c r="A20" s="103">
        <v>2017</v>
      </c>
      <c r="B20" s="62">
        <f>'Future Type Share'!AD18*'Future EndUse Share'!O131</f>
        <v>15625.748506238702</v>
      </c>
      <c r="C20" s="103">
        <f>'Future Type Share'!AB18*0.5*'Future EndUse Share'!AM131</f>
        <v>0</v>
      </c>
      <c r="D20" s="103">
        <f>'Future Type Share'!Z18*'Future EndUse Share'!AM131</f>
        <v>0</v>
      </c>
      <c r="E20" s="103">
        <f t="shared" si="8"/>
        <v>0</v>
      </c>
      <c r="F20" s="103">
        <v>0</v>
      </c>
      <c r="G20" s="103">
        <v>0</v>
      </c>
      <c r="I20" s="68"/>
      <c r="K20" s="103">
        <v>2017</v>
      </c>
      <c r="L20" s="62">
        <f>'Future Type Share'!AD18*'Future EndUse Share'!$M131</f>
        <v>32614.817351947742</v>
      </c>
      <c r="M20" s="103">
        <f>'Future Type Share'!AB18*0.5*'Future EndUse Share'!$AK$131</f>
        <v>0</v>
      </c>
      <c r="N20" s="103">
        <f>'Future Type Share'!Z18*'Future EndUse Share'!$AK$131</f>
        <v>0</v>
      </c>
      <c r="O20" s="62">
        <f t="shared" si="9"/>
        <v>0</v>
      </c>
      <c r="P20" s="103">
        <f>P19</f>
        <v>0</v>
      </c>
      <c r="Q20" s="103">
        <f>P20</f>
        <v>0</v>
      </c>
      <c r="S20" s="68"/>
      <c r="U20" s="103">
        <v>2017</v>
      </c>
      <c r="V20" s="103">
        <f t="shared" ref="V20:AA20" si="12">V19</f>
        <v>0</v>
      </c>
      <c r="W20" s="103">
        <f t="shared" si="12"/>
        <v>0</v>
      </c>
      <c r="X20" s="103">
        <f t="shared" si="12"/>
        <v>0</v>
      </c>
      <c r="Y20" s="103">
        <f t="shared" si="12"/>
        <v>0</v>
      </c>
      <c r="Z20" s="103">
        <f t="shared" si="12"/>
        <v>0</v>
      </c>
      <c r="AA20" s="103">
        <f t="shared" si="12"/>
        <v>0</v>
      </c>
      <c r="AC20" s="68"/>
      <c r="AE20" s="103">
        <v>2017</v>
      </c>
      <c r="AF20" s="62">
        <f>'Future Type Share'!AD18*('Future EndUse Share'!$N131+'Future EndUse Share'!$P131+'Future EndUse Share'!$Q131)</f>
        <v>23071.574975654392</v>
      </c>
      <c r="AG20" s="62">
        <f>'Future Type Share'!AB18*0.5*('Future EndUse Share'!AL131+'Future EndUse Share'!AN131+'Future EndUse Share'!AO131)</f>
        <v>2296.0279826152314</v>
      </c>
      <c r="AH20" s="62">
        <f>'Future Type Share'!Z18*('Future EndUse Share'!$AL131+'Future EndUse Share'!$AN131+'Future EndUse Share'!$AO131)</f>
        <v>14952.458093681416</v>
      </c>
      <c r="AI20" s="62">
        <f t="shared" si="10"/>
        <v>2296.0279826152314</v>
      </c>
      <c r="AJ20" s="103">
        <f>AJ19</f>
        <v>0</v>
      </c>
      <c r="AK20" s="103">
        <f>AK19</f>
        <v>0</v>
      </c>
      <c r="AM20" s="68"/>
      <c r="AO20" s="103">
        <v>2017</v>
      </c>
      <c r="AP20" s="62">
        <f>'Future Type Share'!AD18*('Future EndUse Share'!R131)</f>
        <v>33558.654510042747</v>
      </c>
      <c r="AQ20" s="62">
        <f>'Future Type Share'!AB18*0.5*('Future EndUse Share'!AP131)</f>
        <v>0</v>
      </c>
      <c r="AR20" s="62">
        <f>'Future Type Share'!Z18*('Future EndUse Share'!AP131)</f>
        <v>0</v>
      </c>
      <c r="AS20" s="62">
        <f t="shared" si="11"/>
        <v>0</v>
      </c>
      <c r="AT20" s="103">
        <f>AT19</f>
        <v>0</v>
      </c>
      <c r="AU20" s="103">
        <f>AU19</f>
        <v>0</v>
      </c>
    </row>
    <row r="21" spans="1:47">
      <c r="A21" s="103">
        <v>2018</v>
      </c>
      <c r="B21" s="62">
        <f>'Future Type Share'!AD19*'Future EndUse Share'!O132</f>
        <v>15588.31474661525</v>
      </c>
      <c r="C21" s="103">
        <f>'Future Type Share'!AB19*0.5*'Future EndUse Share'!AM132</f>
        <v>0</v>
      </c>
      <c r="D21" s="103">
        <f>'Future Type Share'!Z19*'Future EndUse Share'!AM132</f>
        <v>0</v>
      </c>
      <c r="E21" s="103">
        <f t="shared" si="8"/>
        <v>0</v>
      </c>
      <c r="F21" s="103">
        <v>0</v>
      </c>
      <c r="G21" s="103">
        <v>0</v>
      </c>
      <c r="I21" s="68"/>
      <c r="K21" s="103">
        <v>2018</v>
      </c>
      <c r="L21" s="62">
        <f>'Future Type Share'!AD19*'Future EndUse Share'!$M132</f>
        <v>32861.852709080747</v>
      </c>
      <c r="M21" s="103">
        <f>'Future Type Share'!AB19*0.5*'Future EndUse Share'!$AK$131</f>
        <v>0</v>
      </c>
      <c r="N21" s="103">
        <f>'Future Type Share'!Z19*'Future EndUse Share'!$AK$131</f>
        <v>0</v>
      </c>
      <c r="O21" s="62">
        <f t="shared" ref="O21:O53" si="13">M21</f>
        <v>0</v>
      </c>
      <c r="P21" s="103">
        <f t="shared" ref="P21:P53" si="14">P20</f>
        <v>0</v>
      </c>
      <c r="Q21" s="103">
        <f t="shared" ref="Q21:Q53" si="15">P21</f>
        <v>0</v>
      </c>
      <c r="S21" s="68"/>
      <c r="U21" s="103">
        <v>2018</v>
      </c>
      <c r="V21" s="103">
        <f t="shared" ref="V21:V53" si="16">V20</f>
        <v>0</v>
      </c>
      <c r="W21" s="103">
        <f t="shared" ref="W21:W53" si="17">W20</f>
        <v>0</v>
      </c>
      <c r="X21" s="103">
        <f t="shared" ref="X21:X53" si="18">X20</f>
        <v>0</v>
      </c>
      <c r="Y21" s="103">
        <f t="shared" ref="Y21:Y53" si="19">Y20</f>
        <v>0</v>
      </c>
      <c r="Z21" s="103">
        <f t="shared" ref="Z21:Z53" si="20">Z20</f>
        <v>0</v>
      </c>
      <c r="AA21" s="103">
        <f t="shared" ref="AA21:AA53" si="21">AA20</f>
        <v>0</v>
      </c>
      <c r="AC21" s="68"/>
      <c r="AE21" s="103">
        <v>2018</v>
      </c>
      <c r="AF21" s="62">
        <f>'Future Type Share'!AD19*('Future EndUse Share'!$N132+'Future EndUse Share'!$P132+'Future EndUse Share'!$Q132)</f>
        <v>23171.819217941571</v>
      </c>
      <c r="AG21" s="62">
        <f>'Future Type Share'!AB19*0.5*('Future EndUse Share'!AL132+'Future EndUse Share'!AN132+'Future EndUse Share'!AO132)</f>
        <v>2253.1846666281549</v>
      </c>
      <c r="AH21" s="62">
        <f>'Future Type Share'!Z19*('Future EndUse Share'!$AL132+'Future EndUse Share'!$AN132+'Future EndUse Share'!$AO132)</f>
        <v>15028.79848169113</v>
      </c>
      <c r="AI21" s="62">
        <f t="shared" ref="AI21:AI53" si="22">AG21</f>
        <v>2253.1846666281549</v>
      </c>
      <c r="AJ21" s="103">
        <f t="shared" ref="AJ21:AJ53" si="23">AJ20</f>
        <v>0</v>
      </c>
      <c r="AK21" s="103">
        <f t="shared" ref="AK21:AK53" si="24">AK20</f>
        <v>0</v>
      </c>
      <c r="AM21" s="68"/>
      <c r="AO21" s="103">
        <v>2018</v>
      </c>
      <c r="AP21" s="62">
        <f>'Future Type Share'!AD19*('Future EndUse Share'!R132)</f>
        <v>33704.464317005913</v>
      </c>
      <c r="AQ21" s="62">
        <f>'Future Type Share'!AB19*0.5*('Future EndUse Share'!AP132)</f>
        <v>0</v>
      </c>
      <c r="AR21" s="62">
        <f>'Future Type Share'!Z19*('Future EndUse Share'!AP132)</f>
        <v>0</v>
      </c>
      <c r="AS21" s="62">
        <f t="shared" ref="AS21:AS53" si="25">AQ21</f>
        <v>0</v>
      </c>
      <c r="AT21" s="103">
        <f t="shared" ref="AT21:AT53" si="26">AT20</f>
        <v>0</v>
      </c>
      <c r="AU21" s="103">
        <f t="shared" ref="AU21:AU53" si="27">AU20</f>
        <v>0</v>
      </c>
    </row>
    <row r="22" spans="1:47">
      <c r="A22" s="103">
        <v>2019</v>
      </c>
      <c r="B22" s="62">
        <f>'Future Type Share'!AD20*'Future EndUse Share'!O133</f>
        <v>15550.053176130206</v>
      </c>
      <c r="C22" s="103">
        <f>'Future Type Share'!AB20*0.5*'Future EndUse Share'!AM133</f>
        <v>0</v>
      </c>
      <c r="D22" s="103">
        <f>'Future Type Share'!Z20*'Future EndUse Share'!AM133</f>
        <v>0</v>
      </c>
      <c r="E22" s="103">
        <f t="shared" ref="E22:E53" si="28">C22</f>
        <v>0</v>
      </c>
      <c r="F22" s="103">
        <v>0</v>
      </c>
      <c r="G22" s="103">
        <v>0</v>
      </c>
      <c r="I22" s="68"/>
      <c r="K22" s="103">
        <v>2019</v>
      </c>
      <c r="L22" s="62">
        <f>'Future Type Share'!AD20*'Future EndUse Share'!$M133</f>
        <v>33109.977170943821</v>
      </c>
      <c r="M22" s="103">
        <f>'Future Type Share'!AB20*0.5*'Future EndUse Share'!$AK$131</f>
        <v>0</v>
      </c>
      <c r="N22" s="103">
        <f>'Future Type Share'!Z20*'Future EndUse Share'!$AK$131</f>
        <v>0</v>
      </c>
      <c r="O22" s="62">
        <f t="shared" si="13"/>
        <v>0</v>
      </c>
      <c r="P22" s="103">
        <f t="shared" si="14"/>
        <v>0</v>
      </c>
      <c r="Q22" s="103">
        <f t="shared" si="15"/>
        <v>0</v>
      </c>
      <c r="S22" s="68"/>
      <c r="U22" s="103">
        <v>2019</v>
      </c>
      <c r="V22" s="103">
        <f t="shared" si="16"/>
        <v>0</v>
      </c>
      <c r="W22" s="103">
        <f t="shared" si="17"/>
        <v>0</v>
      </c>
      <c r="X22" s="103">
        <f t="shared" si="18"/>
        <v>0</v>
      </c>
      <c r="Y22" s="103">
        <f t="shared" si="19"/>
        <v>0</v>
      </c>
      <c r="Z22" s="103">
        <f t="shared" si="20"/>
        <v>0</v>
      </c>
      <c r="AA22" s="103">
        <f t="shared" si="21"/>
        <v>0</v>
      </c>
      <c r="AC22" s="68"/>
      <c r="AE22" s="103">
        <v>2019</v>
      </c>
      <c r="AF22" s="62">
        <f>'Future Type Share'!AD20*('Future EndUse Share'!$N133+'Future EndUse Share'!$P133+'Future EndUse Share'!$Q133)</f>
        <v>23272.188426861496</v>
      </c>
      <c r="AG22" s="62">
        <f>'Future Type Share'!AB20*0.5*('Future EndUse Share'!AL133+'Future EndUse Share'!AN133+'Future EndUse Share'!AO133)</f>
        <v>2209.9761884024529</v>
      </c>
      <c r="AH22" s="62">
        <f>'Future Type Share'!Z20*('Future EndUse Share'!$AL133+'Future EndUse Share'!$AN133+'Future EndUse Share'!$AO133)</f>
        <v>15105.301164029108</v>
      </c>
      <c r="AI22" s="62">
        <f t="shared" si="22"/>
        <v>2209.9761884024529</v>
      </c>
      <c r="AJ22" s="103">
        <f t="shared" si="23"/>
        <v>0</v>
      </c>
      <c r="AK22" s="103">
        <f t="shared" si="24"/>
        <v>0</v>
      </c>
      <c r="AM22" s="68"/>
      <c r="AO22" s="103">
        <v>2019</v>
      </c>
      <c r="AP22" s="62">
        <f>'Future Type Share'!AD20*('Future EndUse Share'!R133)</f>
        <v>33850.455893616716</v>
      </c>
      <c r="AQ22" s="62">
        <f>'Future Type Share'!AB20*0.5*('Future EndUse Share'!AP133)</f>
        <v>0</v>
      </c>
      <c r="AR22" s="62">
        <f>'Future Type Share'!Z20*('Future EndUse Share'!AP133)</f>
        <v>0</v>
      </c>
      <c r="AS22" s="62">
        <f t="shared" si="25"/>
        <v>0</v>
      </c>
      <c r="AT22" s="103">
        <f t="shared" si="26"/>
        <v>0</v>
      </c>
      <c r="AU22" s="103">
        <f t="shared" si="27"/>
        <v>0</v>
      </c>
    </row>
    <row r="23" spans="1:47">
      <c r="A23" s="103">
        <v>2020</v>
      </c>
      <c r="B23" s="62">
        <f>'Future Type Share'!AD21*'Future EndUse Share'!O134</f>
        <v>15510.962090693123</v>
      </c>
      <c r="C23" s="103">
        <f>'Future Type Share'!AB21*0.5*'Future EndUse Share'!AM134</f>
        <v>0</v>
      </c>
      <c r="D23" s="103">
        <f>'Future Type Share'!Z21*'Future EndUse Share'!AM134</f>
        <v>0</v>
      </c>
      <c r="E23" s="103">
        <f t="shared" si="28"/>
        <v>0</v>
      </c>
      <c r="F23" s="103">
        <v>0</v>
      </c>
      <c r="G23" s="103">
        <v>0</v>
      </c>
      <c r="I23" s="68"/>
      <c r="K23" s="103">
        <v>2020</v>
      </c>
      <c r="L23" s="62">
        <f>'Future Type Share'!AD21*'Future EndUse Share'!$M134</f>
        <v>33359.192441627551</v>
      </c>
      <c r="M23" s="103">
        <f>'Future Type Share'!AB21*0.5*'Future EndUse Share'!$AK$131</f>
        <v>0</v>
      </c>
      <c r="N23" s="103">
        <f>'Future Type Share'!Z21*'Future EndUse Share'!$AK$131</f>
        <v>0</v>
      </c>
      <c r="O23" s="62">
        <f t="shared" si="13"/>
        <v>0</v>
      </c>
      <c r="P23" s="103">
        <f t="shared" si="14"/>
        <v>0</v>
      </c>
      <c r="Q23" s="103">
        <f t="shared" si="15"/>
        <v>0</v>
      </c>
      <c r="S23" s="68"/>
      <c r="U23" s="103">
        <v>2020</v>
      </c>
      <c r="V23" s="103">
        <f t="shared" si="16"/>
        <v>0</v>
      </c>
      <c r="W23" s="103">
        <f t="shared" si="17"/>
        <v>0</v>
      </c>
      <c r="X23" s="103">
        <f t="shared" si="18"/>
        <v>0</v>
      </c>
      <c r="Y23" s="103">
        <f t="shared" si="19"/>
        <v>0</v>
      </c>
      <c r="Z23" s="103">
        <f t="shared" si="20"/>
        <v>0</v>
      </c>
      <c r="AA23" s="103">
        <f t="shared" si="21"/>
        <v>0</v>
      </c>
      <c r="AC23" s="68"/>
      <c r="AE23" s="103">
        <v>2020</v>
      </c>
      <c r="AF23" s="62">
        <f>'Future Type Share'!AD21*('Future EndUse Share'!$N134+'Future EndUse Share'!$P134+'Future EndUse Share'!$Q134)</f>
        <v>23372.682602414239</v>
      </c>
      <c r="AG23" s="62">
        <f>'Future Type Share'!AB21*0.5*('Future EndUse Share'!AL134+'Future EndUse Share'!AN134+'Future EndUse Share'!AO134)</f>
        <v>2166.4025479380753</v>
      </c>
      <c r="AH23" s="62">
        <f>'Future Type Share'!Z21*('Future EndUse Share'!$AL134+'Future EndUse Share'!$AN134+'Future EndUse Share'!$AO134)</f>
        <v>15181.966140695395</v>
      </c>
      <c r="AI23" s="62">
        <f t="shared" si="22"/>
        <v>2166.4025479380753</v>
      </c>
      <c r="AJ23" s="103">
        <f t="shared" si="23"/>
        <v>0</v>
      </c>
      <c r="AK23" s="103">
        <f t="shared" si="24"/>
        <v>0</v>
      </c>
      <c r="AM23" s="68"/>
      <c r="AO23" s="103">
        <v>2020</v>
      </c>
      <c r="AP23" s="62">
        <f>'Future Type Share'!AD21*('Future EndUse Share'!R134)</f>
        <v>33996.629239875256</v>
      </c>
      <c r="AQ23" s="62">
        <f>'Future Type Share'!AB21*0.5*('Future EndUse Share'!AP134)</f>
        <v>0</v>
      </c>
      <c r="AR23" s="62">
        <f>'Future Type Share'!Z21*('Future EndUse Share'!AP134)</f>
        <v>0</v>
      </c>
      <c r="AS23" s="62">
        <f t="shared" si="25"/>
        <v>0</v>
      </c>
      <c r="AT23" s="103">
        <f t="shared" si="26"/>
        <v>0</v>
      </c>
      <c r="AU23" s="103">
        <f t="shared" si="27"/>
        <v>0</v>
      </c>
    </row>
    <row r="24" spans="1:47">
      <c r="A24" s="103">
        <v>2021</v>
      </c>
      <c r="B24" s="62">
        <f>'Future Type Share'!AD22*'Future EndUse Share'!O135</f>
        <v>15535.408580830594</v>
      </c>
      <c r="C24" s="103">
        <f>'Future Type Share'!AB22*0.5*'Future EndUse Share'!AM135</f>
        <v>0</v>
      </c>
      <c r="D24" s="103">
        <f>'Future Type Share'!Z22*'Future EndUse Share'!AM135</f>
        <v>0</v>
      </c>
      <c r="E24" s="103">
        <f t="shared" si="28"/>
        <v>0</v>
      </c>
      <c r="F24" s="103">
        <v>0</v>
      </c>
      <c r="G24" s="103">
        <v>0</v>
      </c>
      <c r="I24" s="68"/>
      <c r="K24" s="103">
        <v>2021</v>
      </c>
      <c r="L24" s="62">
        <f>'Future Type Share'!AD22*'Future EndUse Share'!$M135</f>
        <v>33749.335882493884</v>
      </c>
      <c r="M24" s="103">
        <f>'Future Type Share'!AB22*0.5*'Future EndUse Share'!$AK$131</f>
        <v>0</v>
      </c>
      <c r="N24" s="103">
        <f>'Future Type Share'!Z22*'Future EndUse Share'!$AK$131</f>
        <v>0</v>
      </c>
      <c r="O24" s="62">
        <f t="shared" si="13"/>
        <v>0</v>
      </c>
      <c r="P24" s="103">
        <f t="shared" si="14"/>
        <v>0</v>
      </c>
      <c r="Q24" s="103">
        <f t="shared" si="15"/>
        <v>0</v>
      </c>
      <c r="S24" s="68"/>
      <c r="U24" s="103">
        <v>2021</v>
      </c>
      <c r="V24" s="103">
        <f t="shared" si="16"/>
        <v>0</v>
      </c>
      <c r="W24" s="103">
        <f t="shared" si="17"/>
        <v>0</v>
      </c>
      <c r="X24" s="103">
        <f t="shared" si="18"/>
        <v>0</v>
      </c>
      <c r="Y24" s="103">
        <f t="shared" si="19"/>
        <v>0</v>
      </c>
      <c r="Z24" s="103">
        <f t="shared" si="20"/>
        <v>0</v>
      </c>
      <c r="AA24" s="103">
        <f t="shared" si="21"/>
        <v>0</v>
      </c>
      <c r="AC24" s="68"/>
      <c r="AE24" s="103">
        <v>2021</v>
      </c>
      <c r="AF24" s="62">
        <f>'Future Type Share'!AD22*('Future EndUse Share'!$N135+'Future EndUse Share'!$P135+'Future EndUse Share'!$Q135)</f>
        <v>23570.964743329103</v>
      </c>
      <c r="AG24" s="62">
        <f>'Future Type Share'!AB22*0.5*('Future EndUse Share'!AL135+'Future EndUse Share'!AN135+'Future EndUse Share'!AO135)</f>
        <v>2131.2944660390472</v>
      </c>
      <c r="AH24" s="62">
        <f>'Future Type Share'!Z22*('Future EndUse Share'!$AL135+'Future EndUse Share'!$AN135+'Future EndUse Share'!$AO135)</f>
        <v>15322.279134226639</v>
      </c>
      <c r="AI24" s="62">
        <f t="shared" si="22"/>
        <v>2131.2944660390472</v>
      </c>
      <c r="AJ24" s="103">
        <f t="shared" si="23"/>
        <v>0</v>
      </c>
      <c r="AK24" s="103">
        <f t="shared" si="24"/>
        <v>0</v>
      </c>
      <c r="AM24" s="68"/>
      <c r="AO24" s="103">
        <v>2021</v>
      </c>
      <c r="AP24" s="62">
        <f>'Future Type Share'!AD22*('Future EndUse Share'!R135)</f>
        <v>34285.039626660509</v>
      </c>
      <c r="AQ24" s="62">
        <f>'Future Type Share'!AB22*0.5*('Future EndUse Share'!AP135)</f>
        <v>0</v>
      </c>
      <c r="AR24" s="62">
        <f>'Future Type Share'!Z22*('Future EndUse Share'!AP135)</f>
        <v>0</v>
      </c>
      <c r="AS24" s="62">
        <f t="shared" si="25"/>
        <v>0</v>
      </c>
      <c r="AT24" s="103">
        <f t="shared" si="26"/>
        <v>0</v>
      </c>
      <c r="AU24" s="103">
        <f t="shared" si="27"/>
        <v>0</v>
      </c>
    </row>
    <row r="25" spans="1:47">
      <c r="A25" s="103">
        <v>2022</v>
      </c>
      <c r="B25" s="62">
        <f>'Future Type Share'!AD23*'Future EndUse Share'!O136</f>
        <v>15558.23053338202</v>
      </c>
      <c r="C25" s="103">
        <f>'Future Type Share'!AB23*0.5*'Future EndUse Share'!AM136</f>
        <v>0</v>
      </c>
      <c r="D25" s="103">
        <f>'Future Type Share'!Z23*'Future EndUse Share'!AM136</f>
        <v>0</v>
      </c>
      <c r="E25" s="103">
        <f t="shared" si="28"/>
        <v>0</v>
      </c>
      <c r="F25" s="103">
        <v>0</v>
      </c>
      <c r="G25" s="103">
        <v>0</v>
      </c>
      <c r="I25" s="68"/>
      <c r="K25" s="103">
        <v>2022</v>
      </c>
      <c r="L25" s="62">
        <f>'Future Type Share'!AD23*'Future EndUse Share'!$M136</f>
        <v>34141.672559366052</v>
      </c>
      <c r="M25" s="103">
        <f>'Future Type Share'!AB23*0.5*'Future EndUse Share'!$AK$131</f>
        <v>0</v>
      </c>
      <c r="N25" s="103">
        <f>'Future Type Share'!Z23*'Future EndUse Share'!$AK$131</f>
        <v>0</v>
      </c>
      <c r="O25" s="62">
        <f t="shared" si="13"/>
        <v>0</v>
      </c>
      <c r="P25" s="103">
        <f t="shared" si="14"/>
        <v>0</v>
      </c>
      <c r="Q25" s="103">
        <f t="shared" si="15"/>
        <v>0</v>
      </c>
      <c r="S25" s="68"/>
      <c r="U25" s="103">
        <v>2022</v>
      </c>
      <c r="V25" s="103">
        <f t="shared" si="16"/>
        <v>0</v>
      </c>
      <c r="W25" s="103">
        <f t="shared" si="17"/>
        <v>0</v>
      </c>
      <c r="X25" s="103">
        <f t="shared" si="18"/>
        <v>0</v>
      </c>
      <c r="Y25" s="103">
        <f t="shared" si="19"/>
        <v>0</v>
      </c>
      <c r="Z25" s="103">
        <f t="shared" si="20"/>
        <v>0</v>
      </c>
      <c r="AA25" s="103">
        <f t="shared" si="21"/>
        <v>0</v>
      </c>
      <c r="AC25" s="68"/>
      <c r="AE25" s="103">
        <v>2022</v>
      </c>
      <c r="AF25" s="62">
        <f>'Future Type Share'!AD23*('Future EndUse Share'!$N136+'Future EndUse Share'!$P136+'Future EndUse Share'!$Q136)</f>
        <v>23769.518870444736</v>
      </c>
      <c r="AG25" s="62">
        <f>'Future Type Share'!AB23*0.5*('Future EndUse Share'!AL136+'Future EndUse Share'!AN136+'Future EndUse Share'!AO136)</f>
        <v>2095.3916192676479</v>
      </c>
      <c r="AH25" s="62">
        <f>'Future Type Share'!Z23*('Future EndUse Share'!$AL136+'Future EndUse Share'!$AN136+'Future EndUse Share'!$AO136)</f>
        <v>15462.945356590046</v>
      </c>
      <c r="AI25" s="62">
        <f t="shared" si="22"/>
        <v>2095.3916192676479</v>
      </c>
      <c r="AJ25" s="103">
        <f t="shared" si="23"/>
        <v>0</v>
      </c>
      <c r="AK25" s="103">
        <f t="shared" si="24"/>
        <v>0</v>
      </c>
      <c r="AM25" s="68"/>
      <c r="AO25" s="103">
        <v>2022</v>
      </c>
      <c r="AP25" s="62">
        <f>'Future Type Share'!AD23*('Future EndUse Share'!R136)</f>
        <v>34573.845629737792</v>
      </c>
      <c r="AQ25" s="62">
        <f>'Future Type Share'!AB23*0.5*('Future EndUse Share'!AP136)</f>
        <v>0</v>
      </c>
      <c r="AR25" s="62">
        <f>'Future Type Share'!Z23*('Future EndUse Share'!AP136)</f>
        <v>0</v>
      </c>
      <c r="AS25" s="62">
        <f t="shared" si="25"/>
        <v>0</v>
      </c>
      <c r="AT25" s="103">
        <f t="shared" si="26"/>
        <v>0</v>
      </c>
      <c r="AU25" s="103">
        <f t="shared" si="27"/>
        <v>0</v>
      </c>
    </row>
    <row r="26" spans="1:47">
      <c r="A26" s="103">
        <v>2023</v>
      </c>
      <c r="B26" s="62">
        <f>'Future Type Share'!AD24*'Future EndUse Share'!O137</f>
        <v>15579.424239444757</v>
      </c>
      <c r="C26" s="103">
        <f>'Future Type Share'!AB24*0.5*'Future EndUse Share'!AM137</f>
        <v>0</v>
      </c>
      <c r="D26" s="103">
        <f>'Future Type Share'!Z24*'Future EndUse Share'!AM137</f>
        <v>0</v>
      </c>
      <c r="E26" s="103">
        <f t="shared" si="28"/>
        <v>0</v>
      </c>
      <c r="F26" s="103">
        <v>0</v>
      </c>
      <c r="G26" s="103">
        <v>0</v>
      </c>
      <c r="I26" s="68"/>
      <c r="K26" s="103">
        <v>2023</v>
      </c>
      <c r="L26" s="62">
        <f>'Future Type Share'!AD24*'Future EndUse Share'!$M137</f>
        <v>34536.206181146685</v>
      </c>
      <c r="M26" s="103">
        <f>'Future Type Share'!AB24*0.5*'Future EndUse Share'!$AK$131</f>
        <v>0</v>
      </c>
      <c r="N26" s="103">
        <f>'Future Type Share'!Z24*'Future EndUse Share'!$AK$131</f>
        <v>0</v>
      </c>
      <c r="O26" s="62">
        <f t="shared" si="13"/>
        <v>0</v>
      </c>
      <c r="P26" s="103">
        <f t="shared" si="14"/>
        <v>0</v>
      </c>
      <c r="Q26" s="103">
        <f t="shared" si="15"/>
        <v>0</v>
      </c>
      <c r="S26" s="68"/>
      <c r="U26" s="103">
        <v>2023</v>
      </c>
      <c r="V26" s="103">
        <f t="shared" si="16"/>
        <v>0</v>
      </c>
      <c r="W26" s="103">
        <f t="shared" si="17"/>
        <v>0</v>
      </c>
      <c r="X26" s="103">
        <f t="shared" si="18"/>
        <v>0</v>
      </c>
      <c r="Y26" s="103">
        <f t="shared" si="19"/>
        <v>0</v>
      </c>
      <c r="Z26" s="103">
        <f t="shared" si="20"/>
        <v>0</v>
      </c>
      <c r="AA26" s="103">
        <f t="shared" si="21"/>
        <v>0</v>
      </c>
      <c r="AC26" s="68"/>
      <c r="AE26" s="103">
        <v>2023</v>
      </c>
      <c r="AF26" s="62">
        <f>'Future Type Share'!AD24*('Future EndUse Share'!$N137+'Future EndUse Share'!$P137+'Future EndUse Share'!$Q137)</f>
        <v>23968.34498376113</v>
      </c>
      <c r="AG26" s="62">
        <f>'Future Type Share'!AB24*0.5*('Future EndUse Share'!AL137+'Future EndUse Share'!AN137+'Future EndUse Share'!AO137)</f>
        <v>2058.6940076238834</v>
      </c>
      <c r="AH26" s="62">
        <f>'Future Type Share'!Z24*('Future EndUse Share'!$AL137+'Future EndUse Share'!$AN137+'Future EndUse Share'!$AO137)</f>
        <v>15603.964807785616</v>
      </c>
      <c r="AI26" s="62">
        <f t="shared" si="22"/>
        <v>2058.6940076238834</v>
      </c>
      <c r="AJ26" s="103">
        <f t="shared" si="23"/>
        <v>0</v>
      </c>
      <c r="AK26" s="103">
        <f t="shared" si="24"/>
        <v>0</v>
      </c>
      <c r="AM26" s="68"/>
      <c r="AO26" s="103">
        <v>2023</v>
      </c>
      <c r="AP26" s="62">
        <f>'Future Type Share'!AD24*('Future EndUse Share'!R137)</f>
        <v>34863.04724910709</v>
      </c>
      <c r="AQ26" s="62">
        <f>'Future Type Share'!AB24*0.5*('Future EndUse Share'!AP137)</f>
        <v>0</v>
      </c>
      <c r="AR26" s="62">
        <f>'Future Type Share'!Z24*('Future EndUse Share'!AP137)</f>
        <v>0</v>
      </c>
      <c r="AS26" s="62">
        <f t="shared" si="25"/>
        <v>0</v>
      </c>
      <c r="AT26" s="103">
        <f t="shared" si="26"/>
        <v>0</v>
      </c>
      <c r="AU26" s="103">
        <f t="shared" si="27"/>
        <v>0</v>
      </c>
    </row>
    <row r="27" spans="1:47">
      <c r="A27" s="103">
        <v>2024</v>
      </c>
      <c r="B27" s="62">
        <f>'Future Type Share'!AD25*'Future EndUse Share'!O138</f>
        <v>15598.985990116022</v>
      </c>
      <c r="C27" s="103">
        <f>'Future Type Share'!AB25*0.5*'Future EndUse Share'!AM138</f>
        <v>0</v>
      </c>
      <c r="D27" s="103">
        <f>'Future Type Share'!Z25*'Future EndUse Share'!AM138</f>
        <v>0</v>
      </c>
      <c r="E27" s="103">
        <f t="shared" si="28"/>
        <v>0</v>
      </c>
      <c r="F27" s="103">
        <v>0</v>
      </c>
      <c r="G27" s="103">
        <v>0</v>
      </c>
      <c r="I27" s="68"/>
      <c r="K27" s="103">
        <v>2024</v>
      </c>
      <c r="L27" s="62">
        <f>'Future Type Share'!AD25*'Future EndUse Share'!$M138</f>
        <v>34932.940456738565</v>
      </c>
      <c r="M27" s="103">
        <f>'Future Type Share'!AB25*0.5*'Future EndUse Share'!$AK$131</f>
        <v>0</v>
      </c>
      <c r="N27" s="103">
        <f>'Future Type Share'!Z25*'Future EndUse Share'!$AK$131</f>
        <v>0</v>
      </c>
      <c r="O27" s="62">
        <f t="shared" si="13"/>
        <v>0</v>
      </c>
      <c r="P27" s="103">
        <f t="shared" si="14"/>
        <v>0</v>
      </c>
      <c r="Q27" s="103">
        <f t="shared" si="15"/>
        <v>0</v>
      </c>
      <c r="S27" s="68"/>
      <c r="U27" s="103">
        <v>2024</v>
      </c>
      <c r="V27" s="103">
        <f t="shared" si="16"/>
        <v>0</v>
      </c>
      <c r="W27" s="103">
        <f t="shared" si="17"/>
        <v>0</v>
      </c>
      <c r="X27" s="103">
        <f t="shared" si="18"/>
        <v>0</v>
      </c>
      <c r="Y27" s="103">
        <f t="shared" si="19"/>
        <v>0</v>
      </c>
      <c r="Z27" s="103">
        <f t="shared" si="20"/>
        <v>0</v>
      </c>
      <c r="AA27" s="103">
        <f t="shared" si="21"/>
        <v>0</v>
      </c>
      <c r="AC27" s="68"/>
      <c r="AE27" s="103">
        <v>2024</v>
      </c>
      <c r="AF27" s="62">
        <f>'Future Type Share'!AD25*('Future EndUse Share'!$N138+'Future EndUse Share'!$P138+'Future EndUse Share'!$Q138)</f>
        <v>24167.443083278285</v>
      </c>
      <c r="AG27" s="62">
        <f>'Future Type Share'!AB25*0.5*('Future EndUse Share'!AL138+'Future EndUse Share'!AN138+'Future EndUse Share'!AO138)</f>
        <v>2021.2016311077764</v>
      </c>
      <c r="AH27" s="62">
        <f>'Future Type Share'!Z25*('Future EndUse Share'!$AL138+'Future EndUse Share'!$AN138+'Future EndUse Share'!$AO138)</f>
        <v>15745.337487813342</v>
      </c>
      <c r="AI27" s="62">
        <f t="shared" si="22"/>
        <v>2021.2016311077764</v>
      </c>
      <c r="AJ27" s="103">
        <f t="shared" si="23"/>
        <v>0</v>
      </c>
      <c r="AK27" s="103">
        <f t="shared" si="24"/>
        <v>0</v>
      </c>
      <c r="AM27" s="68"/>
      <c r="AO27" s="103">
        <v>2024</v>
      </c>
      <c r="AP27" s="62">
        <f>'Future Type Share'!AD25*('Future EndUse Share'!R138)</f>
        <v>35152.644484768411</v>
      </c>
      <c r="AQ27" s="62">
        <f>'Future Type Share'!AB25*0.5*('Future EndUse Share'!AP138)</f>
        <v>0</v>
      </c>
      <c r="AR27" s="62">
        <f>'Future Type Share'!Z25*('Future EndUse Share'!AP138)</f>
        <v>0</v>
      </c>
      <c r="AS27" s="62">
        <f t="shared" si="25"/>
        <v>0</v>
      </c>
      <c r="AT27" s="103">
        <f t="shared" si="26"/>
        <v>0</v>
      </c>
      <c r="AU27" s="103">
        <f t="shared" si="27"/>
        <v>0</v>
      </c>
    </row>
    <row r="28" spans="1:47">
      <c r="A28" s="103">
        <v>2025</v>
      </c>
      <c r="B28" s="62">
        <f>'Future Type Share'!AD26*'Future EndUse Share'!O139</f>
        <v>15616.912076493072</v>
      </c>
      <c r="C28" s="103">
        <f>'Future Type Share'!AB26*0.5*'Future EndUse Share'!AM139</f>
        <v>0</v>
      </c>
      <c r="D28" s="103">
        <f>'Future Type Share'!Z26*'Future EndUse Share'!AM139</f>
        <v>0</v>
      </c>
      <c r="E28" s="103">
        <f t="shared" si="28"/>
        <v>0</v>
      </c>
      <c r="F28" s="103">
        <v>0</v>
      </c>
      <c r="G28" s="103">
        <v>0</v>
      </c>
      <c r="I28" s="68"/>
      <c r="K28" s="103">
        <v>2025</v>
      </c>
      <c r="L28" s="62">
        <f>'Future Type Share'!AD26*'Future EndUse Share'!$M139</f>
        <v>35331.879095044438</v>
      </c>
      <c r="M28" s="103">
        <f>'Future Type Share'!AB26*0.5*'Future EndUse Share'!$AK$131</f>
        <v>0</v>
      </c>
      <c r="N28" s="103">
        <f>'Future Type Share'!Z26*'Future EndUse Share'!$AK$131</f>
        <v>0</v>
      </c>
      <c r="O28" s="62">
        <f t="shared" si="13"/>
        <v>0</v>
      </c>
      <c r="P28" s="103">
        <f t="shared" si="14"/>
        <v>0</v>
      </c>
      <c r="Q28" s="103">
        <f t="shared" si="15"/>
        <v>0</v>
      </c>
      <c r="S28" s="68"/>
      <c r="U28" s="103">
        <v>2025</v>
      </c>
      <c r="V28" s="103">
        <f t="shared" si="16"/>
        <v>0</v>
      </c>
      <c r="W28" s="103">
        <f t="shared" si="17"/>
        <v>0</v>
      </c>
      <c r="X28" s="103">
        <f t="shared" si="18"/>
        <v>0</v>
      </c>
      <c r="Y28" s="103">
        <f t="shared" si="19"/>
        <v>0</v>
      </c>
      <c r="Z28" s="103">
        <f t="shared" si="20"/>
        <v>0</v>
      </c>
      <c r="AA28" s="103">
        <f t="shared" si="21"/>
        <v>0</v>
      </c>
      <c r="AC28" s="68"/>
      <c r="AE28" s="103">
        <v>2025</v>
      </c>
      <c r="AF28" s="62">
        <f>'Future Type Share'!AD26*('Future EndUse Share'!$N139+'Future EndUse Share'!$P139+'Future EndUse Share'!$Q139)</f>
        <v>24366.813168996207</v>
      </c>
      <c r="AG28" s="62">
        <f>'Future Type Share'!AB26*0.5*('Future EndUse Share'!AL139+'Future EndUse Share'!AN139+'Future EndUse Share'!AO139)</f>
        <v>1982.9144897192966</v>
      </c>
      <c r="AH28" s="62">
        <f>'Future Type Share'!Z26*('Future EndUse Share'!$AL139+'Future EndUse Share'!$AN139+'Future EndUse Share'!$AO139)</f>
        <v>15887.063396673224</v>
      </c>
      <c r="AI28" s="62">
        <f t="shared" si="22"/>
        <v>1982.9144897192966</v>
      </c>
      <c r="AJ28" s="103">
        <f t="shared" si="23"/>
        <v>0</v>
      </c>
      <c r="AK28" s="103">
        <f t="shared" si="24"/>
        <v>0</v>
      </c>
      <c r="AM28" s="68"/>
      <c r="AO28" s="103">
        <v>2025</v>
      </c>
      <c r="AP28" s="62">
        <f>'Future Type Share'!AD26*('Future EndUse Share'!R139)</f>
        <v>35442.637336721753</v>
      </c>
      <c r="AQ28" s="62">
        <f>'Future Type Share'!AB26*0.5*('Future EndUse Share'!AP139)</f>
        <v>0</v>
      </c>
      <c r="AR28" s="62">
        <f>'Future Type Share'!Z26*('Future EndUse Share'!AP139)</f>
        <v>0</v>
      </c>
      <c r="AS28" s="62">
        <f t="shared" si="25"/>
        <v>0</v>
      </c>
      <c r="AT28" s="103">
        <f t="shared" si="26"/>
        <v>0</v>
      </c>
      <c r="AU28" s="103">
        <f t="shared" si="27"/>
        <v>0</v>
      </c>
    </row>
    <row r="29" spans="1:47">
      <c r="A29" s="103">
        <v>2026</v>
      </c>
      <c r="B29" s="62">
        <f>'Future Type Share'!AD27*'Future EndUse Share'!O140</f>
        <v>15633.198789673121</v>
      </c>
      <c r="C29" s="103">
        <f>'Future Type Share'!AB27*0.5*'Future EndUse Share'!AM140</f>
        <v>0</v>
      </c>
      <c r="D29" s="103">
        <f>'Future Type Share'!Z27*'Future EndUse Share'!AM140</f>
        <v>0</v>
      </c>
      <c r="E29" s="103">
        <f t="shared" si="28"/>
        <v>0</v>
      </c>
      <c r="F29" s="103">
        <v>0</v>
      </c>
      <c r="G29" s="103">
        <v>0</v>
      </c>
      <c r="I29" s="68"/>
      <c r="K29" s="103">
        <v>2026</v>
      </c>
      <c r="L29" s="62">
        <f>'Future Type Share'!AD27*'Future EndUse Share'!$M140</f>
        <v>35733.025804967088</v>
      </c>
      <c r="M29" s="103">
        <f>'Future Type Share'!AB27*0.5*'Future EndUse Share'!$AK$131</f>
        <v>0</v>
      </c>
      <c r="N29" s="103">
        <f>'Future Type Share'!Z27*'Future EndUse Share'!$AK$131</f>
        <v>0</v>
      </c>
      <c r="O29" s="62">
        <f t="shared" si="13"/>
        <v>0</v>
      </c>
      <c r="P29" s="103">
        <f t="shared" si="14"/>
        <v>0</v>
      </c>
      <c r="Q29" s="103">
        <f t="shared" si="15"/>
        <v>0</v>
      </c>
      <c r="S29" s="68"/>
      <c r="U29" s="103">
        <v>2026</v>
      </c>
      <c r="V29" s="103">
        <f t="shared" si="16"/>
        <v>0</v>
      </c>
      <c r="W29" s="103">
        <f t="shared" si="17"/>
        <v>0</v>
      </c>
      <c r="X29" s="103">
        <f t="shared" si="18"/>
        <v>0</v>
      </c>
      <c r="Y29" s="103">
        <f t="shared" si="19"/>
        <v>0</v>
      </c>
      <c r="Z29" s="103">
        <f t="shared" si="20"/>
        <v>0</v>
      </c>
      <c r="AA29" s="103">
        <f t="shared" si="21"/>
        <v>0</v>
      </c>
      <c r="AC29" s="68"/>
      <c r="AE29" s="103">
        <v>2026</v>
      </c>
      <c r="AF29" s="62">
        <f>'Future Type Share'!AD27*('Future EndUse Share'!$N140+'Future EndUse Share'!$P140+'Future EndUse Share'!$Q140)</f>
        <v>24566.455240914886</v>
      </c>
      <c r="AG29" s="62">
        <f>'Future Type Share'!AB27*0.5*('Future EndUse Share'!AL140+'Future EndUse Share'!AN140+'Future EndUse Share'!AO140)</f>
        <v>1943.8325834584741</v>
      </c>
      <c r="AH29" s="62">
        <f>'Future Type Share'!Z27*('Future EndUse Share'!$AL140+'Future EndUse Share'!$AN140+'Future EndUse Share'!$AO140)</f>
        <v>16029.142534365266</v>
      </c>
      <c r="AI29" s="62">
        <f t="shared" si="22"/>
        <v>1943.8325834584741</v>
      </c>
      <c r="AJ29" s="103">
        <f t="shared" si="23"/>
        <v>0</v>
      </c>
      <c r="AK29" s="103">
        <f t="shared" si="24"/>
        <v>0</v>
      </c>
      <c r="AM29" s="68"/>
      <c r="AO29" s="103">
        <v>2026</v>
      </c>
      <c r="AP29" s="62">
        <f>'Future Type Share'!AD27*('Future EndUse Share'!R140)</f>
        <v>35733.025804967103</v>
      </c>
      <c r="AQ29" s="62">
        <f>'Future Type Share'!AB27*0.5*('Future EndUse Share'!AP140)</f>
        <v>0</v>
      </c>
      <c r="AR29" s="62">
        <f>'Future Type Share'!Z27*('Future EndUse Share'!AP140)</f>
        <v>0</v>
      </c>
      <c r="AS29" s="62">
        <f t="shared" si="25"/>
        <v>0</v>
      </c>
      <c r="AT29" s="103">
        <f t="shared" si="26"/>
        <v>0</v>
      </c>
      <c r="AU29" s="103">
        <f t="shared" si="27"/>
        <v>0</v>
      </c>
    </row>
    <row r="30" spans="1:47">
      <c r="A30" s="103">
        <v>2027</v>
      </c>
      <c r="B30" s="62">
        <f>'Future Type Share'!AD28*'Future EndUse Share'!O141</f>
        <v>15647.842420753532</v>
      </c>
      <c r="C30" s="103">
        <f>'Future Type Share'!AB28*0.5*'Future EndUse Share'!AM141</f>
        <v>0</v>
      </c>
      <c r="D30" s="103">
        <f>'Future Type Share'!Z28*'Future EndUse Share'!AM141</f>
        <v>0</v>
      </c>
      <c r="E30" s="103">
        <f t="shared" si="28"/>
        <v>0</v>
      </c>
      <c r="F30" s="103">
        <v>0</v>
      </c>
      <c r="G30" s="103">
        <v>0</v>
      </c>
      <c r="I30" s="68"/>
      <c r="K30" s="103">
        <v>2027</v>
      </c>
      <c r="L30" s="62">
        <f>'Future Type Share'!AD28*'Future EndUse Share'!$M141</f>
        <v>36136.384295409145</v>
      </c>
      <c r="M30" s="103">
        <f>'Future Type Share'!AB28*0.5*'Future EndUse Share'!$AK$131</f>
        <v>0</v>
      </c>
      <c r="N30" s="103">
        <f>'Future Type Share'!Z28*'Future EndUse Share'!$AK$131</f>
        <v>0</v>
      </c>
      <c r="O30" s="62">
        <f t="shared" si="13"/>
        <v>0</v>
      </c>
      <c r="P30" s="103">
        <f t="shared" si="14"/>
        <v>0</v>
      </c>
      <c r="Q30" s="103">
        <f t="shared" si="15"/>
        <v>0</v>
      </c>
      <c r="S30" s="68"/>
      <c r="U30" s="103">
        <v>2027</v>
      </c>
      <c r="V30" s="103">
        <f t="shared" si="16"/>
        <v>0</v>
      </c>
      <c r="W30" s="103">
        <f t="shared" si="17"/>
        <v>0</v>
      </c>
      <c r="X30" s="103">
        <f t="shared" si="18"/>
        <v>0</v>
      </c>
      <c r="Y30" s="103">
        <f t="shared" si="19"/>
        <v>0</v>
      </c>
      <c r="Z30" s="103">
        <f t="shared" si="20"/>
        <v>0</v>
      </c>
      <c r="AA30" s="103">
        <f t="shared" si="21"/>
        <v>0</v>
      </c>
      <c r="AC30" s="68"/>
      <c r="AE30" s="103">
        <v>2027</v>
      </c>
      <c r="AF30" s="62">
        <f>'Future Type Share'!AD28*('Future EndUse Share'!$N141+'Future EndUse Share'!$P141+'Future EndUse Share'!$Q141)</f>
        <v>24766.369299034326</v>
      </c>
      <c r="AG30" s="62">
        <f>'Future Type Share'!AB28*0.5*('Future EndUse Share'!AL141+'Future EndUse Share'!AN141+'Future EndUse Share'!AO141)</f>
        <v>1903.9559123252936</v>
      </c>
      <c r="AH30" s="62">
        <f>'Future Type Share'!Z28*('Future EndUse Share'!$AL141+'Future EndUse Share'!$AN141+'Future EndUse Share'!$AO141)</f>
        <v>16171.574900889465</v>
      </c>
      <c r="AI30" s="62">
        <f t="shared" si="22"/>
        <v>1903.9559123252936</v>
      </c>
      <c r="AJ30" s="103">
        <f t="shared" si="23"/>
        <v>0</v>
      </c>
      <c r="AK30" s="103">
        <f t="shared" si="24"/>
        <v>0</v>
      </c>
      <c r="AM30" s="68"/>
      <c r="AO30" s="103">
        <v>2027</v>
      </c>
      <c r="AP30" s="62">
        <f>'Future Type Share'!AD28*('Future EndUse Share'!R141)</f>
        <v>36023.809889504475</v>
      </c>
      <c r="AQ30" s="62">
        <f>'Future Type Share'!AB28*0.5*('Future EndUse Share'!AP141)</f>
        <v>0</v>
      </c>
      <c r="AR30" s="62">
        <f>'Future Type Share'!Z28*('Future EndUse Share'!AP141)</f>
        <v>0</v>
      </c>
      <c r="AS30" s="62">
        <f t="shared" si="25"/>
        <v>0</v>
      </c>
      <c r="AT30" s="103">
        <f t="shared" si="26"/>
        <v>0</v>
      </c>
      <c r="AU30" s="103">
        <f t="shared" si="27"/>
        <v>0</v>
      </c>
    </row>
    <row r="31" spans="1:47">
      <c r="A31" s="103">
        <v>2028</v>
      </c>
      <c r="B31" s="62">
        <f>'Future Type Share'!AD29*'Future EndUse Share'!O142</f>
        <v>15660.839260831517</v>
      </c>
      <c r="C31" s="103">
        <f>'Future Type Share'!AB29*0.5*'Future EndUse Share'!AM142</f>
        <v>0</v>
      </c>
      <c r="D31" s="103">
        <f>'Future Type Share'!Z29*'Future EndUse Share'!AM142</f>
        <v>0</v>
      </c>
      <c r="E31" s="103">
        <f t="shared" si="28"/>
        <v>0</v>
      </c>
      <c r="F31" s="103">
        <v>0</v>
      </c>
      <c r="G31" s="103">
        <v>0</v>
      </c>
      <c r="I31" s="68"/>
      <c r="K31" s="103">
        <v>2028</v>
      </c>
      <c r="L31" s="62">
        <f>'Future Type Share'!AD29*'Future EndUse Share'!$M142</f>
        <v>36541.958275273406</v>
      </c>
      <c r="M31" s="103">
        <f>'Future Type Share'!AB29*0.5*'Future EndUse Share'!$AK$131</f>
        <v>0</v>
      </c>
      <c r="N31" s="103">
        <f>'Future Type Share'!Z29*'Future EndUse Share'!$AK$131</f>
        <v>0</v>
      </c>
      <c r="O31" s="62">
        <f t="shared" si="13"/>
        <v>0</v>
      </c>
      <c r="P31" s="103">
        <f t="shared" si="14"/>
        <v>0</v>
      </c>
      <c r="Q31" s="103">
        <f t="shared" si="15"/>
        <v>0</v>
      </c>
      <c r="S31" s="68"/>
      <c r="U31" s="103">
        <v>2028</v>
      </c>
      <c r="V31" s="103">
        <f t="shared" si="16"/>
        <v>0</v>
      </c>
      <c r="W31" s="103">
        <f t="shared" si="17"/>
        <v>0</v>
      </c>
      <c r="X31" s="103">
        <f t="shared" si="18"/>
        <v>0</v>
      </c>
      <c r="Y31" s="103">
        <f t="shared" si="19"/>
        <v>0</v>
      </c>
      <c r="Z31" s="103">
        <f t="shared" si="20"/>
        <v>0</v>
      </c>
      <c r="AA31" s="103">
        <f t="shared" si="21"/>
        <v>0</v>
      </c>
      <c r="AC31" s="68"/>
      <c r="AE31" s="103">
        <v>2028</v>
      </c>
      <c r="AF31" s="62">
        <f>'Future Type Share'!AD29*('Future EndUse Share'!$N142+'Future EndUse Share'!$P142+'Future EndUse Share'!$Q142)</f>
        <v>24966.555343354536</v>
      </c>
      <c r="AG31" s="62">
        <f>'Future Type Share'!AB29*0.5*('Future EndUse Share'!AL142+'Future EndUse Share'!AN142+'Future EndUse Share'!AO142)</f>
        <v>1863.2844763197409</v>
      </c>
      <c r="AH31" s="62">
        <f>'Future Type Share'!Z29*('Future EndUse Share'!$AL142+'Future EndUse Share'!$AN142+'Future EndUse Share'!$AO142)</f>
        <v>16314.360496245823</v>
      </c>
      <c r="AI31" s="62">
        <f t="shared" si="22"/>
        <v>1863.2844763197409</v>
      </c>
      <c r="AJ31" s="103">
        <f t="shared" si="23"/>
        <v>0</v>
      </c>
      <c r="AK31" s="103">
        <f t="shared" si="24"/>
        <v>0</v>
      </c>
      <c r="AM31" s="68"/>
      <c r="AO31" s="103">
        <v>2028</v>
      </c>
      <c r="AP31" s="62">
        <f>'Future Type Share'!AD29*('Future EndUse Share'!R142)</f>
        <v>36314.989590333862</v>
      </c>
      <c r="AQ31" s="62">
        <f>'Future Type Share'!AB29*0.5*('Future EndUse Share'!AP142)</f>
        <v>0</v>
      </c>
      <c r="AR31" s="62">
        <f>'Future Type Share'!Z29*('Future EndUse Share'!AP142)</f>
        <v>0</v>
      </c>
      <c r="AS31" s="62">
        <f t="shared" si="25"/>
        <v>0</v>
      </c>
      <c r="AT31" s="103">
        <f t="shared" si="26"/>
        <v>0</v>
      </c>
      <c r="AU31" s="103">
        <f t="shared" si="27"/>
        <v>0</v>
      </c>
    </row>
    <row r="32" spans="1:47">
      <c r="A32" s="103">
        <v>2029</v>
      </c>
      <c r="B32" s="62">
        <f>'Future Type Share'!AD30*'Future EndUse Share'!O143</f>
        <v>15672.185601004336</v>
      </c>
      <c r="C32" s="103">
        <f>'Future Type Share'!AB30*0.5*'Future EndUse Share'!AM143</f>
        <v>0</v>
      </c>
      <c r="D32" s="103">
        <f>'Future Type Share'!Z30*'Future EndUse Share'!AM143</f>
        <v>0</v>
      </c>
      <c r="E32" s="103">
        <f t="shared" si="28"/>
        <v>0</v>
      </c>
      <c r="F32" s="103">
        <v>0</v>
      </c>
      <c r="G32" s="103">
        <v>0</v>
      </c>
      <c r="I32" s="68"/>
      <c r="K32" s="103">
        <v>2029</v>
      </c>
      <c r="L32" s="62">
        <f>'Future Type Share'!AD30*'Future EndUse Share'!$M143</f>
        <v>36949.751453462603</v>
      </c>
      <c r="M32" s="103">
        <f>'Future Type Share'!AB30*0.5*'Future EndUse Share'!$AK$131</f>
        <v>0</v>
      </c>
      <c r="N32" s="103">
        <f>'Future Type Share'!Z30*'Future EndUse Share'!$AK$131</f>
        <v>0</v>
      </c>
      <c r="O32" s="62">
        <f t="shared" si="13"/>
        <v>0</v>
      </c>
      <c r="P32" s="103">
        <f t="shared" si="14"/>
        <v>0</v>
      </c>
      <c r="Q32" s="103">
        <f t="shared" si="15"/>
        <v>0</v>
      </c>
      <c r="S32" s="68"/>
      <c r="U32" s="103">
        <v>2029</v>
      </c>
      <c r="V32" s="103">
        <f t="shared" si="16"/>
        <v>0</v>
      </c>
      <c r="W32" s="103">
        <f t="shared" si="17"/>
        <v>0</v>
      </c>
      <c r="X32" s="103">
        <f t="shared" si="18"/>
        <v>0</v>
      </c>
      <c r="Y32" s="103">
        <f t="shared" si="19"/>
        <v>0</v>
      </c>
      <c r="Z32" s="103">
        <f t="shared" si="20"/>
        <v>0</v>
      </c>
      <c r="AA32" s="103">
        <f t="shared" si="21"/>
        <v>0</v>
      </c>
      <c r="AC32" s="68"/>
      <c r="AE32" s="103">
        <v>2029</v>
      </c>
      <c r="AF32" s="62">
        <f>'Future Type Share'!AD30*('Future EndUse Share'!$N143+'Future EndUse Share'!$P143+'Future EndUse Share'!$Q143)</f>
        <v>25167.013373875496</v>
      </c>
      <c r="AG32" s="62">
        <f>'Future Type Share'!AB30*0.5*('Future EndUse Share'!AL143+'Future EndUse Share'!AN143+'Future EndUse Share'!AO143)</f>
        <v>1821.8182754418378</v>
      </c>
      <c r="AH32" s="62">
        <f>'Future Type Share'!Z30*('Future EndUse Share'!$AL143+'Future EndUse Share'!$AN143+'Future EndUse Share'!$AO143)</f>
        <v>16457.499320434348</v>
      </c>
      <c r="AI32" s="62">
        <f t="shared" si="22"/>
        <v>1821.8182754418378</v>
      </c>
      <c r="AJ32" s="103">
        <f t="shared" si="23"/>
        <v>0</v>
      </c>
      <c r="AK32" s="103">
        <f t="shared" si="24"/>
        <v>0</v>
      </c>
      <c r="AM32" s="68"/>
      <c r="AO32" s="103">
        <v>2029</v>
      </c>
      <c r="AP32" s="62">
        <f>'Future Type Share'!AD30*('Future EndUse Share'!R143)</f>
        <v>36606.564907455264</v>
      </c>
      <c r="AQ32" s="62">
        <f>'Future Type Share'!AB30*0.5*('Future EndUse Share'!AP143)</f>
        <v>0</v>
      </c>
      <c r="AR32" s="62">
        <f>'Future Type Share'!Z30*('Future EndUse Share'!AP143)</f>
        <v>0</v>
      </c>
      <c r="AS32" s="62">
        <f t="shared" si="25"/>
        <v>0</v>
      </c>
      <c r="AT32" s="103">
        <f t="shared" si="26"/>
        <v>0</v>
      </c>
      <c r="AU32" s="103">
        <f t="shared" si="27"/>
        <v>0</v>
      </c>
    </row>
    <row r="33" spans="1:47">
      <c r="A33" s="103">
        <v>2030</v>
      </c>
      <c r="B33" s="62">
        <f>'Future Type Share'!AD31*'Future EndUse Share'!O144</f>
        <v>15681.877732369212</v>
      </c>
      <c r="C33" s="103">
        <f>'Future Type Share'!AB31*0.5*'Future EndUse Share'!AM144</f>
        <v>0</v>
      </c>
      <c r="D33" s="103">
        <f>'Future Type Share'!Z31*'Future EndUse Share'!AM144</f>
        <v>0</v>
      </c>
      <c r="E33" s="103">
        <f t="shared" si="28"/>
        <v>0</v>
      </c>
      <c r="F33" s="103">
        <v>0</v>
      </c>
      <c r="G33" s="103">
        <v>0</v>
      </c>
      <c r="I33" s="68"/>
      <c r="K33" s="103">
        <v>2030</v>
      </c>
      <c r="L33" s="62">
        <f>'Future Type Share'!AD31*'Future EndUse Share'!$M144</f>
        <v>37359.767538879547</v>
      </c>
      <c r="M33" s="103">
        <f>'Future Type Share'!AB31*0.5*'Future EndUse Share'!$AK$131</f>
        <v>0</v>
      </c>
      <c r="N33" s="103">
        <f>'Future Type Share'!Z31*'Future EndUse Share'!$AK$131</f>
        <v>0</v>
      </c>
      <c r="O33" s="62">
        <f t="shared" si="13"/>
        <v>0</v>
      </c>
      <c r="P33" s="103">
        <f t="shared" si="14"/>
        <v>0</v>
      </c>
      <c r="Q33" s="103">
        <f t="shared" si="15"/>
        <v>0</v>
      </c>
      <c r="S33" s="68"/>
      <c r="U33" s="103">
        <v>2030</v>
      </c>
      <c r="V33" s="103">
        <f t="shared" si="16"/>
        <v>0</v>
      </c>
      <c r="W33" s="103">
        <f t="shared" si="17"/>
        <v>0</v>
      </c>
      <c r="X33" s="103">
        <f t="shared" si="18"/>
        <v>0</v>
      </c>
      <c r="Y33" s="103">
        <f t="shared" si="19"/>
        <v>0</v>
      </c>
      <c r="Z33" s="103">
        <f t="shared" si="20"/>
        <v>0</v>
      </c>
      <c r="AA33" s="103">
        <f t="shared" si="21"/>
        <v>0</v>
      </c>
      <c r="AC33" s="68"/>
      <c r="AE33" s="103">
        <v>2030</v>
      </c>
      <c r="AF33" s="62">
        <f>'Future Type Share'!AD31*('Future EndUse Share'!$N144+'Future EndUse Share'!$P144+'Future EndUse Share'!$Q144)</f>
        <v>25367.743390597236</v>
      </c>
      <c r="AG33" s="62">
        <f>'Future Type Share'!AB31*0.5*('Future EndUse Share'!AL144+'Future EndUse Share'!AN144+'Future EndUse Share'!AO144)</f>
        <v>1779.5573096915778</v>
      </c>
      <c r="AH33" s="62">
        <f>'Future Type Share'!Z31*('Future EndUse Share'!$AL144+'Future EndUse Share'!$AN144+'Future EndUse Share'!$AO144)</f>
        <v>16600.991373455028</v>
      </c>
      <c r="AI33" s="62">
        <f t="shared" si="22"/>
        <v>1779.5573096915778</v>
      </c>
      <c r="AJ33" s="103">
        <f t="shared" si="23"/>
        <v>0</v>
      </c>
      <c r="AK33" s="103">
        <f t="shared" si="24"/>
        <v>0</v>
      </c>
      <c r="AM33" s="68"/>
      <c r="AO33" s="103">
        <v>2030</v>
      </c>
      <c r="AP33" s="62">
        <f>'Future Type Share'!AD31*('Future EndUse Share'!R144)</f>
        <v>36898.535840868703</v>
      </c>
      <c r="AQ33" s="62">
        <f>'Future Type Share'!AB31*0.5*('Future EndUse Share'!AP144)</f>
        <v>0</v>
      </c>
      <c r="AR33" s="62">
        <f>'Future Type Share'!Z31*('Future EndUse Share'!AP144)</f>
        <v>0</v>
      </c>
      <c r="AS33" s="62">
        <f t="shared" si="25"/>
        <v>0</v>
      </c>
      <c r="AT33" s="103">
        <f t="shared" si="26"/>
        <v>0</v>
      </c>
      <c r="AU33" s="103">
        <f t="shared" si="27"/>
        <v>0</v>
      </c>
    </row>
    <row r="34" spans="1:47">
      <c r="A34" s="103">
        <v>2031</v>
      </c>
      <c r="B34" s="62">
        <f>'Future Type Share'!AD32*'Future EndUse Share'!O145</f>
        <v>15689.911946023492</v>
      </c>
      <c r="C34" s="103">
        <f>'Future Type Share'!AB32*0.5*'Future EndUse Share'!AM145</f>
        <v>0</v>
      </c>
      <c r="D34" s="103">
        <f>'Future Type Share'!Z32*'Future EndUse Share'!AM145</f>
        <v>0</v>
      </c>
      <c r="E34" s="103">
        <f t="shared" si="28"/>
        <v>0</v>
      </c>
      <c r="F34" s="103">
        <v>0</v>
      </c>
      <c r="G34" s="103">
        <v>0</v>
      </c>
      <c r="I34" s="68"/>
      <c r="K34" s="103">
        <v>2031</v>
      </c>
      <c r="L34" s="62">
        <f>'Future Type Share'!AD32*'Future EndUse Share'!$M145</f>
        <v>37772.010240426833</v>
      </c>
      <c r="M34" s="103">
        <f>'Future Type Share'!AB32*0.5*'Future EndUse Share'!$AK$131</f>
        <v>0</v>
      </c>
      <c r="N34" s="103">
        <f>'Future Type Share'!Z32*'Future EndUse Share'!$AK$131</f>
        <v>0</v>
      </c>
      <c r="O34" s="62">
        <f t="shared" si="13"/>
        <v>0</v>
      </c>
      <c r="P34" s="103">
        <f t="shared" si="14"/>
        <v>0</v>
      </c>
      <c r="Q34" s="103">
        <f t="shared" si="15"/>
        <v>0</v>
      </c>
      <c r="S34" s="68"/>
      <c r="U34" s="103">
        <v>2031</v>
      </c>
      <c r="V34" s="103">
        <f t="shared" si="16"/>
        <v>0</v>
      </c>
      <c r="W34" s="103">
        <f t="shared" si="17"/>
        <v>0</v>
      </c>
      <c r="X34" s="103">
        <f t="shared" si="18"/>
        <v>0</v>
      </c>
      <c r="Y34" s="103">
        <f t="shared" si="19"/>
        <v>0</v>
      </c>
      <c r="Z34" s="103">
        <f t="shared" si="20"/>
        <v>0</v>
      </c>
      <c r="AA34" s="103">
        <f t="shared" si="21"/>
        <v>0</v>
      </c>
      <c r="AC34" s="68"/>
      <c r="AE34" s="103">
        <v>2031</v>
      </c>
      <c r="AF34" s="62">
        <f>'Future Type Share'!AD32*('Future EndUse Share'!$N145+'Future EndUse Share'!$P145+'Future EndUse Share'!$Q145)</f>
        <v>25568.745393519726</v>
      </c>
      <c r="AG34" s="62">
        <f>'Future Type Share'!AB32*0.5*('Future EndUse Share'!AL145+'Future EndUse Share'!AN145+'Future EndUse Share'!AO145)</f>
        <v>1736.5015790689595</v>
      </c>
      <c r="AH34" s="62">
        <f>'Future Type Share'!Z32*('Future EndUse Share'!$AL145+'Future EndUse Share'!$AN145+'Future EndUse Share'!$AO145)</f>
        <v>16744.836655307863</v>
      </c>
      <c r="AI34" s="62">
        <f t="shared" si="22"/>
        <v>1736.5015790689595</v>
      </c>
      <c r="AJ34" s="103">
        <f t="shared" si="23"/>
        <v>0</v>
      </c>
      <c r="AK34" s="103">
        <f t="shared" si="24"/>
        <v>0</v>
      </c>
      <c r="AM34" s="68"/>
      <c r="AO34" s="103">
        <v>2031</v>
      </c>
      <c r="AP34" s="62">
        <f>'Future Type Share'!AD32*('Future EndUse Share'!R145)</f>
        <v>37190.902390574141</v>
      </c>
      <c r="AQ34" s="62">
        <f>'Future Type Share'!AB32*0.5*('Future EndUse Share'!AP145)</f>
        <v>0</v>
      </c>
      <c r="AR34" s="62">
        <f>'Future Type Share'!Z32*('Future EndUse Share'!AP145)</f>
        <v>0</v>
      </c>
      <c r="AS34" s="62">
        <f t="shared" si="25"/>
        <v>0</v>
      </c>
      <c r="AT34" s="103">
        <f t="shared" si="26"/>
        <v>0</v>
      </c>
      <c r="AU34" s="103">
        <f t="shared" si="27"/>
        <v>0</v>
      </c>
    </row>
    <row r="35" spans="1:47">
      <c r="A35" s="103">
        <v>2032</v>
      </c>
      <c r="B35" s="62">
        <f>'Future Type Share'!AD33*'Future EndUse Share'!O146</f>
        <v>15696.284533064396</v>
      </c>
      <c r="C35" s="103">
        <f>'Future Type Share'!AB33*0.5*'Future EndUse Share'!AM146</f>
        <v>0</v>
      </c>
      <c r="D35" s="103">
        <f>'Future Type Share'!Z33*'Future EndUse Share'!AM146</f>
        <v>0</v>
      </c>
      <c r="E35" s="103">
        <f t="shared" si="28"/>
        <v>0</v>
      </c>
      <c r="F35" s="103">
        <v>0</v>
      </c>
      <c r="G35" s="103">
        <v>0</v>
      </c>
      <c r="I35" s="68"/>
      <c r="K35" s="103">
        <v>2032</v>
      </c>
      <c r="L35" s="62">
        <f>'Future Type Share'!AD33*'Future EndUse Share'!$M146</f>
        <v>38186.483267007265</v>
      </c>
      <c r="M35" s="103">
        <f>'Future Type Share'!AB33*0.5*'Future EndUse Share'!$AK$131</f>
        <v>0</v>
      </c>
      <c r="N35" s="103">
        <f>'Future Type Share'!Z33*'Future EndUse Share'!$AK$131</f>
        <v>0</v>
      </c>
      <c r="O35" s="62">
        <f t="shared" si="13"/>
        <v>0</v>
      </c>
      <c r="P35" s="103">
        <f t="shared" si="14"/>
        <v>0</v>
      </c>
      <c r="Q35" s="103">
        <f t="shared" si="15"/>
        <v>0</v>
      </c>
      <c r="S35" s="68"/>
      <c r="U35" s="103">
        <v>2032</v>
      </c>
      <c r="V35" s="103">
        <f t="shared" si="16"/>
        <v>0</v>
      </c>
      <c r="W35" s="103">
        <f t="shared" si="17"/>
        <v>0</v>
      </c>
      <c r="X35" s="103">
        <f t="shared" si="18"/>
        <v>0</v>
      </c>
      <c r="Y35" s="103">
        <f t="shared" si="19"/>
        <v>0</v>
      </c>
      <c r="Z35" s="103">
        <f t="shared" si="20"/>
        <v>0</v>
      </c>
      <c r="AA35" s="103">
        <f t="shared" si="21"/>
        <v>0</v>
      </c>
      <c r="AC35" s="68"/>
      <c r="AE35" s="103">
        <v>2032</v>
      </c>
      <c r="AF35" s="62">
        <f>'Future Type Share'!AD33*('Future EndUse Share'!$N146+'Future EndUse Share'!$P146+'Future EndUse Share'!$Q146)</f>
        <v>25770.019382642975</v>
      </c>
      <c r="AG35" s="62">
        <f>'Future Type Share'!AB33*0.5*('Future EndUse Share'!AL146+'Future EndUse Share'!AN146+'Future EndUse Share'!AO146)</f>
        <v>1692.6510835739987</v>
      </c>
      <c r="AH35" s="62">
        <f>'Future Type Share'!Z33*('Future EndUse Share'!$AL146+'Future EndUse Share'!$AN146+'Future EndUse Share'!$AO146)</f>
        <v>16889.035165992856</v>
      </c>
      <c r="AI35" s="62">
        <f t="shared" si="22"/>
        <v>1692.6510835739987</v>
      </c>
      <c r="AJ35" s="103">
        <f t="shared" si="23"/>
        <v>0</v>
      </c>
      <c r="AK35" s="103">
        <f t="shared" si="24"/>
        <v>0</v>
      </c>
      <c r="AM35" s="68"/>
      <c r="AO35" s="103">
        <v>2032</v>
      </c>
      <c r="AP35" s="62">
        <f>'Future Type Share'!AD33*('Future EndUse Share'!R146)</f>
        <v>37483.664556571595</v>
      </c>
      <c r="AQ35" s="62">
        <f>'Future Type Share'!AB33*0.5*('Future EndUse Share'!AP146)</f>
        <v>0</v>
      </c>
      <c r="AR35" s="62">
        <f>'Future Type Share'!Z33*('Future EndUse Share'!AP146)</f>
        <v>0</v>
      </c>
      <c r="AS35" s="62">
        <f t="shared" si="25"/>
        <v>0</v>
      </c>
      <c r="AT35" s="103">
        <f t="shared" si="26"/>
        <v>0</v>
      </c>
      <c r="AU35" s="103">
        <f t="shared" si="27"/>
        <v>0</v>
      </c>
    </row>
    <row r="36" spans="1:47">
      <c r="A36" s="103">
        <v>2033</v>
      </c>
      <c r="B36" s="62">
        <f>'Future Type Share'!AD34*'Future EndUse Share'!O147</f>
        <v>15700.991784589192</v>
      </c>
      <c r="C36" s="103">
        <f>'Future Type Share'!AB34*0.5*'Future EndUse Share'!AM147</f>
        <v>0</v>
      </c>
      <c r="D36" s="103">
        <f>'Future Type Share'!Z34*'Future EndUse Share'!AM147</f>
        <v>0</v>
      </c>
      <c r="E36" s="103">
        <f t="shared" si="28"/>
        <v>0</v>
      </c>
      <c r="F36" s="103">
        <v>0</v>
      </c>
      <c r="G36" s="103">
        <v>0</v>
      </c>
      <c r="I36" s="68"/>
      <c r="K36" s="103">
        <v>2033</v>
      </c>
      <c r="L36" s="62">
        <f>'Future Type Share'!AD34*'Future EndUse Share'!$M147</f>
        <v>38603.190327523618</v>
      </c>
      <c r="M36" s="103">
        <f>'Future Type Share'!AB34*0.5*'Future EndUse Share'!$AK$131</f>
        <v>0</v>
      </c>
      <c r="N36" s="103">
        <f>'Future Type Share'!Z34*'Future EndUse Share'!$AK$131</f>
        <v>0</v>
      </c>
      <c r="O36" s="62">
        <f t="shared" si="13"/>
        <v>0</v>
      </c>
      <c r="P36" s="103">
        <f t="shared" si="14"/>
        <v>0</v>
      </c>
      <c r="Q36" s="103">
        <f t="shared" si="15"/>
        <v>0</v>
      </c>
      <c r="S36" s="68"/>
      <c r="U36" s="103">
        <v>2033</v>
      </c>
      <c r="V36" s="103">
        <f t="shared" si="16"/>
        <v>0</v>
      </c>
      <c r="W36" s="103">
        <f t="shared" si="17"/>
        <v>0</v>
      </c>
      <c r="X36" s="103">
        <f t="shared" si="18"/>
        <v>0</v>
      </c>
      <c r="Y36" s="103">
        <f t="shared" si="19"/>
        <v>0</v>
      </c>
      <c r="Z36" s="103">
        <f t="shared" si="20"/>
        <v>0</v>
      </c>
      <c r="AA36" s="103">
        <f t="shared" si="21"/>
        <v>0</v>
      </c>
      <c r="AC36" s="68"/>
      <c r="AE36" s="103">
        <v>2033</v>
      </c>
      <c r="AF36" s="62">
        <f>'Future Type Share'!AD34*('Future EndUse Share'!$N147+'Future EndUse Share'!$P147+'Future EndUse Share'!$Q147)</f>
        <v>25971.565357967</v>
      </c>
      <c r="AG36" s="62">
        <f>'Future Type Share'!AB34*0.5*('Future EndUse Share'!AL147+'Future EndUse Share'!AN147+'Future EndUse Share'!AO147)</f>
        <v>1648.0058232066501</v>
      </c>
      <c r="AH36" s="62">
        <f>'Future Type Share'!Z34*('Future EndUse Share'!$AL147+'Future EndUse Share'!$AN147+'Future EndUse Share'!$AO147)</f>
        <v>17033.586905510012</v>
      </c>
      <c r="AI36" s="62">
        <f t="shared" si="22"/>
        <v>1648.0058232066501</v>
      </c>
      <c r="AJ36" s="103">
        <f t="shared" si="23"/>
        <v>0</v>
      </c>
      <c r="AK36" s="103">
        <f t="shared" si="24"/>
        <v>0</v>
      </c>
      <c r="AM36" s="68"/>
      <c r="AO36" s="103">
        <v>2033</v>
      </c>
      <c r="AP36" s="62">
        <f>'Future Type Share'!AD34*('Future EndUse Share'!R147)</f>
        <v>37776.822338861086</v>
      </c>
      <c r="AQ36" s="62">
        <f>'Future Type Share'!AB34*0.5*('Future EndUse Share'!AP147)</f>
        <v>0</v>
      </c>
      <c r="AR36" s="62">
        <f>'Future Type Share'!Z34*('Future EndUse Share'!AP147)</f>
        <v>0</v>
      </c>
      <c r="AS36" s="62">
        <f t="shared" si="25"/>
        <v>0</v>
      </c>
      <c r="AT36" s="103">
        <f t="shared" si="26"/>
        <v>0</v>
      </c>
      <c r="AU36" s="103">
        <f t="shared" si="27"/>
        <v>0</v>
      </c>
    </row>
    <row r="37" spans="1:47">
      <c r="A37" s="103">
        <v>2034</v>
      </c>
      <c r="B37" s="62">
        <f>'Future Type Share'!AD35*'Future EndUse Share'!O148</f>
        <v>15704.029991695077</v>
      </c>
      <c r="C37" s="103">
        <f>'Future Type Share'!AB35*0.5*'Future EndUse Share'!AM148</f>
        <v>0</v>
      </c>
      <c r="D37" s="103">
        <f>'Future Type Share'!Z35*'Future EndUse Share'!AM148</f>
        <v>0</v>
      </c>
      <c r="E37" s="103">
        <f t="shared" si="28"/>
        <v>0</v>
      </c>
      <c r="F37" s="103">
        <v>0</v>
      </c>
      <c r="G37" s="103">
        <v>0</v>
      </c>
      <c r="I37" s="68"/>
      <c r="K37" s="103">
        <v>2034</v>
      </c>
      <c r="L37" s="62">
        <f>'Future Type Share'!AD35*'Future EndUse Share'!$M148</f>
        <v>39022.135130878625</v>
      </c>
      <c r="M37" s="103">
        <f>'Future Type Share'!AB35*0.5*'Future EndUse Share'!$AK$131</f>
        <v>0</v>
      </c>
      <c r="N37" s="103">
        <f>'Future Type Share'!Z35*'Future EndUse Share'!$AK$131</f>
        <v>0</v>
      </c>
      <c r="O37" s="62">
        <f t="shared" si="13"/>
        <v>0</v>
      </c>
      <c r="P37" s="103">
        <f t="shared" si="14"/>
        <v>0</v>
      </c>
      <c r="Q37" s="103">
        <f t="shared" si="15"/>
        <v>0</v>
      </c>
      <c r="S37" s="68"/>
      <c r="U37" s="103">
        <v>2034</v>
      </c>
      <c r="V37" s="103">
        <f t="shared" si="16"/>
        <v>0</v>
      </c>
      <c r="W37" s="103">
        <f t="shared" si="17"/>
        <v>0</v>
      </c>
      <c r="X37" s="103">
        <f t="shared" si="18"/>
        <v>0</v>
      </c>
      <c r="Y37" s="103">
        <f t="shared" si="19"/>
        <v>0</v>
      </c>
      <c r="Z37" s="103">
        <f t="shared" si="20"/>
        <v>0</v>
      </c>
      <c r="AA37" s="103">
        <f t="shared" si="21"/>
        <v>0</v>
      </c>
      <c r="AC37" s="68"/>
      <c r="AE37" s="103">
        <v>2034</v>
      </c>
      <c r="AF37" s="62">
        <f>'Future Type Share'!AD35*('Future EndUse Share'!$N148+'Future EndUse Share'!$P148+'Future EndUse Share'!$Q148)</f>
        <v>26173.383319491775</v>
      </c>
      <c r="AG37" s="62">
        <f>'Future Type Share'!AB35*0.5*('Future EndUse Share'!AL148+'Future EndUse Share'!AN148+'Future EndUse Share'!AO148)</f>
        <v>1602.5657979669668</v>
      </c>
      <c r="AH37" s="62">
        <f>'Future Type Share'!Z35*('Future EndUse Share'!$AL148+'Future EndUse Share'!$AN148+'Future EndUse Share'!$AO148)</f>
        <v>17178.491873859333</v>
      </c>
      <c r="AI37" s="62">
        <f t="shared" si="22"/>
        <v>1602.5657979669668</v>
      </c>
      <c r="AJ37" s="103">
        <f t="shared" si="23"/>
        <v>0</v>
      </c>
      <c r="AK37" s="103">
        <f t="shared" si="24"/>
        <v>0</v>
      </c>
      <c r="AM37" s="68"/>
      <c r="AO37" s="103">
        <v>2034</v>
      </c>
      <c r="AP37" s="62">
        <f>'Future Type Share'!AD35*('Future EndUse Share'!R148)</f>
        <v>38070.375737442577</v>
      </c>
      <c r="AQ37" s="62">
        <f>'Future Type Share'!AB35*0.5*('Future EndUse Share'!AP148)</f>
        <v>0</v>
      </c>
      <c r="AR37" s="62">
        <f>'Future Type Share'!Z35*('Future EndUse Share'!AP148)</f>
        <v>0</v>
      </c>
      <c r="AS37" s="62">
        <f t="shared" si="25"/>
        <v>0</v>
      </c>
      <c r="AT37" s="103">
        <f t="shared" si="26"/>
        <v>0</v>
      </c>
      <c r="AU37" s="103">
        <f t="shared" si="27"/>
        <v>0</v>
      </c>
    </row>
    <row r="38" spans="1:47">
      <c r="A38" s="103">
        <v>2035</v>
      </c>
      <c r="B38" s="62">
        <f>'Future Type Share'!AD36*'Future EndUse Share'!O149</f>
        <v>15705.395445479429</v>
      </c>
      <c r="C38" s="103">
        <f>'Future Type Share'!AB36*0.5*'Future EndUse Share'!AM149</f>
        <v>0</v>
      </c>
      <c r="D38" s="103">
        <f>'Future Type Share'!Z36*'Future EndUse Share'!AM149</f>
        <v>0</v>
      </c>
      <c r="E38" s="103">
        <f t="shared" si="28"/>
        <v>0</v>
      </c>
      <c r="F38" s="103">
        <v>0</v>
      </c>
      <c r="G38" s="103">
        <v>0</v>
      </c>
      <c r="I38" s="68"/>
      <c r="K38" s="103">
        <v>2035</v>
      </c>
      <c r="L38" s="62">
        <f>'Future Type Share'!AD36*'Future EndUse Share'!$M149</f>
        <v>39443.321385974959</v>
      </c>
      <c r="M38" s="103">
        <f>'Future Type Share'!AB36*0.5*'Future EndUse Share'!$AK$131</f>
        <v>0</v>
      </c>
      <c r="N38" s="103">
        <f>'Future Type Share'!Z36*'Future EndUse Share'!$AK$131</f>
        <v>0</v>
      </c>
      <c r="O38" s="62">
        <f t="shared" si="13"/>
        <v>0</v>
      </c>
      <c r="P38" s="103">
        <f t="shared" si="14"/>
        <v>0</v>
      </c>
      <c r="Q38" s="103">
        <f t="shared" si="15"/>
        <v>0</v>
      </c>
      <c r="S38" s="68"/>
      <c r="U38" s="103">
        <v>2035</v>
      </c>
      <c r="V38" s="103">
        <f t="shared" si="16"/>
        <v>0</v>
      </c>
      <c r="W38" s="103">
        <f t="shared" si="17"/>
        <v>0</v>
      </c>
      <c r="X38" s="103">
        <f t="shared" si="18"/>
        <v>0</v>
      </c>
      <c r="Y38" s="103">
        <f t="shared" si="19"/>
        <v>0</v>
      </c>
      <c r="Z38" s="103">
        <f t="shared" si="20"/>
        <v>0</v>
      </c>
      <c r="AA38" s="103">
        <f t="shared" si="21"/>
        <v>0</v>
      </c>
      <c r="AC38" s="68"/>
      <c r="AE38" s="103">
        <v>2035</v>
      </c>
      <c r="AF38" s="62">
        <f>'Future Type Share'!AD36*('Future EndUse Share'!$N149+'Future EndUse Share'!$P149+'Future EndUse Share'!$Q149)</f>
        <v>26375.47326721732</v>
      </c>
      <c r="AG38" s="62">
        <f>'Future Type Share'!AB36*0.5*('Future EndUse Share'!AL149+'Future EndUse Share'!AN149+'Future EndUse Share'!AO149)</f>
        <v>1556.33100785491</v>
      </c>
      <c r="AH38" s="62">
        <f>'Future Type Share'!Z36*('Future EndUse Share'!$AL149+'Future EndUse Share'!$AN149+'Future EndUse Share'!$AO149)</f>
        <v>17323.750071040802</v>
      </c>
      <c r="AI38" s="62">
        <f t="shared" si="22"/>
        <v>1556.33100785491</v>
      </c>
      <c r="AJ38" s="103">
        <f t="shared" si="23"/>
        <v>0</v>
      </c>
      <c r="AK38" s="103">
        <f t="shared" si="24"/>
        <v>0</v>
      </c>
      <c r="AM38" s="68"/>
      <c r="AO38" s="103">
        <v>2035</v>
      </c>
      <c r="AP38" s="62">
        <f>'Future Type Share'!AD36*('Future EndUse Share'!R149)</f>
        <v>38364.324752316097</v>
      </c>
      <c r="AQ38" s="62">
        <f>'Future Type Share'!AB36*0.5*('Future EndUse Share'!AP149)</f>
        <v>0</v>
      </c>
      <c r="AR38" s="62">
        <f>'Future Type Share'!Z36*('Future EndUse Share'!AP149)</f>
        <v>0</v>
      </c>
      <c r="AS38" s="62">
        <f t="shared" si="25"/>
        <v>0</v>
      </c>
      <c r="AT38" s="103">
        <f t="shared" si="26"/>
        <v>0</v>
      </c>
      <c r="AU38" s="103">
        <f t="shared" si="27"/>
        <v>0</v>
      </c>
    </row>
    <row r="39" spans="1:47">
      <c r="A39" s="103">
        <v>2036</v>
      </c>
      <c r="B39" s="62">
        <f>'Future Type Share'!AD37*'Future EndUse Share'!O150</f>
        <v>15705.084437039419</v>
      </c>
      <c r="C39" s="103">
        <f>'Future Type Share'!AB37*0.5*'Future EndUse Share'!AM150</f>
        <v>0</v>
      </c>
      <c r="D39" s="103">
        <f>'Future Type Share'!Z37*'Future EndUse Share'!AM150</f>
        <v>0</v>
      </c>
      <c r="E39" s="103">
        <f t="shared" si="28"/>
        <v>0</v>
      </c>
      <c r="F39" s="103">
        <v>0</v>
      </c>
      <c r="G39" s="103">
        <v>0</v>
      </c>
      <c r="I39" s="68"/>
      <c r="K39" s="103">
        <v>2036</v>
      </c>
      <c r="L39" s="62">
        <f>'Future Type Share'!AD37*'Future EndUse Share'!$M150</f>
        <v>39866.752801715302</v>
      </c>
      <c r="M39" s="103">
        <f>'Future Type Share'!AB37*0.5*'Future EndUse Share'!$AK$131</f>
        <v>0</v>
      </c>
      <c r="N39" s="103">
        <f>'Future Type Share'!Z37*'Future EndUse Share'!$AK$131</f>
        <v>0</v>
      </c>
      <c r="O39" s="62">
        <f t="shared" si="13"/>
        <v>0</v>
      </c>
      <c r="P39" s="103">
        <f t="shared" si="14"/>
        <v>0</v>
      </c>
      <c r="Q39" s="103">
        <f t="shared" si="15"/>
        <v>0</v>
      </c>
      <c r="S39" s="68"/>
      <c r="U39" s="103">
        <v>2036</v>
      </c>
      <c r="V39" s="103">
        <f t="shared" si="16"/>
        <v>0</v>
      </c>
      <c r="W39" s="103">
        <f t="shared" si="17"/>
        <v>0</v>
      </c>
      <c r="X39" s="103">
        <f t="shared" si="18"/>
        <v>0</v>
      </c>
      <c r="Y39" s="103">
        <f t="shared" si="19"/>
        <v>0</v>
      </c>
      <c r="Z39" s="103">
        <f t="shared" si="20"/>
        <v>0</v>
      </c>
      <c r="AA39" s="103">
        <f t="shared" si="21"/>
        <v>0</v>
      </c>
      <c r="AC39" s="68"/>
      <c r="AE39" s="103">
        <v>2036</v>
      </c>
      <c r="AF39" s="62">
        <f>'Future Type Share'!AD37*('Future EndUse Share'!$N150+'Future EndUse Share'!$P150+'Future EndUse Share'!$Q150)</f>
        <v>26577.835201143567</v>
      </c>
      <c r="AG39" s="62">
        <f>'Future Type Share'!AB37*0.5*('Future EndUse Share'!AL150+'Future EndUse Share'!AN150+'Future EndUse Share'!AO150)</f>
        <v>1509.3014528705082</v>
      </c>
      <c r="AH39" s="62">
        <f>'Future Type Share'!Z37*('Future EndUse Share'!$AL150+'Future EndUse Share'!$AN150+'Future EndUse Share'!$AO150)</f>
        <v>17469.361497054397</v>
      </c>
      <c r="AI39" s="62">
        <f t="shared" si="22"/>
        <v>1509.3014528705082</v>
      </c>
      <c r="AJ39" s="103">
        <f t="shared" si="23"/>
        <v>0</v>
      </c>
      <c r="AK39" s="103">
        <f t="shared" si="24"/>
        <v>0</v>
      </c>
      <c r="AM39" s="68"/>
      <c r="AO39" s="103">
        <v>2036</v>
      </c>
      <c r="AP39" s="62">
        <f>'Future Type Share'!AD37*('Future EndUse Share'!R150)</f>
        <v>38658.669383481545</v>
      </c>
      <c r="AQ39" s="62">
        <f>'Future Type Share'!AB37*0.5*('Future EndUse Share'!AP150)</f>
        <v>0</v>
      </c>
      <c r="AR39" s="62">
        <f>'Future Type Share'!Z37*('Future EndUse Share'!AP150)</f>
        <v>0</v>
      </c>
      <c r="AS39" s="62">
        <f t="shared" si="25"/>
        <v>0</v>
      </c>
      <c r="AT39" s="103">
        <f t="shared" si="26"/>
        <v>0</v>
      </c>
      <c r="AU39" s="103">
        <f t="shared" si="27"/>
        <v>0</v>
      </c>
    </row>
    <row r="40" spans="1:47">
      <c r="A40" s="103">
        <v>2037</v>
      </c>
      <c r="B40" s="62">
        <f>'Future Type Share'!AD38*'Future EndUse Share'!O151</f>
        <v>15703.093257472377</v>
      </c>
      <c r="C40" s="103">
        <f>'Future Type Share'!AB38*0.5*'Future EndUse Share'!AM151</f>
        <v>0</v>
      </c>
      <c r="D40" s="103">
        <f>'Future Type Share'!Z38*'Future EndUse Share'!AM151</f>
        <v>0</v>
      </c>
      <c r="E40" s="103">
        <f t="shared" si="28"/>
        <v>0</v>
      </c>
      <c r="F40" s="103">
        <v>0</v>
      </c>
      <c r="G40" s="103">
        <v>0</v>
      </c>
      <c r="I40" s="68"/>
      <c r="K40" s="103">
        <v>2037</v>
      </c>
      <c r="L40" s="62">
        <f>'Future Type Share'!AD38*'Future EndUse Share'!$M151</f>
        <v>40292.433087002566</v>
      </c>
      <c r="M40" s="103">
        <f>'Future Type Share'!AB38*0.5*'Future EndUse Share'!$AK$131</f>
        <v>0</v>
      </c>
      <c r="N40" s="103">
        <f>'Future Type Share'!Z38*'Future EndUse Share'!$AK$131</f>
        <v>0</v>
      </c>
      <c r="O40" s="62">
        <f t="shared" si="13"/>
        <v>0</v>
      </c>
      <c r="P40" s="103">
        <f t="shared" si="14"/>
        <v>0</v>
      </c>
      <c r="Q40" s="103">
        <f t="shared" si="15"/>
        <v>0</v>
      </c>
      <c r="S40" s="68"/>
      <c r="U40" s="103">
        <v>2037</v>
      </c>
      <c r="V40" s="103">
        <f t="shared" si="16"/>
        <v>0</v>
      </c>
      <c r="W40" s="103">
        <f t="shared" si="17"/>
        <v>0</v>
      </c>
      <c r="X40" s="103">
        <f t="shared" si="18"/>
        <v>0</v>
      </c>
      <c r="Y40" s="103">
        <f t="shared" si="19"/>
        <v>0</v>
      </c>
      <c r="Z40" s="103">
        <f t="shared" si="20"/>
        <v>0</v>
      </c>
      <c r="AA40" s="103">
        <f t="shared" si="21"/>
        <v>0</v>
      </c>
      <c r="AC40" s="68"/>
      <c r="AE40" s="103">
        <v>2037</v>
      </c>
      <c r="AF40" s="62">
        <f>'Future Type Share'!AD38*('Future EndUse Share'!$N151+'Future EndUse Share'!$P151+'Future EndUse Share'!$Q151)</f>
        <v>26780.469121270631</v>
      </c>
      <c r="AG40" s="62">
        <f>'Future Type Share'!AB38*0.5*('Future EndUse Share'!AL151+'Future EndUse Share'!AN151+'Future EndUse Share'!AO151)</f>
        <v>1461.4771330137521</v>
      </c>
      <c r="AH40" s="62">
        <f>'Future Type Share'!Z38*('Future EndUse Share'!$AL151+'Future EndUse Share'!$AN151+'Future EndUse Share'!$AO151)</f>
        <v>17615.326151900186</v>
      </c>
      <c r="AI40" s="62">
        <f t="shared" si="22"/>
        <v>1461.4771330137521</v>
      </c>
      <c r="AJ40" s="103">
        <f t="shared" si="23"/>
        <v>0</v>
      </c>
      <c r="AK40" s="103">
        <f t="shared" si="24"/>
        <v>0</v>
      </c>
      <c r="AM40" s="68"/>
      <c r="AO40" s="103">
        <v>2037</v>
      </c>
      <c r="AP40" s="62">
        <f>'Future Type Share'!AD38*('Future EndUse Share'!R151)</f>
        <v>38953.409630939095</v>
      </c>
      <c r="AQ40" s="62">
        <f>'Future Type Share'!AB38*0.5*('Future EndUse Share'!AP151)</f>
        <v>0</v>
      </c>
      <c r="AR40" s="62">
        <f>'Future Type Share'!Z38*('Future EndUse Share'!AP151)</f>
        <v>0</v>
      </c>
      <c r="AS40" s="62">
        <f t="shared" si="25"/>
        <v>0</v>
      </c>
      <c r="AT40" s="103">
        <f t="shared" si="26"/>
        <v>0</v>
      </c>
      <c r="AU40" s="103">
        <f t="shared" si="27"/>
        <v>0</v>
      </c>
    </row>
    <row r="41" spans="1:47">
      <c r="A41" s="103">
        <v>2038</v>
      </c>
      <c r="B41" s="62">
        <f>'Future Type Share'!AD39*'Future EndUse Share'!O152</f>
        <v>15699.418197875484</v>
      </c>
      <c r="C41" s="103">
        <f>'Future Type Share'!AB39*0.5*'Future EndUse Share'!AM152</f>
        <v>0</v>
      </c>
      <c r="D41" s="103">
        <f>'Future Type Share'!Z39*'Future EndUse Share'!AM152</f>
        <v>0</v>
      </c>
      <c r="E41" s="103">
        <f t="shared" si="28"/>
        <v>0</v>
      </c>
      <c r="F41" s="103">
        <v>0</v>
      </c>
      <c r="G41" s="103">
        <v>0</v>
      </c>
      <c r="I41" s="68"/>
      <c r="K41" s="103">
        <v>2038</v>
      </c>
      <c r="L41" s="62">
        <f>'Future Type Share'!AD39*'Future EndUse Share'!$M152</f>
        <v>40720.365950739484</v>
      </c>
      <c r="M41" s="103">
        <f>'Future Type Share'!AB39*0.5*'Future EndUse Share'!$AK$131</f>
        <v>0</v>
      </c>
      <c r="N41" s="103">
        <f>'Future Type Share'!Z39*'Future EndUse Share'!$AK$131</f>
        <v>0</v>
      </c>
      <c r="O41" s="62">
        <f t="shared" si="13"/>
        <v>0</v>
      </c>
      <c r="P41" s="103">
        <f t="shared" si="14"/>
        <v>0</v>
      </c>
      <c r="Q41" s="103">
        <f t="shared" si="15"/>
        <v>0</v>
      </c>
      <c r="S41" s="68"/>
      <c r="U41" s="103">
        <v>2038</v>
      </c>
      <c r="V41" s="103">
        <f t="shared" si="16"/>
        <v>0</v>
      </c>
      <c r="W41" s="103">
        <f t="shared" si="17"/>
        <v>0</v>
      </c>
      <c r="X41" s="103">
        <f t="shared" si="18"/>
        <v>0</v>
      </c>
      <c r="Y41" s="103">
        <f t="shared" si="19"/>
        <v>0</v>
      </c>
      <c r="Z41" s="103">
        <f t="shared" si="20"/>
        <v>0</v>
      </c>
      <c r="AA41" s="103">
        <f t="shared" si="21"/>
        <v>0</v>
      </c>
      <c r="AC41" s="68"/>
      <c r="AE41" s="103">
        <v>2038</v>
      </c>
      <c r="AF41" s="62">
        <f>'Future Type Share'!AD39*('Future EndUse Share'!$N152+'Future EndUse Share'!$P152+'Future EndUse Share'!$Q152)</f>
        <v>26983.375027598468</v>
      </c>
      <c r="AG41" s="62">
        <f>'Future Type Share'!AB39*0.5*('Future EndUse Share'!AL152+'Future EndUse Share'!AN152+'Future EndUse Share'!AO152)</f>
        <v>1412.858048284623</v>
      </c>
      <c r="AH41" s="62">
        <f>'Future Type Share'!Z39*('Future EndUse Share'!$AL152+'Future EndUse Share'!$AN152+'Future EndUse Share'!$AO152)</f>
        <v>17761.644035578138</v>
      </c>
      <c r="AI41" s="62">
        <f t="shared" si="22"/>
        <v>1412.858048284623</v>
      </c>
      <c r="AJ41" s="103">
        <f t="shared" si="23"/>
        <v>0</v>
      </c>
      <c r="AK41" s="103">
        <f t="shared" si="24"/>
        <v>0</v>
      </c>
      <c r="AM41" s="68"/>
      <c r="AO41" s="103">
        <v>2038</v>
      </c>
      <c r="AP41" s="62">
        <f>'Future Type Share'!AD39*('Future EndUse Share'!R152)</f>
        <v>39248.545494688675</v>
      </c>
      <c r="AQ41" s="62">
        <f>'Future Type Share'!AB39*0.5*('Future EndUse Share'!AP152)</f>
        <v>0</v>
      </c>
      <c r="AR41" s="62">
        <f>'Future Type Share'!Z39*('Future EndUse Share'!AP152)</f>
        <v>0</v>
      </c>
      <c r="AS41" s="62">
        <f t="shared" si="25"/>
        <v>0</v>
      </c>
      <c r="AT41" s="103">
        <f t="shared" si="26"/>
        <v>0</v>
      </c>
      <c r="AU41" s="103">
        <f t="shared" si="27"/>
        <v>0</v>
      </c>
    </row>
    <row r="42" spans="1:47">
      <c r="A42" s="103">
        <v>2039</v>
      </c>
      <c r="B42" s="62">
        <f>'Future Type Share'!AD40*'Future EndUse Share'!O153</f>
        <v>15694.0555493461</v>
      </c>
      <c r="C42" s="103">
        <f>'Future Type Share'!AB40*0.5*'Future EndUse Share'!AM153</f>
        <v>0</v>
      </c>
      <c r="D42" s="103">
        <f>'Future Type Share'!Z40*'Future EndUse Share'!AM153</f>
        <v>0</v>
      </c>
      <c r="E42" s="103">
        <f t="shared" si="28"/>
        <v>0</v>
      </c>
      <c r="F42" s="103">
        <v>0</v>
      </c>
      <c r="G42" s="103">
        <v>0</v>
      </c>
      <c r="I42" s="68"/>
      <c r="K42" s="103">
        <v>2039</v>
      </c>
      <c r="L42" s="62">
        <f>'Future Type Share'!AD40*'Future EndUse Share'!$M153</f>
        <v>41150.555101828642</v>
      </c>
      <c r="M42" s="103">
        <f>'Future Type Share'!AB40*0.5*'Future EndUse Share'!$AK$131</f>
        <v>0</v>
      </c>
      <c r="N42" s="103">
        <f>'Future Type Share'!Z40*'Future EndUse Share'!$AK$131</f>
        <v>0</v>
      </c>
      <c r="O42" s="62">
        <f t="shared" si="13"/>
        <v>0</v>
      </c>
      <c r="P42" s="103">
        <f t="shared" si="14"/>
        <v>0</v>
      </c>
      <c r="Q42" s="103">
        <f t="shared" si="15"/>
        <v>0</v>
      </c>
      <c r="S42" s="68"/>
      <c r="U42" s="103">
        <v>2039</v>
      </c>
      <c r="V42" s="103">
        <f t="shared" si="16"/>
        <v>0</v>
      </c>
      <c r="W42" s="103">
        <f t="shared" si="17"/>
        <v>0</v>
      </c>
      <c r="X42" s="103">
        <f t="shared" si="18"/>
        <v>0</v>
      </c>
      <c r="Y42" s="103">
        <f t="shared" si="19"/>
        <v>0</v>
      </c>
      <c r="Z42" s="103">
        <f t="shared" si="20"/>
        <v>0</v>
      </c>
      <c r="AA42" s="103">
        <f t="shared" si="21"/>
        <v>0</v>
      </c>
      <c r="AC42" s="68"/>
      <c r="AE42" s="103">
        <v>2039</v>
      </c>
      <c r="AF42" s="62">
        <f>'Future Type Share'!AD40*('Future EndUse Share'!$N153+'Future EndUse Share'!$P153+'Future EndUse Share'!$Q153)</f>
        <v>27186.552920127058</v>
      </c>
      <c r="AG42" s="62">
        <f>'Future Type Share'!AB40*0.5*('Future EndUse Share'!AL153+'Future EndUse Share'!AN153+'Future EndUse Share'!AO153)</f>
        <v>1363.4441986831516</v>
      </c>
      <c r="AH42" s="62">
        <f>'Future Type Share'!Z40*('Future EndUse Share'!$AL153+'Future EndUse Share'!$AN153+'Future EndUse Share'!$AO153)</f>
        <v>17908.315148088244</v>
      </c>
      <c r="AI42" s="62">
        <f t="shared" si="22"/>
        <v>1363.4441986831516</v>
      </c>
      <c r="AJ42" s="103">
        <f t="shared" si="23"/>
        <v>0</v>
      </c>
      <c r="AK42" s="103">
        <f t="shared" si="24"/>
        <v>0</v>
      </c>
      <c r="AM42" s="68"/>
      <c r="AO42" s="103">
        <v>2039</v>
      </c>
      <c r="AP42" s="62">
        <f>'Future Type Share'!AD40*('Future EndUse Share'!R153)</f>
        <v>39544.076974730262</v>
      </c>
      <c r="AQ42" s="62">
        <f>'Future Type Share'!AB40*0.5*('Future EndUse Share'!AP153)</f>
        <v>0</v>
      </c>
      <c r="AR42" s="62">
        <f>'Future Type Share'!Z40*('Future EndUse Share'!AP153)</f>
        <v>0</v>
      </c>
      <c r="AS42" s="62">
        <f t="shared" si="25"/>
        <v>0</v>
      </c>
      <c r="AT42" s="103">
        <f t="shared" si="26"/>
        <v>0</v>
      </c>
      <c r="AU42" s="103">
        <f t="shared" si="27"/>
        <v>0</v>
      </c>
    </row>
    <row r="43" spans="1:47">
      <c r="A43" s="103">
        <v>2040</v>
      </c>
      <c r="B43" s="62">
        <f>'Future Type Share'!AD41*'Future EndUse Share'!O154</f>
        <v>15687.001602981438</v>
      </c>
      <c r="C43" s="103">
        <f>'Future Type Share'!AB41*0.5*'Future EndUse Share'!AM154</f>
        <v>0</v>
      </c>
      <c r="D43" s="103">
        <f>'Future Type Share'!Z41*'Future EndUse Share'!AM154</f>
        <v>0</v>
      </c>
      <c r="E43" s="103">
        <f t="shared" si="28"/>
        <v>0</v>
      </c>
      <c r="F43" s="103">
        <v>0</v>
      </c>
      <c r="G43" s="103">
        <v>0</v>
      </c>
      <c r="I43" s="68"/>
      <c r="K43" s="103">
        <v>2040</v>
      </c>
      <c r="L43" s="62">
        <f>'Future Type Share'!AD41*'Future EndUse Share'!$M154</f>
        <v>41583.00424917286</v>
      </c>
      <c r="M43" s="103">
        <f>'Future Type Share'!AB41*0.5*'Future EndUse Share'!$AK$131</f>
        <v>0</v>
      </c>
      <c r="N43" s="103">
        <f>'Future Type Share'!Z41*'Future EndUse Share'!$AK$131</f>
        <v>0</v>
      </c>
      <c r="O43" s="62">
        <f t="shared" si="13"/>
        <v>0</v>
      </c>
      <c r="P43" s="103">
        <f t="shared" si="14"/>
        <v>0</v>
      </c>
      <c r="Q43" s="103">
        <f t="shared" si="15"/>
        <v>0</v>
      </c>
      <c r="S43" s="68"/>
      <c r="U43" s="103">
        <v>2040</v>
      </c>
      <c r="V43" s="103">
        <f t="shared" si="16"/>
        <v>0</v>
      </c>
      <c r="W43" s="103">
        <f t="shared" si="17"/>
        <v>0</v>
      </c>
      <c r="X43" s="103">
        <f t="shared" si="18"/>
        <v>0</v>
      </c>
      <c r="Y43" s="103">
        <f t="shared" si="19"/>
        <v>0</v>
      </c>
      <c r="Z43" s="103">
        <f t="shared" si="20"/>
        <v>0</v>
      </c>
      <c r="AA43" s="103">
        <f t="shared" si="21"/>
        <v>0</v>
      </c>
      <c r="AC43" s="68"/>
      <c r="AE43" s="103">
        <v>2040</v>
      </c>
      <c r="AF43" s="62">
        <f>'Future Type Share'!AD41*('Future EndUse Share'!$N154+'Future EndUse Share'!$P154+'Future EndUse Share'!$Q154)</f>
        <v>27390.002798856411</v>
      </c>
      <c r="AG43" s="62">
        <f>'Future Type Share'!AB41*0.5*('Future EndUse Share'!AL154+'Future EndUse Share'!AN154+'Future EndUse Share'!AO154)</f>
        <v>1313.2355842092986</v>
      </c>
      <c r="AH43" s="62">
        <f>'Future Type Share'!Z41*('Future EndUse Share'!$AL154+'Future EndUse Share'!$AN154+'Future EndUse Share'!$AO154)</f>
        <v>18055.339489430517</v>
      </c>
      <c r="AI43" s="62">
        <f t="shared" si="22"/>
        <v>1313.2355842092986</v>
      </c>
      <c r="AJ43" s="103">
        <f t="shared" si="23"/>
        <v>0</v>
      </c>
      <c r="AK43" s="103">
        <f t="shared" si="24"/>
        <v>0</v>
      </c>
      <c r="AM43" s="68"/>
      <c r="AO43" s="103">
        <v>2040</v>
      </c>
      <c r="AP43" s="62">
        <f>'Future Type Share'!AD41*('Future EndUse Share'!R154)</f>
        <v>39840.004071063864</v>
      </c>
      <c r="AQ43" s="62">
        <f>'Future Type Share'!AB41*0.5*('Future EndUse Share'!AP154)</f>
        <v>0</v>
      </c>
      <c r="AR43" s="62">
        <f>'Future Type Share'!Z41*('Future EndUse Share'!AP154)</f>
        <v>0</v>
      </c>
      <c r="AS43" s="62">
        <f t="shared" si="25"/>
        <v>0</v>
      </c>
      <c r="AT43" s="103">
        <f t="shared" si="26"/>
        <v>0</v>
      </c>
      <c r="AU43" s="103">
        <f t="shared" si="27"/>
        <v>0</v>
      </c>
    </row>
    <row r="44" spans="1:47">
      <c r="A44" s="103">
        <v>2041</v>
      </c>
      <c r="B44" s="62">
        <f>'Future Type Share'!AD42*'Future EndUse Share'!O155</f>
        <v>15678.252649878765</v>
      </c>
      <c r="C44" s="103">
        <f>'Future Type Share'!AB42*0.5*'Future EndUse Share'!AM155</f>
        <v>0</v>
      </c>
      <c r="D44" s="103">
        <f>'Future Type Share'!Z42*'Future EndUse Share'!AM155</f>
        <v>0</v>
      </c>
      <c r="E44" s="103">
        <f t="shared" si="28"/>
        <v>0</v>
      </c>
      <c r="F44" s="103">
        <v>0</v>
      </c>
      <c r="G44" s="103">
        <v>0</v>
      </c>
      <c r="I44" s="68"/>
      <c r="K44" s="103">
        <v>2041</v>
      </c>
      <c r="L44" s="62">
        <f>'Future Type Share'!AD42*'Future EndUse Share'!$M155</f>
        <v>42017.717101674876</v>
      </c>
      <c r="M44" s="103">
        <f>'Future Type Share'!AB42*0.5*'Future EndUse Share'!$AK$131</f>
        <v>0</v>
      </c>
      <c r="N44" s="103">
        <f>'Future Type Share'!Z42*'Future EndUse Share'!$AK$131</f>
        <v>0</v>
      </c>
      <c r="O44" s="62">
        <f t="shared" si="13"/>
        <v>0</v>
      </c>
      <c r="P44" s="103">
        <f t="shared" si="14"/>
        <v>0</v>
      </c>
      <c r="Q44" s="103">
        <f t="shared" si="15"/>
        <v>0</v>
      </c>
      <c r="S44" s="68"/>
      <c r="U44" s="103">
        <v>2041</v>
      </c>
      <c r="V44" s="103">
        <f t="shared" si="16"/>
        <v>0</v>
      </c>
      <c r="W44" s="103">
        <f t="shared" si="17"/>
        <v>0</v>
      </c>
      <c r="X44" s="103">
        <f t="shared" si="18"/>
        <v>0</v>
      </c>
      <c r="Y44" s="103">
        <f t="shared" si="19"/>
        <v>0</v>
      </c>
      <c r="Z44" s="103">
        <f t="shared" si="20"/>
        <v>0</v>
      </c>
      <c r="AA44" s="103">
        <f t="shared" si="21"/>
        <v>0</v>
      </c>
      <c r="AC44" s="68"/>
      <c r="AE44" s="103">
        <v>2041</v>
      </c>
      <c r="AF44" s="62">
        <f>'Future Type Share'!AD42*('Future EndUse Share'!$N155+'Future EndUse Share'!$P155+'Future EndUse Share'!$Q155)</f>
        <v>27593.724663786532</v>
      </c>
      <c r="AG44" s="62">
        <f>'Future Type Share'!AB42*0.5*('Future EndUse Share'!AL155+'Future EndUse Share'!AN155+'Future EndUse Share'!AO155)</f>
        <v>1262.2322048631204</v>
      </c>
      <c r="AH44" s="62">
        <f>'Future Type Share'!Z42*('Future EndUse Share'!$AL155+'Future EndUse Share'!$AN155+'Future EndUse Share'!$AO155)</f>
        <v>18202.717059604944</v>
      </c>
      <c r="AI44" s="62">
        <f t="shared" si="22"/>
        <v>1262.2322048631204</v>
      </c>
      <c r="AJ44" s="103">
        <f t="shared" si="23"/>
        <v>0</v>
      </c>
      <c r="AK44" s="103">
        <f t="shared" si="24"/>
        <v>0</v>
      </c>
      <c r="AM44" s="68"/>
      <c r="AO44" s="103">
        <v>2041</v>
      </c>
      <c r="AP44" s="62">
        <f>'Future Type Share'!AD42*('Future EndUse Share'!R155)</f>
        <v>40136.326783689496</v>
      </c>
      <c r="AQ44" s="62">
        <f>'Future Type Share'!AB42*0.5*('Future EndUse Share'!AP155)</f>
        <v>0</v>
      </c>
      <c r="AR44" s="62">
        <f>'Future Type Share'!Z42*('Future EndUse Share'!AP155)</f>
        <v>0</v>
      </c>
      <c r="AS44" s="62">
        <f t="shared" si="25"/>
        <v>0</v>
      </c>
      <c r="AT44" s="103">
        <f t="shared" si="26"/>
        <v>0</v>
      </c>
      <c r="AU44" s="103">
        <f t="shared" si="27"/>
        <v>0</v>
      </c>
    </row>
    <row r="45" spans="1:47">
      <c r="A45" s="103">
        <v>2042</v>
      </c>
      <c r="B45" s="62">
        <f>'Future Type Share'!AD43*'Future EndUse Share'!O156</f>
        <v>15667.804981135281</v>
      </c>
      <c r="C45" s="103">
        <f>'Future Type Share'!AB43*0.5*'Future EndUse Share'!AM156</f>
        <v>0</v>
      </c>
      <c r="D45" s="103">
        <f>'Future Type Share'!Z43*'Future EndUse Share'!AM156</f>
        <v>0</v>
      </c>
      <c r="E45" s="103">
        <f t="shared" si="28"/>
        <v>0</v>
      </c>
      <c r="F45" s="103">
        <v>0</v>
      </c>
      <c r="G45" s="103">
        <v>0</v>
      </c>
      <c r="I45" s="68"/>
      <c r="K45" s="103">
        <v>2042</v>
      </c>
      <c r="L45" s="62">
        <f>'Future Type Share'!AD43*'Future EndUse Share'!$M156</f>
        <v>42454.697368237481</v>
      </c>
      <c r="M45" s="103">
        <f>'Future Type Share'!AB43*0.5*'Future EndUse Share'!$AK$131</f>
        <v>0</v>
      </c>
      <c r="N45" s="103">
        <f>'Future Type Share'!Z43*'Future EndUse Share'!$AK$131</f>
        <v>0</v>
      </c>
      <c r="O45" s="62">
        <f t="shared" si="13"/>
        <v>0</v>
      </c>
      <c r="P45" s="103">
        <f t="shared" si="14"/>
        <v>0</v>
      </c>
      <c r="Q45" s="103">
        <f t="shared" si="15"/>
        <v>0</v>
      </c>
      <c r="S45" s="68"/>
      <c r="U45" s="103">
        <v>2042</v>
      </c>
      <c r="V45" s="103">
        <f t="shared" si="16"/>
        <v>0</v>
      </c>
      <c r="W45" s="103">
        <f t="shared" si="17"/>
        <v>0</v>
      </c>
      <c r="X45" s="103">
        <f t="shared" si="18"/>
        <v>0</v>
      </c>
      <c r="Y45" s="103">
        <f t="shared" si="19"/>
        <v>0</v>
      </c>
      <c r="Z45" s="103">
        <f t="shared" si="20"/>
        <v>0</v>
      </c>
      <c r="AA45" s="103">
        <f t="shared" si="21"/>
        <v>0</v>
      </c>
      <c r="AC45" s="68"/>
      <c r="AE45" s="103">
        <v>2042</v>
      </c>
      <c r="AF45" s="62">
        <f>'Future Type Share'!AD43*('Future EndUse Share'!$N156+'Future EndUse Share'!$P156+'Future EndUse Share'!$Q156)</f>
        <v>27797.718514917411</v>
      </c>
      <c r="AG45" s="62">
        <f>'Future Type Share'!AB43*0.5*('Future EndUse Share'!AL156+'Future EndUse Share'!AN156+'Future EndUse Share'!AO156)</f>
        <v>1210.4340606445519</v>
      </c>
      <c r="AH45" s="62">
        <f>'Future Type Share'!Z43*('Future EndUse Share'!$AL156+'Future EndUse Share'!$AN156+'Future EndUse Share'!$AO156)</f>
        <v>18350.447858611529</v>
      </c>
      <c r="AI45" s="62">
        <f t="shared" si="22"/>
        <v>1210.4340606445519</v>
      </c>
      <c r="AJ45" s="103">
        <f t="shared" si="23"/>
        <v>0</v>
      </c>
      <c r="AK45" s="103">
        <f t="shared" si="24"/>
        <v>0</v>
      </c>
      <c r="AM45" s="68"/>
      <c r="AO45" s="103">
        <v>2042</v>
      </c>
      <c r="AP45" s="62">
        <f>'Future Type Share'!AD43*('Future EndUse Share'!R156)</f>
        <v>40433.045112607142</v>
      </c>
      <c r="AQ45" s="62">
        <f>'Future Type Share'!AB43*0.5*('Future EndUse Share'!AP156)</f>
        <v>0</v>
      </c>
      <c r="AR45" s="62">
        <f>'Future Type Share'!Z43*('Future EndUse Share'!AP156)</f>
        <v>0</v>
      </c>
      <c r="AS45" s="62">
        <f t="shared" si="25"/>
        <v>0</v>
      </c>
      <c r="AT45" s="103">
        <f t="shared" si="26"/>
        <v>0</v>
      </c>
      <c r="AU45" s="103">
        <f t="shared" si="27"/>
        <v>0</v>
      </c>
    </row>
    <row r="46" spans="1:47">
      <c r="A46" s="103">
        <v>2043</v>
      </c>
      <c r="B46" s="62">
        <f>'Future Type Share'!AD44*'Future EndUse Share'!O157</f>
        <v>15655.654887848357</v>
      </c>
      <c r="C46" s="103">
        <f>'Future Type Share'!AB44*0.5*'Future EndUse Share'!AM157</f>
        <v>0</v>
      </c>
      <c r="D46" s="103">
        <f>'Future Type Share'!Z44*'Future EndUse Share'!AM157</f>
        <v>0</v>
      </c>
      <c r="E46" s="103">
        <f t="shared" si="28"/>
        <v>0</v>
      </c>
      <c r="F46" s="103">
        <v>0</v>
      </c>
      <c r="G46" s="103">
        <v>0</v>
      </c>
      <c r="I46" s="68"/>
      <c r="K46" s="103">
        <v>2043</v>
      </c>
      <c r="L46" s="62">
        <f>'Future Type Share'!AD44*'Future EndUse Share'!$M157</f>
        <v>42893.948757763275</v>
      </c>
      <c r="M46" s="103">
        <f>'Future Type Share'!AB44*0.5*'Future EndUse Share'!$AK$131</f>
        <v>0</v>
      </c>
      <c r="N46" s="103">
        <f>'Future Type Share'!Z44*'Future EndUse Share'!$AK$131</f>
        <v>0</v>
      </c>
      <c r="O46" s="62">
        <f t="shared" si="13"/>
        <v>0</v>
      </c>
      <c r="P46" s="103">
        <f t="shared" si="14"/>
        <v>0</v>
      </c>
      <c r="Q46" s="103">
        <f t="shared" si="15"/>
        <v>0</v>
      </c>
      <c r="S46" s="68"/>
      <c r="U46" s="103">
        <v>2043</v>
      </c>
      <c r="V46" s="103">
        <f t="shared" si="16"/>
        <v>0</v>
      </c>
      <c r="W46" s="103">
        <f t="shared" si="17"/>
        <v>0</v>
      </c>
      <c r="X46" s="103">
        <f t="shared" si="18"/>
        <v>0</v>
      </c>
      <c r="Y46" s="103">
        <f t="shared" si="19"/>
        <v>0</v>
      </c>
      <c r="Z46" s="103">
        <f t="shared" si="20"/>
        <v>0</v>
      </c>
      <c r="AA46" s="103">
        <f t="shared" si="21"/>
        <v>0</v>
      </c>
      <c r="AC46" s="68"/>
      <c r="AE46" s="103">
        <v>2043</v>
      </c>
      <c r="AF46" s="62">
        <f>'Future Type Share'!AD44*('Future EndUse Share'!$N157+'Future EndUse Share'!$P157+'Future EndUse Share'!$Q157)</f>
        <v>28001.984352249048</v>
      </c>
      <c r="AG46" s="62">
        <f>'Future Type Share'!AB44*0.5*('Future EndUse Share'!AL157+'Future EndUse Share'!AN157+'Future EndUse Share'!AO157)</f>
        <v>1157.8411515536584</v>
      </c>
      <c r="AH46" s="62">
        <f>'Future Type Share'!Z44*('Future EndUse Share'!$AL157+'Future EndUse Share'!$AN157+'Future EndUse Share'!$AO157)</f>
        <v>18498.53188645027</v>
      </c>
      <c r="AI46" s="62">
        <f t="shared" si="22"/>
        <v>1157.8411515536584</v>
      </c>
      <c r="AJ46" s="103">
        <f t="shared" si="23"/>
        <v>0</v>
      </c>
      <c r="AK46" s="103">
        <f t="shared" si="24"/>
        <v>0</v>
      </c>
      <c r="AM46" s="68"/>
      <c r="AO46" s="103">
        <v>2043</v>
      </c>
      <c r="AP46" s="62">
        <f>'Future Type Share'!AD44*('Future EndUse Share'!R157)</f>
        <v>40730.159057816796</v>
      </c>
      <c r="AQ46" s="62">
        <f>'Future Type Share'!AB44*0.5*('Future EndUse Share'!AP157)</f>
        <v>0</v>
      </c>
      <c r="AR46" s="62">
        <f>'Future Type Share'!Z44*('Future EndUse Share'!AP157)</f>
        <v>0</v>
      </c>
      <c r="AS46" s="62">
        <f t="shared" si="25"/>
        <v>0</v>
      </c>
      <c r="AT46" s="103">
        <f t="shared" si="26"/>
        <v>0</v>
      </c>
      <c r="AU46" s="103">
        <f t="shared" si="27"/>
        <v>0</v>
      </c>
    </row>
    <row r="47" spans="1:47">
      <c r="A47" s="103">
        <v>2044</v>
      </c>
      <c r="B47" s="62">
        <f>'Future Type Share'!AD45*'Future EndUse Share'!O158</f>
        <v>15641.79866111521</v>
      </c>
      <c r="C47" s="103">
        <f>'Future Type Share'!AB45*0.5*'Future EndUse Share'!AM158</f>
        <v>0</v>
      </c>
      <c r="D47" s="103">
        <f>'Future Type Share'!Z45*'Future EndUse Share'!AM158</f>
        <v>0</v>
      </c>
      <c r="E47" s="103">
        <f t="shared" si="28"/>
        <v>0</v>
      </c>
      <c r="F47" s="103">
        <v>0</v>
      </c>
      <c r="G47" s="103">
        <v>0</v>
      </c>
      <c r="I47" s="68"/>
      <c r="K47" s="103">
        <v>2044</v>
      </c>
      <c r="L47" s="62">
        <f>'Future Type Share'!AD45*'Future EndUse Share'!$M158</f>
        <v>43335.474979155093</v>
      </c>
      <c r="M47" s="103">
        <f>'Future Type Share'!AB45*0.5*'Future EndUse Share'!$AK$131</f>
        <v>0</v>
      </c>
      <c r="N47" s="103">
        <f>'Future Type Share'!Z45*'Future EndUse Share'!$AK$131</f>
        <v>0</v>
      </c>
      <c r="O47" s="62">
        <f t="shared" si="13"/>
        <v>0</v>
      </c>
      <c r="P47" s="103">
        <f t="shared" si="14"/>
        <v>0</v>
      </c>
      <c r="Q47" s="103">
        <f t="shared" si="15"/>
        <v>0</v>
      </c>
      <c r="S47" s="68"/>
      <c r="U47" s="103">
        <v>2044</v>
      </c>
      <c r="V47" s="103">
        <f t="shared" si="16"/>
        <v>0</v>
      </c>
      <c r="W47" s="103">
        <f t="shared" si="17"/>
        <v>0</v>
      </c>
      <c r="X47" s="103">
        <f t="shared" si="18"/>
        <v>0</v>
      </c>
      <c r="Y47" s="103">
        <f t="shared" si="19"/>
        <v>0</v>
      </c>
      <c r="Z47" s="103">
        <f t="shared" si="20"/>
        <v>0</v>
      </c>
      <c r="AA47" s="103">
        <f t="shared" si="21"/>
        <v>0</v>
      </c>
      <c r="AC47" s="68"/>
      <c r="AE47" s="103">
        <v>2044</v>
      </c>
      <c r="AF47" s="62">
        <f>'Future Type Share'!AD45*('Future EndUse Share'!$N158+'Future EndUse Share'!$P158+'Future EndUse Share'!$Q158)</f>
        <v>28206.522175781454</v>
      </c>
      <c r="AG47" s="62">
        <f>'Future Type Share'!AB45*0.5*('Future EndUse Share'!AL158+'Future EndUse Share'!AN158+'Future EndUse Share'!AO158)</f>
        <v>1104.4534775903912</v>
      </c>
      <c r="AH47" s="62">
        <f>'Future Type Share'!Z45*('Future EndUse Share'!$AL158+'Future EndUse Share'!$AN158+'Future EndUse Share'!$AO158)</f>
        <v>18646.969143121176</v>
      </c>
      <c r="AI47" s="62">
        <f t="shared" si="22"/>
        <v>1104.4534775903912</v>
      </c>
      <c r="AJ47" s="103">
        <f t="shared" si="23"/>
        <v>0</v>
      </c>
      <c r="AK47" s="103">
        <f t="shared" si="24"/>
        <v>0</v>
      </c>
      <c r="AM47" s="68"/>
      <c r="AO47" s="103">
        <v>2044</v>
      </c>
      <c r="AP47" s="62">
        <f>'Future Type Share'!AD45*('Future EndUse Share'!R158)</f>
        <v>41027.668619318472</v>
      </c>
      <c r="AQ47" s="62">
        <f>'Future Type Share'!AB45*0.5*('Future EndUse Share'!AP158)</f>
        <v>0</v>
      </c>
      <c r="AR47" s="62">
        <f>'Future Type Share'!Z45*('Future EndUse Share'!AP158)</f>
        <v>0</v>
      </c>
      <c r="AS47" s="62">
        <f t="shared" si="25"/>
        <v>0</v>
      </c>
      <c r="AT47" s="103">
        <f t="shared" si="26"/>
        <v>0</v>
      </c>
      <c r="AU47" s="103">
        <f t="shared" si="27"/>
        <v>0</v>
      </c>
    </row>
    <row r="48" spans="1:47">
      <c r="A48" s="103">
        <v>2045</v>
      </c>
      <c r="B48" s="62">
        <f>'Future Type Share'!AD46*'Future EndUse Share'!O159</f>
        <v>15626.232592033097</v>
      </c>
      <c r="C48" s="103">
        <f>'Future Type Share'!AB46*0.5*'Future EndUse Share'!AM159</f>
        <v>0</v>
      </c>
      <c r="D48" s="103">
        <f>'Future Type Share'!Z46*'Future EndUse Share'!AM159</f>
        <v>0</v>
      </c>
      <c r="E48" s="103">
        <f t="shared" si="28"/>
        <v>0</v>
      </c>
      <c r="F48" s="103">
        <v>0</v>
      </c>
      <c r="G48" s="103">
        <v>0</v>
      </c>
      <c r="I48" s="68"/>
      <c r="K48" s="103">
        <v>2045</v>
      </c>
      <c r="L48" s="62">
        <f>'Future Type Share'!AD46*'Future EndUse Share'!$M159</f>
        <v>43779.279741315644</v>
      </c>
      <c r="M48" s="103">
        <f>'Future Type Share'!AB46*0.5*'Future EndUse Share'!$AK$131</f>
        <v>0</v>
      </c>
      <c r="N48" s="103">
        <f>'Future Type Share'!Z46*'Future EndUse Share'!$AK$131</f>
        <v>0</v>
      </c>
      <c r="O48" s="62">
        <f t="shared" si="13"/>
        <v>0</v>
      </c>
      <c r="P48" s="103">
        <f t="shared" si="14"/>
        <v>0</v>
      </c>
      <c r="Q48" s="103">
        <f t="shared" si="15"/>
        <v>0</v>
      </c>
      <c r="S48" s="68"/>
      <c r="U48" s="103">
        <v>2045</v>
      </c>
      <c r="V48" s="103">
        <f t="shared" si="16"/>
        <v>0</v>
      </c>
      <c r="W48" s="103">
        <f t="shared" si="17"/>
        <v>0</v>
      </c>
      <c r="X48" s="103">
        <f t="shared" si="18"/>
        <v>0</v>
      </c>
      <c r="Y48" s="103">
        <f t="shared" si="19"/>
        <v>0</v>
      </c>
      <c r="Z48" s="103">
        <f t="shared" si="20"/>
        <v>0</v>
      </c>
      <c r="AA48" s="103">
        <f t="shared" si="21"/>
        <v>0</v>
      </c>
      <c r="AC48" s="68"/>
      <c r="AE48" s="103">
        <v>2045</v>
      </c>
      <c r="AF48" s="62">
        <f>'Future Type Share'!AD46*('Future EndUse Share'!$N159+'Future EndUse Share'!$P159+'Future EndUse Share'!$Q159)</f>
        <v>28411.331985514622</v>
      </c>
      <c r="AG48" s="62">
        <f>'Future Type Share'!AB46*0.5*('Future EndUse Share'!AL159+'Future EndUse Share'!AN159+'Future EndUse Share'!AO159)</f>
        <v>1050.2710387547661</v>
      </c>
      <c r="AH48" s="62">
        <f>'Future Type Share'!Z46*('Future EndUse Share'!$AL159+'Future EndUse Share'!$AN159+'Future EndUse Share'!$AO159)</f>
        <v>18795.759628624237</v>
      </c>
      <c r="AI48" s="62">
        <f t="shared" si="22"/>
        <v>1050.2710387547661</v>
      </c>
      <c r="AJ48" s="103">
        <f t="shared" si="23"/>
        <v>0</v>
      </c>
      <c r="AK48" s="103">
        <f t="shared" si="24"/>
        <v>0</v>
      </c>
      <c r="AM48" s="68"/>
      <c r="AO48" s="103">
        <v>2045</v>
      </c>
      <c r="AP48" s="62">
        <f>'Future Type Share'!AD46*('Future EndUse Share'!R159)</f>
        <v>41325.573797112171</v>
      </c>
      <c r="AQ48" s="62">
        <f>'Future Type Share'!AB46*0.5*('Future EndUse Share'!AP159)</f>
        <v>0</v>
      </c>
      <c r="AR48" s="62">
        <f>'Future Type Share'!Z46*('Future EndUse Share'!AP159)</f>
        <v>0</v>
      </c>
      <c r="AS48" s="62">
        <f t="shared" si="25"/>
        <v>0</v>
      </c>
      <c r="AT48" s="103">
        <f t="shared" si="26"/>
        <v>0</v>
      </c>
      <c r="AU48" s="103">
        <f t="shared" si="27"/>
        <v>0</v>
      </c>
    </row>
    <row r="49" spans="1:47">
      <c r="A49" s="103">
        <v>2046</v>
      </c>
      <c r="B49" s="62">
        <f>'Future Type Share'!AD47*'Future EndUse Share'!O160</f>
        <v>15608.952971699218</v>
      </c>
      <c r="C49" s="103">
        <f>'Future Type Share'!AB47*0.5*'Future EndUse Share'!AM160</f>
        <v>0</v>
      </c>
      <c r="D49" s="103">
        <f>'Future Type Share'!Z47*'Future EndUse Share'!AM160</f>
        <v>0</v>
      </c>
      <c r="E49" s="103">
        <f t="shared" si="28"/>
        <v>0</v>
      </c>
      <c r="F49" s="103">
        <v>0</v>
      </c>
      <c r="G49" s="103">
        <v>0</v>
      </c>
      <c r="I49" s="68"/>
      <c r="K49" s="103">
        <v>2046</v>
      </c>
      <c r="L49" s="62">
        <f>'Future Type Share'!AD47*'Future EndUse Share'!$M160</f>
        <v>44225.366753147726</v>
      </c>
      <c r="M49" s="103">
        <f>'Future Type Share'!AB47*0.5*'Future EndUse Share'!$AK$131</f>
        <v>0</v>
      </c>
      <c r="N49" s="103">
        <f>'Future Type Share'!Z47*'Future EndUse Share'!$AK$131</f>
        <v>0</v>
      </c>
      <c r="O49" s="62">
        <f t="shared" si="13"/>
        <v>0</v>
      </c>
      <c r="P49" s="103">
        <f t="shared" si="14"/>
        <v>0</v>
      </c>
      <c r="Q49" s="103">
        <f t="shared" si="15"/>
        <v>0</v>
      </c>
      <c r="S49" s="68"/>
      <c r="U49" s="103">
        <v>2046</v>
      </c>
      <c r="V49" s="103">
        <f t="shared" si="16"/>
        <v>0</v>
      </c>
      <c r="W49" s="103">
        <f t="shared" si="17"/>
        <v>0</v>
      </c>
      <c r="X49" s="103">
        <f t="shared" si="18"/>
        <v>0</v>
      </c>
      <c r="Y49" s="103">
        <f t="shared" si="19"/>
        <v>0</v>
      </c>
      <c r="Z49" s="103">
        <f t="shared" si="20"/>
        <v>0</v>
      </c>
      <c r="AA49" s="103">
        <f t="shared" si="21"/>
        <v>0</v>
      </c>
      <c r="AC49" s="68"/>
      <c r="AE49" s="103">
        <v>2046</v>
      </c>
      <c r="AF49" s="62">
        <f>'Future Type Share'!AD47*('Future EndUse Share'!$N160+'Future EndUse Share'!$P160+'Future EndUse Share'!$Q160)</f>
        <v>28616.413781448544</v>
      </c>
      <c r="AG49" s="62">
        <f>'Future Type Share'!AB47*0.5*('Future EndUse Share'!AL160+'Future EndUse Share'!AN160+'Future EndUse Share'!AO160)</f>
        <v>995.29383504678322</v>
      </c>
      <c r="AH49" s="62">
        <f>'Future Type Share'!Z47*('Future EndUse Share'!$AL160+'Future EndUse Share'!$AN160+'Future EndUse Share'!$AO160)</f>
        <v>18944.903342959464</v>
      </c>
      <c r="AI49" s="62">
        <f t="shared" si="22"/>
        <v>995.29383504678322</v>
      </c>
      <c r="AJ49" s="103">
        <f t="shared" si="23"/>
        <v>0</v>
      </c>
      <c r="AK49" s="103">
        <f t="shared" si="24"/>
        <v>0</v>
      </c>
      <c r="AM49" s="68"/>
      <c r="AO49" s="103">
        <v>2046</v>
      </c>
      <c r="AP49" s="62">
        <f>'Future Type Share'!AD47*('Future EndUse Share'!R160)</f>
        <v>41623.874591197877</v>
      </c>
      <c r="AQ49" s="62">
        <f>'Future Type Share'!AB47*0.5*('Future EndUse Share'!AP160)</f>
        <v>0</v>
      </c>
      <c r="AR49" s="62">
        <f>'Future Type Share'!Z47*('Future EndUse Share'!AP160)</f>
        <v>0</v>
      </c>
      <c r="AS49" s="62">
        <f t="shared" si="25"/>
        <v>0</v>
      </c>
      <c r="AT49" s="103">
        <f t="shared" si="26"/>
        <v>0</v>
      </c>
      <c r="AU49" s="103">
        <f t="shared" si="27"/>
        <v>0</v>
      </c>
    </row>
    <row r="50" spans="1:47">
      <c r="A50" s="103">
        <v>2047</v>
      </c>
      <c r="B50" s="62">
        <f>'Future Type Share'!AD48*'Future EndUse Share'!O161</f>
        <v>15589.956091210965</v>
      </c>
      <c r="C50" s="103">
        <f>'Future Type Share'!AB48*0.5*'Future EndUse Share'!AM161</f>
        <v>0</v>
      </c>
      <c r="D50" s="103">
        <f>'Future Type Share'!Z48*'Future EndUse Share'!AM161</f>
        <v>0</v>
      </c>
      <c r="E50" s="103">
        <f t="shared" si="28"/>
        <v>0</v>
      </c>
      <c r="F50" s="103">
        <v>0</v>
      </c>
      <c r="G50" s="103">
        <v>0</v>
      </c>
      <c r="I50" s="68"/>
      <c r="K50" s="103">
        <v>2047</v>
      </c>
      <c r="L50" s="62">
        <f>'Future Type Share'!AD48*'Future EndUse Share'!$M161</f>
        <v>44673.739723553997</v>
      </c>
      <c r="M50" s="103">
        <f>'Future Type Share'!AB48*0.5*'Future EndUse Share'!$AK$131</f>
        <v>0</v>
      </c>
      <c r="N50" s="103">
        <f>'Future Type Share'!Z48*'Future EndUse Share'!$AK$131</f>
        <v>0</v>
      </c>
      <c r="O50" s="62">
        <f t="shared" si="13"/>
        <v>0</v>
      </c>
      <c r="P50" s="103">
        <f t="shared" si="14"/>
        <v>0</v>
      </c>
      <c r="Q50" s="103">
        <f t="shared" si="15"/>
        <v>0</v>
      </c>
      <c r="S50" s="68"/>
      <c r="U50" s="103">
        <v>2047</v>
      </c>
      <c r="V50" s="103">
        <f t="shared" si="16"/>
        <v>0</v>
      </c>
      <c r="W50" s="103">
        <f t="shared" si="17"/>
        <v>0</v>
      </c>
      <c r="X50" s="103">
        <f t="shared" si="18"/>
        <v>0</v>
      </c>
      <c r="Y50" s="103">
        <f t="shared" si="19"/>
        <v>0</v>
      </c>
      <c r="Z50" s="103">
        <f t="shared" si="20"/>
        <v>0</v>
      </c>
      <c r="AA50" s="103">
        <f t="shared" si="21"/>
        <v>0</v>
      </c>
      <c r="AC50" s="68"/>
      <c r="AE50" s="103">
        <v>2047</v>
      </c>
      <c r="AF50" s="62">
        <f>'Future Type Share'!AD48*('Future EndUse Share'!$N161+'Future EndUse Share'!$P161+'Future EndUse Share'!$Q161)</f>
        <v>28821.767563583246</v>
      </c>
      <c r="AG50" s="62">
        <f>'Future Type Share'!AB48*0.5*('Future EndUse Share'!AL161+'Future EndUse Share'!AN161+'Future EndUse Share'!AO161)</f>
        <v>939.52186646643463</v>
      </c>
      <c r="AH50" s="62">
        <f>'Future Type Share'!Z48*('Future EndUse Share'!$AL161+'Future EndUse Share'!$AN161+'Future EndUse Share'!$AO161)</f>
        <v>19094.400286126845</v>
      </c>
      <c r="AI50" s="62">
        <f t="shared" si="22"/>
        <v>939.52186646643463</v>
      </c>
      <c r="AJ50" s="103">
        <f t="shared" si="23"/>
        <v>0</v>
      </c>
      <c r="AK50" s="103">
        <f t="shared" si="24"/>
        <v>0</v>
      </c>
      <c r="AM50" s="68"/>
      <c r="AO50" s="103">
        <v>2047</v>
      </c>
      <c r="AP50" s="62">
        <f>'Future Type Share'!AD48*('Future EndUse Share'!R161)</f>
        <v>41922.571001575627</v>
      </c>
      <c r="AQ50" s="62">
        <f>'Future Type Share'!AB48*0.5*('Future EndUse Share'!AP161)</f>
        <v>0</v>
      </c>
      <c r="AR50" s="62">
        <f>'Future Type Share'!Z48*('Future EndUse Share'!AP161)</f>
        <v>0</v>
      </c>
      <c r="AS50" s="62">
        <f t="shared" si="25"/>
        <v>0</v>
      </c>
      <c r="AT50" s="103">
        <f t="shared" si="26"/>
        <v>0</v>
      </c>
      <c r="AU50" s="103">
        <f t="shared" si="27"/>
        <v>0</v>
      </c>
    </row>
    <row r="51" spans="1:47">
      <c r="A51" s="103">
        <v>2048</v>
      </c>
      <c r="B51" s="62">
        <f>'Future Type Share'!AD49*'Future EndUse Share'!O162</f>
        <v>15569.238241665524</v>
      </c>
      <c r="C51" s="103">
        <f>'Future Type Share'!AB49*0.5*'Future EndUse Share'!AM162</f>
        <v>0</v>
      </c>
      <c r="D51" s="103">
        <f>'Future Type Share'!Z49*'Future EndUse Share'!AM162</f>
        <v>0</v>
      </c>
      <c r="E51" s="103">
        <f t="shared" si="28"/>
        <v>0</v>
      </c>
      <c r="F51" s="103">
        <v>0</v>
      </c>
      <c r="G51" s="103">
        <v>0</v>
      </c>
      <c r="I51" s="68"/>
      <c r="K51" s="103">
        <v>2048</v>
      </c>
      <c r="L51" s="62">
        <f>'Future Type Share'!AD49*'Future EndUse Share'!$M162</f>
        <v>45124.402361437191</v>
      </c>
      <c r="M51" s="103">
        <f>'Future Type Share'!AB49*0.5*'Future EndUse Share'!$AK$131</f>
        <v>0</v>
      </c>
      <c r="N51" s="103">
        <f>'Future Type Share'!Z49*'Future EndUse Share'!$AK$131</f>
        <v>0</v>
      </c>
      <c r="O51" s="62">
        <f t="shared" si="13"/>
        <v>0</v>
      </c>
      <c r="P51" s="103">
        <f t="shared" si="14"/>
        <v>0</v>
      </c>
      <c r="Q51" s="103">
        <f t="shared" si="15"/>
        <v>0</v>
      </c>
      <c r="S51" s="68"/>
      <c r="U51" s="103">
        <v>2048</v>
      </c>
      <c r="V51" s="103">
        <f t="shared" si="16"/>
        <v>0</v>
      </c>
      <c r="W51" s="103">
        <f t="shared" si="17"/>
        <v>0</v>
      </c>
      <c r="X51" s="103">
        <f t="shared" si="18"/>
        <v>0</v>
      </c>
      <c r="Y51" s="103">
        <f t="shared" si="19"/>
        <v>0</v>
      </c>
      <c r="Z51" s="103">
        <f t="shared" si="20"/>
        <v>0</v>
      </c>
      <c r="AA51" s="103">
        <f t="shared" si="21"/>
        <v>0</v>
      </c>
      <c r="AC51" s="68"/>
      <c r="AE51" s="103">
        <v>2048</v>
      </c>
      <c r="AF51" s="62">
        <f>'Future Type Share'!AD49*('Future EndUse Share'!$N162+'Future EndUse Share'!$P162+'Future EndUse Share'!$Q162)</f>
        <v>29027.393331918698</v>
      </c>
      <c r="AG51" s="62">
        <f>'Future Type Share'!AB49*0.5*('Future EndUse Share'!AL162+'Future EndUse Share'!AN162+'Future EndUse Share'!AO162)</f>
        <v>882.9551330137449</v>
      </c>
      <c r="AH51" s="62">
        <f>'Future Type Share'!Z49*('Future EndUse Share'!$AL162+'Future EndUse Share'!$AN162+'Future EndUse Share'!$AO162)</f>
        <v>19244.250458126382</v>
      </c>
      <c r="AI51" s="62">
        <f t="shared" si="22"/>
        <v>882.9551330137449</v>
      </c>
      <c r="AJ51" s="103">
        <f t="shared" si="23"/>
        <v>0</v>
      </c>
      <c r="AK51" s="103">
        <f t="shared" si="24"/>
        <v>0</v>
      </c>
      <c r="AM51" s="68"/>
      <c r="AO51" s="103">
        <v>2048</v>
      </c>
      <c r="AP51" s="62">
        <f>'Future Type Share'!AD49*('Future EndUse Share'!R162)</f>
        <v>42221.663028245377</v>
      </c>
      <c r="AQ51" s="62">
        <f>'Future Type Share'!AB49*0.5*('Future EndUse Share'!AP162)</f>
        <v>0</v>
      </c>
      <c r="AR51" s="62">
        <f>'Future Type Share'!Z49*('Future EndUse Share'!AP162)</f>
        <v>0</v>
      </c>
      <c r="AS51" s="62">
        <f t="shared" si="25"/>
        <v>0</v>
      </c>
      <c r="AT51" s="103">
        <f t="shared" si="26"/>
        <v>0</v>
      </c>
      <c r="AU51" s="103">
        <f t="shared" si="27"/>
        <v>0</v>
      </c>
    </row>
    <row r="52" spans="1:47">
      <c r="A52" s="103">
        <v>2049</v>
      </c>
      <c r="B52" s="62">
        <f>'Future Type Share'!AD50*'Future EndUse Share'!O163</f>
        <v>15546.795714160166</v>
      </c>
      <c r="C52" s="103">
        <f>'Future Type Share'!AB50*0.5*'Future EndUse Share'!AM163</f>
        <v>0</v>
      </c>
      <c r="D52" s="103">
        <f>'Future Type Share'!Z50*'Future EndUse Share'!AM163</f>
        <v>0</v>
      </c>
      <c r="E52" s="103">
        <f t="shared" si="28"/>
        <v>0</v>
      </c>
      <c r="F52" s="103">
        <v>0</v>
      </c>
      <c r="G52" s="103">
        <v>0</v>
      </c>
      <c r="I52" s="68"/>
      <c r="K52" s="103">
        <v>2049</v>
      </c>
      <c r="L52" s="62">
        <f>'Future Type Share'!AD50*'Future EndUse Share'!$M163</f>
        <v>45577.358375700082</v>
      </c>
      <c r="M52" s="103">
        <f>'Future Type Share'!AB50*0.5*'Future EndUse Share'!$AK$131</f>
        <v>0</v>
      </c>
      <c r="N52" s="103">
        <f>'Future Type Share'!Z50*'Future EndUse Share'!$AK$131</f>
        <v>0</v>
      </c>
      <c r="O52" s="62">
        <f t="shared" si="13"/>
        <v>0</v>
      </c>
      <c r="P52" s="103">
        <f t="shared" si="14"/>
        <v>0</v>
      </c>
      <c r="Q52" s="103">
        <f t="shared" si="15"/>
        <v>0</v>
      </c>
      <c r="S52" s="68"/>
      <c r="U52" s="103">
        <v>2049</v>
      </c>
      <c r="V52" s="103">
        <f t="shared" si="16"/>
        <v>0</v>
      </c>
      <c r="W52" s="103">
        <f t="shared" si="17"/>
        <v>0</v>
      </c>
      <c r="X52" s="103">
        <f t="shared" si="18"/>
        <v>0</v>
      </c>
      <c r="Y52" s="103">
        <f t="shared" si="19"/>
        <v>0</v>
      </c>
      <c r="Z52" s="103">
        <f t="shared" si="20"/>
        <v>0</v>
      </c>
      <c r="AA52" s="103">
        <f t="shared" si="21"/>
        <v>0</v>
      </c>
      <c r="AC52" s="68"/>
      <c r="AE52" s="103">
        <v>2049</v>
      </c>
      <c r="AF52" s="62">
        <f>'Future Type Share'!AD50*('Future EndUse Share'!$N163+'Future EndUse Share'!$P163+'Future EndUse Share'!$Q163)</f>
        <v>29233.291086454909</v>
      </c>
      <c r="AG52" s="62">
        <f>'Future Type Share'!AB50*0.5*('Future EndUse Share'!AL163+'Future EndUse Share'!AN163+'Future EndUse Share'!AO163)</f>
        <v>825.59363468869776</v>
      </c>
      <c r="AH52" s="62">
        <f>'Future Type Share'!Z50*('Future EndUse Share'!$AL163+'Future EndUse Share'!$AN163+'Future EndUse Share'!$AO163)</f>
        <v>19394.453858958077</v>
      </c>
      <c r="AI52" s="62">
        <f t="shared" si="22"/>
        <v>825.59363468869776</v>
      </c>
      <c r="AJ52" s="103">
        <f t="shared" si="23"/>
        <v>0</v>
      </c>
      <c r="AK52" s="103">
        <f t="shared" si="24"/>
        <v>0</v>
      </c>
      <c r="AM52" s="68"/>
      <c r="AO52" s="103">
        <v>2049</v>
      </c>
      <c r="AP52" s="62">
        <f>'Future Type Share'!AD50*('Future EndUse Share'!R163)</f>
        <v>42521.150671207135</v>
      </c>
      <c r="AQ52" s="62">
        <f>'Future Type Share'!AB50*0.5*('Future EndUse Share'!AP163)</f>
        <v>0</v>
      </c>
      <c r="AR52" s="62">
        <f>'Future Type Share'!Z50*('Future EndUse Share'!AP163)</f>
        <v>0</v>
      </c>
      <c r="AS52" s="62">
        <f t="shared" si="25"/>
        <v>0</v>
      </c>
      <c r="AT52" s="103">
        <f t="shared" si="26"/>
        <v>0</v>
      </c>
      <c r="AU52" s="103">
        <f t="shared" si="27"/>
        <v>0</v>
      </c>
    </row>
    <row r="53" spans="1:47">
      <c r="A53" s="103">
        <v>2050</v>
      </c>
      <c r="B53" s="62">
        <f>'Future Type Share'!AD51*'Future EndUse Share'!O164</f>
        <v>15522.624799792162</v>
      </c>
      <c r="C53" s="103">
        <f>'Future Type Share'!AB51*0.5*'Future EndUse Share'!AM164</f>
        <v>0</v>
      </c>
      <c r="D53" s="103">
        <f>'Future Type Share'!Z51*'Future EndUse Share'!AM164</f>
        <v>0</v>
      </c>
      <c r="E53" s="103">
        <f t="shared" si="28"/>
        <v>0</v>
      </c>
      <c r="F53" s="103">
        <v>0</v>
      </c>
      <c r="G53" s="103">
        <v>0</v>
      </c>
      <c r="I53" s="68"/>
      <c r="K53" s="103">
        <v>2050</v>
      </c>
      <c r="L53" s="62">
        <f>'Future Type Share'!AD51*'Future EndUse Share'!$M164</f>
        <v>46032.611475245423</v>
      </c>
      <c r="M53" s="103">
        <f>'Future Type Share'!AB51*0.5*'Future EndUse Share'!$AK$131</f>
        <v>0</v>
      </c>
      <c r="N53" s="103">
        <f>'Future Type Share'!Z51*'Future EndUse Share'!$AK$131</f>
        <v>0</v>
      </c>
      <c r="O53" s="62">
        <f t="shared" si="13"/>
        <v>0</v>
      </c>
      <c r="P53" s="103">
        <f t="shared" si="14"/>
        <v>0</v>
      </c>
      <c r="Q53" s="103">
        <f t="shared" si="15"/>
        <v>0</v>
      </c>
      <c r="S53" s="68"/>
      <c r="U53" s="103">
        <v>2050</v>
      </c>
      <c r="V53" s="103">
        <f t="shared" si="16"/>
        <v>0</v>
      </c>
      <c r="W53" s="103">
        <f t="shared" si="17"/>
        <v>0</v>
      </c>
      <c r="X53" s="103">
        <f t="shared" si="18"/>
        <v>0</v>
      </c>
      <c r="Y53" s="103">
        <f t="shared" si="19"/>
        <v>0</v>
      </c>
      <c r="Z53" s="103">
        <f t="shared" si="20"/>
        <v>0</v>
      </c>
      <c r="AA53" s="103">
        <f t="shared" si="21"/>
        <v>0</v>
      </c>
      <c r="AC53" s="68"/>
      <c r="AE53" s="103">
        <v>2050</v>
      </c>
      <c r="AF53" s="62">
        <f>'Future Type Share'!AD51*('Future EndUse Share'!$N164+'Future EndUse Share'!$P164+'Future EndUse Share'!$Q164)</f>
        <v>29439.460827191895</v>
      </c>
      <c r="AG53" s="62">
        <f>'Future Type Share'!AB51*0.5*('Future EndUse Share'!AL164+'Future EndUse Share'!AN164+'Future EndUse Share'!AO164)</f>
        <v>767.43737149127605</v>
      </c>
      <c r="AH53" s="62">
        <f>'Future Type Share'!Z51*('Future EndUse Share'!$AL164+'Future EndUse Share'!$AN164+'Future EndUse Share'!$AO164)</f>
        <v>19545.010488621934</v>
      </c>
      <c r="AI53" s="62">
        <f t="shared" si="22"/>
        <v>767.43737149127605</v>
      </c>
      <c r="AJ53" s="103">
        <f t="shared" si="23"/>
        <v>0</v>
      </c>
      <c r="AK53" s="103">
        <f t="shared" si="24"/>
        <v>0</v>
      </c>
      <c r="AM53" s="68"/>
      <c r="AO53" s="103">
        <v>2050</v>
      </c>
      <c r="AP53" s="62">
        <f>'Future Type Share'!AD51*('Future EndUse Share'!R164)</f>
        <v>42821.03393046093</v>
      </c>
      <c r="AQ53" s="62">
        <f>'Future Type Share'!AB51*0.5*('Future EndUse Share'!AP164)</f>
        <v>0</v>
      </c>
      <c r="AR53" s="62">
        <f>'Future Type Share'!Z51*('Future EndUse Share'!AP164)</f>
        <v>0</v>
      </c>
      <c r="AS53" s="62">
        <f t="shared" si="25"/>
        <v>0</v>
      </c>
      <c r="AT53" s="103">
        <f t="shared" si="26"/>
        <v>0</v>
      </c>
      <c r="AU53" s="103">
        <f t="shared" si="27"/>
        <v>0</v>
      </c>
    </row>
  </sheetData>
  <phoneticPr fontId="3" type="noConversion"/>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U55"/>
  <sheetViews>
    <sheetView zoomScale="85" workbookViewId="0">
      <selection activeCell="J13" sqref="J13"/>
    </sheetView>
  </sheetViews>
  <sheetFormatPr defaultColWidth="8.7109375" defaultRowHeight="15"/>
  <cols>
    <col min="1" max="1" width="5.85546875" style="103" customWidth="1"/>
    <col min="2" max="2" width="17.7109375" style="103" customWidth="1"/>
    <col min="3" max="10" width="8.7109375" style="103"/>
    <col min="11" max="11" width="7.42578125" style="103" customWidth="1"/>
    <col min="12" max="16384" width="8.7109375" style="103"/>
  </cols>
  <sheetData>
    <row r="1" spans="1:47" ht="21">
      <c r="A1" s="121" t="s">
        <v>672</v>
      </c>
    </row>
    <row r="2" spans="1:47" ht="21">
      <c r="A2" s="121"/>
      <c r="C2" s="103" t="s">
        <v>766</v>
      </c>
    </row>
    <row r="3" spans="1:47" s="64" customFormat="1">
      <c r="A3" s="174" t="s">
        <v>28</v>
      </c>
    </row>
    <row r="4" spans="1:47">
      <c r="B4" s="103" t="s">
        <v>0</v>
      </c>
      <c r="C4" s="103">
        <v>2006</v>
      </c>
      <c r="D4" s="103">
        <v>2007</v>
      </c>
      <c r="E4" s="103">
        <v>2008</v>
      </c>
      <c r="F4" s="103">
        <v>2009</v>
      </c>
      <c r="G4" s="103">
        <v>2010</v>
      </c>
      <c r="H4" s="103">
        <v>2011</v>
      </c>
      <c r="I4" s="103">
        <v>2012</v>
      </c>
      <c r="J4" s="103">
        <v>2013</v>
      </c>
      <c r="K4" s="103">
        <v>2014</v>
      </c>
      <c r="L4" s="103">
        <v>2015</v>
      </c>
      <c r="M4" s="103">
        <v>2016</v>
      </c>
      <c r="N4" s="103">
        <v>2017</v>
      </c>
      <c r="O4" s="103">
        <v>2018</v>
      </c>
      <c r="P4" s="103">
        <v>2019</v>
      </c>
      <c r="Q4" s="103">
        <v>2020</v>
      </c>
      <c r="R4" s="103">
        <v>2021</v>
      </c>
      <c r="S4" s="103">
        <v>2022</v>
      </c>
      <c r="T4" s="103">
        <v>2023</v>
      </c>
      <c r="U4" s="103">
        <v>2024</v>
      </c>
      <c r="V4" s="103">
        <v>2025</v>
      </c>
      <c r="W4" s="103">
        <v>2026</v>
      </c>
      <c r="X4" s="103">
        <v>2027</v>
      </c>
      <c r="Y4" s="103">
        <v>2028</v>
      </c>
      <c r="Z4" s="103">
        <v>2029</v>
      </c>
      <c r="AA4" s="103">
        <v>2030</v>
      </c>
      <c r="AB4" s="103">
        <v>2031</v>
      </c>
      <c r="AC4" s="103">
        <v>2032</v>
      </c>
      <c r="AD4" s="103">
        <v>2033</v>
      </c>
      <c r="AE4" s="103">
        <v>2034</v>
      </c>
      <c r="AF4" s="103">
        <v>2035</v>
      </c>
      <c r="AG4" s="103">
        <v>2036</v>
      </c>
      <c r="AH4" s="103">
        <v>2037</v>
      </c>
      <c r="AI4" s="103">
        <v>2038</v>
      </c>
      <c r="AJ4" s="103">
        <v>2039</v>
      </c>
      <c r="AK4" s="103">
        <v>2040</v>
      </c>
      <c r="AL4" s="103">
        <v>2041</v>
      </c>
      <c r="AM4" s="103">
        <v>2042</v>
      </c>
      <c r="AN4" s="103">
        <v>2043</v>
      </c>
      <c r="AO4" s="103">
        <v>2044</v>
      </c>
      <c r="AP4" s="103">
        <v>2045</v>
      </c>
      <c r="AQ4" s="103">
        <v>2046</v>
      </c>
      <c r="AR4" s="103">
        <v>2047</v>
      </c>
      <c r="AS4" s="103">
        <v>2048</v>
      </c>
      <c r="AT4" s="103">
        <v>2049</v>
      </c>
      <c r="AU4" s="103">
        <v>2050</v>
      </c>
    </row>
    <row r="5" spans="1:47">
      <c r="B5" s="103" t="s">
        <v>558</v>
      </c>
      <c r="C5" s="103">
        <f t="array" ref="C5:AU10">TRANSPOSE(Commercial_1!B9:G53)</f>
        <v>15863.890000000001</v>
      </c>
      <c r="D5" s="103">
        <v>15765.233333333337</v>
      </c>
      <c r="E5" s="103">
        <v>15666.57666666669</v>
      </c>
      <c r="F5" s="103">
        <v>15567.920000000013</v>
      </c>
      <c r="G5" s="103">
        <v>15469.263333333336</v>
      </c>
      <c r="H5" s="103">
        <v>15370.606666666688</v>
      </c>
      <c r="I5" s="103">
        <v>15271.949999999999</v>
      </c>
      <c r="J5" s="103">
        <v>16236.800000000001</v>
      </c>
      <c r="K5" s="103">
        <v>15394.05</v>
      </c>
      <c r="L5" s="103">
        <v>15553.949999999999</v>
      </c>
      <c r="M5" s="103">
        <v>15582.15</v>
      </c>
      <c r="N5" s="103">
        <v>15625.748506238702</v>
      </c>
      <c r="O5" s="103">
        <v>15588.31474661525</v>
      </c>
      <c r="P5" s="103">
        <v>15550.053176130206</v>
      </c>
      <c r="Q5" s="103">
        <v>15510.962090693123</v>
      </c>
      <c r="R5" s="103">
        <v>15535.408580830594</v>
      </c>
      <c r="S5" s="103">
        <v>15558.23053338202</v>
      </c>
      <c r="T5" s="103">
        <v>15579.424239444757</v>
      </c>
      <c r="U5" s="103">
        <v>15598.985990116022</v>
      </c>
      <c r="V5" s="103">
        <v>15616.912076493072</v>
      </c>
      <c r="W5" s="103">
        <v>15633.198789673121</v>
      </c>
      <c r="X5" s="103">
        <v>15647.842420753532</v>
      </c>
      <c r="Y5" s="103">
        <v>15660.839260831517</v>
      </c>
      <c r="Z5" s="103">
        <v>15672.185601004336</v>
      </c>
      <c r="AA5" s="103">
        <v>15681.877732369212</v>
      </c>
      <c r="AB5" s="103">
        <v>15689.911946023492</v>
      </c>
      <c r="AC5" s="103">
        <v>15696.284533064396</v>
      </c>
      <c r="AD5" s="103">
        <v>15700.991784589192</v>
      </c>
      <c r="AE5" s="103">
        <v>15704.029991695077</v>
      </c>
      <c r="AF5" s="103">
        <v>15705.395445479429</v>
      </c>
      <c r="AG5" s="103">
        <v>15705.084437039419</v>
      </c>
      <c r="AH5" s="103">
        <v>15703.093257472377</v>
      </c>
      <c r="AI5" s="103">
        <v>15699.418197875484</v>
      </c>
      <c r="AJ5" s="103">
        <v>15694.0555493461</v>
      </c>
      <c r="AK5" s="103">
        <v>15687.001602981438</v>
      </c>
      <c r="AL5" s="103">
        <v>15678.252649878765</v>
      </c>
      <c r="AM5" s="103">
        <v>15667.804981135281</v>
      </c>
      <c r="AN5" s="103">
        <v>15655.654887848357</v>
      </c>
      <c r="AO5" s="103">
        <v>15641.79866111521</v>
      </c>
      <c r="AP5" s="103">
        <v>15626.232592033097</v>
      </c>
      <c r="AQ5" s="103">
        <v>15608.952971699218</v>
      </c>
      <c r="AR5" s="103">
        <v>15589.956091210965</v>
      </c>
      <c r="AS5" s="103">
        <v>15569.238241665524</v>
      </c>
      <c r="AT5" s="103">
        <v>15546.795714160166</v>
      </c>
      <c r="AU5" s="103">
        <v>15522.624799792162</v>
      </c>
    </row>
    <row r="6" spans="1:47">
      <c r="B6" s="103" t="s">
        <v>559</v>
      </c>
      <c r="C6" s="103">
        <v>0</v>
      </c>
      <c r="D6" s="103">
        <v>0</v>
      </c>
      <c r="E6" s="103">
        <v>0</v>
      </c>
      <c r="F6" s="103">
        <v>0</v>
      </c>
      <c r="G6" s="103">
        <v>0</v>
      </c>
      <c r="H6" s="103">
        <v>0</v>
      </c>
      <c r="I6" s="103">
        <v>0</v>
      </c>
      <c r="J6" s="103">
        <v>0</v>
      </c>
      <c r="K6" s="103">
        <v>0</v>
      </c>
      <c r="L6" s="103">
        <v>0</v>
      </c>
      <c r="M6" s="103">
        <v>0</v>
      </c>
      <c r="N6" s="103">
        <v>0</v>
      </c>
      <c r="O6" s="103">
        <v>0</v>
      </c>
      <c r="P6" s="103">
        <v>0</v>
      </c>
      <c r="Q6" s="103">
        <v>0</v>
      </c>
      <c r="R6" s="103">
        <v>0</v>
      </c>
      <c r="S6" s="103">
        <v>0</v>
      </c>
      <c r="T6" s="103">
        <v>0</v>
      </c>
      <c r="U6" s="103">
        <v>0</v>
      </c>
      <c r="V6" s="103">
        <v>0</v>
      </c>
      <c r="W6" s="103">
        <v>0</v>
      </c>
      <c r="X6" s="103">
        <v>0</v>
      </c>
      <c r="Y6" s="103">
        <v>0</v>
      </c>
      <c r="Z6" s="103">
        <v>0</v>
      </c>
      <c r="AA6" s="103">
        <v>0</v>
      </c>
      <c r="AB6" s="103">
        <v>0</v>
      </c>
      <c r="AC6" s="103">
        <v>0</v>
      </c>
      <c r="AD6" s="103">
        <v>0</v>
      </c>
      <c r="AE6" s="103">
        <v>0</v>
      </c>
      <c r="AF6" s="103">
        <v>0</v>
      </c>
      <c r="AG6" s="103">
        <v>0</v>
      </c>
      <c r="AH6" s="103">
        <v>0</v>
      </c>
      <c r="AI6" s="103">
        <v>0</v>
      </c>
      <c r="AJ6" s="103">
        <v>0</v>
      </c>
      <c r="AK6" s="103">
        <v>0</v>
      </c>
      <c r="AL6" s="103">
        <v>0</v>
      </c>
      <c r="AM6" s="103">
        <v>0</v>
      </c>
      <c r="AN6" s="103">
        <v>0</v>
      </c>
      <c r="AO6" s="103">
        <v>0</v>
      </c>
      <c r="AP6" s="103">
        <v>0</v>
      </c>
      <c r="AQ6" s="103">
        <v>0</v>
      </c>
      <c r="AR6" s="103">
        <v>0</v>
      </c>
      <c r="AS6" s="103">
        <v>0</v>
      </c>
      <c r="AT6" s="103">
        <v>0</v>
      </c>
      <c r="AU6" s="103">
        <v>0</v>
      </c>
    </row>
    <row r="7" spans="1:47">
      <c r="B7" s="103" t="s">
        <v>560</v>
      </c>
      <c r="C7" s="103">
        <v>0</v>
      </c>
      <c r="D7" s="103">
        <v>0</v>
      </c>
      <c r="E7" s="103">
        <v>0</v>
      </c>
      <c r="F7" s="103">
        <v>0</v>
      </c>
      <c r="G7" s="103">
        <v>0</v>
      </c>
      <c r="H7" s="103">
        <v>0</v>
      </c>
      <c r="I7" s="103">
        <v>0</v>
      </c>
      <c r="J7" s="103">
        <v>0</v>
      </c>
      <c r="K7" s="103">
        <v>0</v>
      </c>
      <c r="L7" s="103">
        <v>0</v>
      </c>
      <c r="M7" s="103">
        <v>0</v>
      </c>
      <c r="N7" s="103">
        <v>0</v>
      </c>
      <c r="O7" s="103">
        <v>0</v>
      </c>
      <c r="P7" s="103">
        <v>0</v>
      </c>
      <c r="Q7" s="103">
        <v>0</v>
      </c>
      <c r="R7" s="103">
        <v>0</v>
      </c>
      <c r="S7" s="103">
        <v>0</v>
      </c>
      <c r="T7" s="103">
        <v>0</v>
      </c>
      <c r="U7" s="103">
        <v>0</v>
      </c>
      <c r="V7" s="103">
        <v>0</v>
      </c>
      <c r="W7" s="103">
        <v>0</v>
      </c>
      <c r="X7" s="103">
        <v>0</v>
      </c>
      <c r="Y7" s="103">
        <v>0</v>
      </c>
      <c r="Z7" s="103">
        <v>0</v>
      </c>
      <c r="AA7" s="103">
        <v>0</v>
      </c>
      <c r="AB7" s="103">
        <v>0</v>
      </c>
      <c r="AC7" s="103">
        <v>0</v>
      </c>
      <c r="AD7" s="103">
        <v>0</v>
      </c>
      <c r="AE7" s="103">
        <v>0</v>
      </c>
      <c r="AF7" s="103">
        <v>0</v>
      </c>
      <c r="AG7" s="103">
        <v>0</v>
      </c>
      <c r="AH7" s="103">
        <v>0</v>
      </c>
      <c r="AI7" s="103">
        <v>0</v>
      </c>
      <c r="AJ7" s="103">
        <v>0</v>
      </c>
      <c r="AK7" s="103">
        <v>0</v>
      </c>
      <c r="AL7" s="103">
        <v>0</v>
      </c>
      <c r="AM7" s="103">
        <v>0</v>
      </c>
      <c r="AN7" s="103">
        <v>0</v>
      </c>
      <c r="AO7" s="103">
        <v>0</v>
      </c>
      <c r="AP7" s="103">
        <v>0</v>
      </c>
      <c r="AQ7" s="103">
        <v>0</v>
      </c>
      <c r="AR7" s="103">
        <v>0</v>
      </c>
      <c r="AS7" s="103">
        <v>0</v>
      </c>
      <c r="AT7" s="103">
        <v>0</v>
      </c>
      <c r="AU7" s="103">
        <v>0</v>
      </c>
    </row>
    <row r="8" spans="1:47">
      <c r="B8" s="103" t="s">
        <v>561</v>
      </c>
      <c r="C8" s="103">
        <v>0</v>
      </c>
      <c r="D8" s="103">
        <v>0</v>
      </c>
      <c r="E8" s="103">
        <v>0</v>
      </c>
      <c r="F8" s="103">
        <v>0</v>
      </c>
      <c r="G8" s="103">
        <v>0</v>
      </c>
      <c r="H8" s="103">
        <v>0</v>
      </c>
      <c r="I8" s="103">
        <v>0</v>
      </c>
      <c r="J8" s="103">
        <v>0</v>
      </c>
      <c r="K8" s="103">
        <v>0</v>
      </c>
      <c r="L8" s="103">
        <v>0</v>
      </c>
      <c r="M8" s="103">
        <v>0</v>
      </c>
      <c r="N8" s="103">
        <v>0</v>
      </c>
      <c r="O8" s="103">
        <v>0</v>
      </c>
      <c r="P8" s="103">
        <v>0</v>
      </c>
      <c r="Q8" s="103">
        <v>0</v>
      </c>
      <c r="R8" s="103">
        <v>0</v>
      </c>
      <c r="S8" s="103">
        <v>0</v>
      </c>
      <c r="T8" s="103">
        <v>0</v>
      </c>
      <c r="U8" s="103">
        <v>0</v>
      </c>
      <c r="V8" s="103">
        <v>0</v>
      </c>
      <c r="W8" s="103">
        <v>0</v>
      </c>
      <c r="X8" s="103">
        <v>0</v>
      </c>
      <c r="Y8" s="103">
        <v>0</v>
      </c>
      <c r="Z8" s="103">
        <v>0</v>
      </c>
      <c r="AA8" s="103">
        <v>0</v>
      </c>
      <c r="AB8" s="103">
        <v>0</v>
      </c>
      <c r="AC8" s="103">
        <v>0</v>
      </c>
      <c r="AD8" s="103">
        <v>0</v>
      </c>
      <c r="AE8" s="103">
        <v>0</v>
      </c>
      <c r="AF8" s="103">
        <v>0</v>
      </c>
      <c r="AG8" s="103">
        <v>0</v>
      </c>
      <c r="AH8" s="103">
        <v>0</v>
      </c>
      <c r="AI8" s="103">
        <v>0</v>
      </c>
      <c r="AJ8" s="103">
        <v>0</v>
      </c>
      <c r="AK8" s="103">
        <v>0</v>
      </c>
      <c r="AL8" s="103">
        <v>0</v>
      </c>
      <c r="AM8" s="103">
        <v>0</v>
      </c>
      <c r="AN8" s="103">
        <v>0</v>
      </c>
      <c r="AO8" s="103">
        <v>0</v>
      </c>
      <c r="AP8" s="103">
        <v>0</v>
      </c>
      <c r="AQ8" s="103">
        <v>0</v>
      </c>
      <c r="AR8" s="103">
        <v>0</v>
      </c>
      <c r="AS8" s="103">
        <v>0</v>
      </c>
      <c r="AT8" s="103">
        <v>0</v>
      </c>
      <c r="AU8" s="103">
        <v>0</v>
      </c>
    </row>
    <row r="9" spans="1:47">
      <c r="B9" s="103" t="s">
        <v>562</v>
      </c>
      <c r="C9" s="103">
        <v>0</v>
      </c>
      <c r="D9" s="103">
        <v>0</v>
      </c>
      <c r="E9" s="103">
        <v>0</v>
      </c>
      <c r="F9" s="103">
        <v>0</v>
      </c>
      <c r="G9" s="103">
        <v>0</v>
      </c>
      <c r="H9" s="103">
        <v>0</v>
      </c>
      <c r="I9" s="103">
        <v>0</v>
      </c>
      <c r="J9" s="103">
        <v>0</v>
      </c>
      <c r="K9" s="103">
        <v>0</v>
      </c>
      <c r="L9" s="103">
        <v>0</v>
      </c>
      <c r="M9" s="103">
        <v>0</v>
      </c>
      <c r="N9" s="103">
        <v>0</v>
      </c>
      <c r="O9" s="103">
        <v>0</v>
      </c>
      <c r="P9" s="103">
        <v>0</v>
      </c>
      <c r="Q9" s="103">
        <v>0</v>
      </c>
      <c r="R9" s="103">
        <v>0</v>
      </c>
      <c r="S9" s="103">
        <v>0</v>
      </c>
      <c r="T9" s="103">
        <v>0</v>
      </c>
      <c r="U9" s="103">
        <v>0</v>
      </c>
      <c r="V9" s="103">
        <v>0</v>
      </c>
      <c r="W9" s="103">
        <v>0</v>
      </c>
      <c r="X9" s="103">
        <v>0</v>
      </c>
      <c r="Y9" s="103">
        <v>0</v>
      </c>
      <c r="Z9" s="103">
        <v>0</v>
      </c>
      <c r="AA9" s="103">
        <v>0</v>
      </c>
      <c r="AB9" s="103">
        <v>0</v>
      </c>
      <c r="AC9" s="103">
        <v>0</v>
      </c>
      <c r="AD9" s="103">
        <v>0</v>
      </c>
      <c r="AE9" s="103">
        <v>0</v>
      </c>
      <c r="AF9" s="103">
        <v>0</v>
      </c>
      <c r="AG9" s="103">
        <v>0</v>
      </c>
      <c r="AH9" s="103">
        <v>0</v>
      </c>
      <c r="AI9" s="103">
        <v>0</v>
      </c>
      <c r="AJ9" s="103">
        <v>0</v>
      </c>
      <c r="AK9" s="103">
        <v>0</v>
      </c>
      <c r="AL9" s="103">
        <v>0</v>
      </c>
      <c r="AM9" s="103">
        <v>0</v>
      </c>
      <c r="AN9" s="103">
        <v>0</v>
      </c>
      <c r="AO9" s="103">
        <v>0</v>
      </c>
      <c r="AP9" s="103">
        <v>0</v>
      </c>
      <c r="AQ9" s="103">
        <v>0</v>
      </c>
      <c r="AR9" s="103">
        <v>0</v>
      </c>
      <c r="AS9" s="103">
        <v>0</v>
      </c>
      <c r="AT9" s="103">
        <v>0</v>
      </c>
      <c r="AU9" s="103">
        <v>0</v>
      </c>
    </row>
    <row r="10" spans="1:47">
      <c r="B10" s="103" t="s">
        <v>563</v>
      </c>
      <c r="C10" s="103">
        <v>0</v>
      </c>
      <c r="D10" s="103">
        <v>0</v>
      </c>
      <c r="E10" s="103">
        <v>0</v>
      </c>
      <c r="F10" s="103">
        <v>0</v>
      </c>
      <c r="G10" s="103">
        <v>0</v>
      </c>
      <c r="H10" s="103">
        <v>0</v>
      </c>
      <c r="I10" s="103">
        <v>0</v>
      </c>
      <c r="J10" s="103">
        <v>0</v>
      </c>
      <c r="K10" s="103">
        <v>0</v>
      </c>
      <c r="L10" s="103">
        <v>0</v>
      </c>
      <c r="M10" s="103">
        <v>0</v>
      </c>
      <c r="N10" s="103">
        <v>0</v>
      </c>
      <c r="O10" s="103">
        <v>0</v>
      </c>
      <c r="P10" s="103">
        <v>0</v>
      </c>
      <c r="Q10" s="103">
        <v>0</v>
      </c>
      <c r="R10" s="103">
        <v>0</v>
      </c>
      <c r="S10" s="103">
        <v>0</v>
      </c>
      <c r="T10" s="103">
        <v>0</v>
      </c>
      <c r="U10" s="103">
        <v>0</v>
      </c>
      <c r="V10" s="103">
        <v>0</v>
      </c>
      <c r="W10" s="103">
        <v>0</v>
      </c>
      <c r="X10" s="103">
        <v>0</v>
      </c>
      <c r="Y10" s="103">
        <v>0</v>
      </c>
      <c r="Z10" s="103">
        <v>0</v>
      </c>
      <c r="AA10" s="103">
        <v>0</v>
      </c>
      <c r="AB10" s="103">
        <v>0</v>
      </c>
      <c r="AC10" s="103">
        <v>0</v>
      </c>
      <c r="AD10" s="103">
        <v>0</v>
      </c>
      <c r="AE10" s="103">
        <v>0</v>
      </c>
      <c r="AF10" s="103">
        <v>0</v>
      </c>
      <c r="AG10" s="103">
        <v>0</v>
      </c>
      <c r="AH10" s="103">
        <v>0</v>
      </c>
      <c r="AI10" s="103">
        <v>0</v>
      </c>
      <c r="AJ10" s="103">
        <v>0</v>
      </c>
      <c r="AK10" s="103">
        <v>0</v>
      </c>
      <c r="AL10" s="103">
        <v>0</v>
      </c>
      <c r="AM10" s="103">
        <v>0</v>
      </c>
      <c r="AN10" s="103">
        <v>0</v>
      </c>
      <c r="AO10" s="103">
        <v>0</v>
      </c>
      <c r="AP10" s="103">
        <v>0</v>
      </c>
      <c r="AQ10" s="103">
        <v>0</v>
      </c>
      <c r="AR10" s="103">
        <v>0</v>
      </c>
      <c r="AS10" s="103">
        <v>0</v>
      </c>
      <c r="AT10" s="103">
        <v>0</v>
      </c>
      <c r="AU10" s="103">
        <v>0</v>
      </c>
    </row>
    <row r="12" spans="1:47" s="64" customFormat="1">
      <c r="A12" s="124" t="s">
        <v>87</v>
      </c>
    </row>
    <row r="13" spans="1:47">
      <c r="B13" s="103" t="s">
        <v>0</v>
      </c>
      <c r="C13" s="103">
        <v>2006</v>
      </c>
      <c r="D13" s="103">
        <v>2007</v>
      </c>
      <c r="E13" s="103">
        <v>2008</v>
      </c>
      <c r="F13" s="103">
        <v>2009</v>
      </c>
      <c r="G13" s="103">
        <v>2010</v>
      </c>
      <c r="H13" s="103">
        <v>2011</v>
      </c>
      <c r="I13" s="103">
        <v>2012</v>
      </c>
      <c r="J13" s="103">
        <v>2013</v>
      </c>
      <c r="K13" s="103">
        <v>2014</v>
      </c>
      <c r="L13" s="103">
        <v>2015</v>
      </c>
      <c r="M13" s="103">
        <v>2016</v>
      </c>
      <c r="N13" s="103">
        <v>2017</v>
      </c>
      <c r="O13" s="103">
        <v>2018</v>
      </c>
      <c r="P13" s="103">
        <v>2019</v>
      </c>
      <c r="Q13" s="103">
        <v>2020</v>
      </c>
      <c r="R13" s="103">
        <v>2021</v>
      </c>
      <c r="S13" s="103">
        <v>2022</v>
      </c>
      <c r="T13" s="103">
        <v>2023</v>
      </c>
      <c r="U13" s="103">
        <v>2024</v>
      </c>
      <c r="V13" s="103">
        <v>2025</v>
      </c>
      <c r="W13" s="103">
        <v>2026</v>
      </c>
      <c r="X13" s="103">
        <v>2027</v>
      </c>
      <c r="Y13" s="103">
        <v>2028</v>
      </c>
      <c r="Z13" s="103">
        <v>2029</v>
      </c>
      <c r="AA13" s="103">
        <v>2030</v>
      </c>
      <c r="AB13" s="103">
        <v>2031</v>
      </c>
      <c r="AC13" s="103">
        <v>2032</v>
      </c>
      <c r="AD13" s="103">
        <v>2033</v>
      </c>
      <c r="AE13" s="103">
        <v>2034</v>
      </c>
      <c r="AF13" s="103">
        <v>2035</v>
      </c>
      <c r="AG13" s="103">
        <v>2036</v>
      </c>
      <c r="AH13" s="103">
        <v>2037</v>
      </c>
      <c r="AI13" s="103">
        <v>2038</v>
      </c>
      <c r="AJ13" s="103">
        <v>2039</v>
      </c>
      <c r="AK13" s="103">
        <v>2040</v>
      </c>
      <c r="AL13" s="103">
        <v>2041</v>
      </c>
      <c r="AM13" s="103">
        <v>2042</v>
      </c>
      <c r="AN13" s="103">
        <v>2043</v>
      </c>
      <c r="AO13" s="103">
        <v>2044</v>
      </c>
      <c r="AP13" s="103">
        <v>2045</v>
      </c>
      <c r="AQ13" s="103">
        <v>2046</v>
      </c>
      <c r="AR13" s="103">
        <v>2047</v>
      </c>
      <c r="AS13" s="103">
        <v>2048</v>
      </c>
      <c r="AT13" s="103">
        <v>2049</v>
      </c>
      <c r="AU13" s="103">
        <v>2050</v>
      </c>
    </row>
    <row r="14" spans="1:47">
      <c r="B14" s="103" t="s">
        <v>558</v>
      </c>
      <c r="C14" s="103">
        <f t="array" ref="C14:AU19">TRANSPOSE(Commercial_1!L9:Q53)</f>
        <v>30794.61</v>
      </c>
      <c r="D14" s="103">
        <v>30752.824999999983</v>
      </c>
      <c r="E14" s="103">
        <v>30711.039999999994</v>
      </c>
      <c r="F14" s="103">
        <v>30669.25499999999</v>
      </c>
      <c r="G14" s="103">
        <v>30627.469999999987</v>
      </c>
      <c r="H14" s="103">
        <v>30585.684999999983</v>
      </c>
      <c r="I14" s="103">
        <v>30543.899999999998</v>
      </c>
      <c r="J14" s="103">
        <v>30444</v>
      </c>
      <c r="K14" s="103">
        <v>31814.37</v>
      </c>
      <c r="L14" s="103">
        <v>30070.969999999998</v>
      </c>
      <c r="M14" s="103">
        <v>30125.489999999998</v>
      </c>
      <c r="N14" s="103">
        <v>32614.817351947742</v>
      </c>
      <c r="O14" s="103">
        <v>32861.852709080747</v>
      </c>
      <c r="P14" s="103">
        <v>33109.977170943821</v>
      </c>
      <c r="Q14" s="103">
        <v>33359.192441627551</v>
      </c>
      <c r="R14" s="103">
        <v>33749.335882493884</v>
      </c>
      <c r="S14" s="103">
        <v>34141.672559366052</v>
      </c>
      <c r="T14" s="103">
        <v>34536.206181146685</v>
      </c>
      <c r="U14" s="103">
        <v>34932.940456738565</v>
      </c>
      <c r="V14" s="103">
        <v>35331.879095044438</v>
      </c>
      <c r="W14" s="103">
        <v>35733.025804967088</v>
      </c>
      <c r="X14" s="103">
        <v>36136.384295409145</v>
      </c>
      <c r="Y14" s="103">
        <v>36541.958275273406</v>
      </c>
      <c r="Z14" s="103">
        <v>36949.751453462603</v>
      </c>
      <c r="AA14" s="103">
        <v>37359.767538879547</v>
      </c>
      <c r="AB14" s="103">
        <v>37772.010240426833</v>
      </c>
      <c r="AC14" s="103">
        <v>38186.483267007265</v>
      </c>
      <c r="AD14" s="103">
        <v>38603.190327523618</v>
      </c>
      <c r="AE14" s="103">
        <v>39022.135130878625</v>
      </c>
      <c r="AF14" s="103">
        <v>39443.321385974959</v>
      </c>
      <c r="AG14" s="103">
        <v>39866.752801715302</v>
      </c>
      <c r="AH14" s="103">
        <v>40292.433087002566</v>
      </c>
      <c r="AI14" s="103">
        <v>40720.365950739484</v>
      </c>
      <c r="AJ14" s="103">
        <v>41150.555101828642</v>
      </c>
      <c r="AK14" s="103">
        <v>41583.00424917286</v>
      </c>
      <c r="AL14" s="103">
        <v>42017.717101674876</v>
      </c>
      <c r="AM14" s="103">
        <v>42454.697368237481</v>
      </c>
      <c r="AN14" s="103">
        <v>42893.948757763275</v>
      </c>
      <c r="AO14" s="103">
        <v>43335.474979155093</v>
      </c>
      <c r="AP14" s="103">
        <v>43779.279741315644</v>
      </c>
      <c r="AQ14" s="103">
        <v>44225.366753147726</v>
      </c>
      <c r="AR14" s="103">
        <v>44673.739723553997</v>
      </c>
      <c r="AS14" s="103">
        <v>45124.402361437191</v>
      </c>
      <c r="AT14" s="103">
        <v>45577.358375700082</v>
      </c>
      <c r="AU14" s="103">
        <v>46032.611475245423</v>
      </c>
    </row>
    <row r="15" spans="1:47">
      <c r="B15" s="103" t="s">
        <v>559</v>
      </c>
      <c r="C15" s="103">
        <v>0</v>
      </c>
      <c r="D15" s="103">
        <v>0</v>
      </c>
      <c r="E15" s="103">
        <v>0</v>
      </c>
      <c r="F15" s="103">
        <v>0</v>
      </c>
      <c r="G15" s="103">
        <v>0</v>
      </c>
      <c r="H15" s="103">
        <v>0</v>
      </c>
      <c r="I15" s="103">
        <v>0</v>
      </c>
      <c r="J15" s="103">
        <v>0</v>
      </c>
      <c r="K15" s="103">
        <v>0</v>
      </c>
      <c r="L15" s="103">
        <v>0</v>
      </c>
      <c r="M15" s="103">
        <v>0</v>
      </c>
      <c r="N15" s="103">
        <v>0</v>
      </c>
      <c r="O15" s="103">
        <v>0</v>
      </c>
      <c r="P15" s="103">
        <v>0</v>
      </c>
      <c r="Q15" s="103">
        <v>0</v>
      </c>
      <c r="R15" s="103">
        <v>0</v>
      </c>
      <c r="S15" s="103">
        <v>0</v>
      </c>
      <c r="T15" s="103">
        <v>0</v>
      </c>
      <c r="U15" s="103">
        <v>0</v>
      </c>
      <c r="V15" s="103">
        <v>0</v>
      </c>
      <c r="W15" s="103">
        <v>0</v>
      </c>
      <c r="X15" s="103">
        <v>0</v>
      </c>
      <c r="Y15" s="103">
        <v>0</v>
      </c>
      <c r="Z15" s="103">
        <v>0</v>
      </c>
      <c r="AA15" s="103">
        <v>0</v>
      </c>
      <c r="AB15" s="103">
        <v>0</v>
      </c>
      <c r="AC15" s="103">
        <v>0</v>
      </c>
      <c r="AD15" s="103">
        <v>0</v>
      </c>
      <c r="AE15" s="103">
        <v>0</v>
      </c>
      <c r="AF15" s="103">
        <v>0</v>
      </c>
      <c r="AG15" s="103">
        <v>0</v>
      </c>
      <c r="AH15" s="103">
        <v>0</v>
      </c>
      <c r="AI15" s="103">
        <v>0</v>
      </c>
      <c r="AJ15" s="103">
        <v>0</v>
      </c>
      <c r="AK15" s="103">
        <v>0</v>
      </c>
      <c r="AL15" s="103">
        <v>0</v>
      </c>
      <c r="AM15" s="103">
        <v>0</v>
      </c>
      <c r="AN15" s="103">
        <v>0</v>
      </c>
      <c r="AO15" s="103">
        <v>0</v>
      </c>
      <c r="AP15" s="103">
        <v>0</v>
      </c>
      <c r="AQ15" s="103">
        <v>0</v>
      </c>
      <c r="AR15" s="103">
        <v>0</v>
      </c>
      <c r="AS15" s="103">
        <v>0</v>
      </c>
      <c r="AT15" s="103">
        <v>0</v>
      </c>
      <c r="AU15" s="103">
        <v>0</v>
      </c>
    </row>
    <row r="16" spans="1:47">
      <c r="B16" s="103" t="s">
        <v>560</v>
      </c>
      <c r="C16" s="103">
        <v>0</v>
      </c>
      <c r="D16" s="103">
        <v>0</v>
      </c>
      <c r="E16" s="103">
        <v>0</v>
      </c>
      <c r="F16" s="103">
        <v>0</v>
      </c>
      <c r="G16" s="103">
        <v>0</v>
      </c>
      <c r="H16" s="103">
        <v>0</v>
      </c>
      <c r="I16" s="103">
        <v>0</v>
      </c>
      <c r="J16" s="103">
        <v>0</v>
      </c>
      <c r="K16" s="103">
        <v>0</v>
      </c>
      <c r="L16" s="103">
        <v>0</v>
      </c>
      <c r="M16" s="103">
        <v>0</v>
      </c>
      <c r="N16" s="103">
        <v>0</v>
      </c>
      <c r="O16" s="103">
        <v>0</v>
      </c>
      <c r="P16" s="103">
        <v>0</v>
      </c>
      <c r="Q16" s="103">
        <v>0</v>
      </c>
      <c r="R16" s="103">
        <v>0</v>
      </c>
      <c r="S16" s="103">
        <v>0</v>
      </c>
      <c r="T16" s="103">
        <v>0</v>
      </c>
      <c r="U16" s="103">
        <v>0</v>
      </c>
      <c r="V16" s="103">
        <v>0</v>
      </c>
      <c r="W16" s="103">
        <v>0</v>
      </c>
      <c r="X16" s="103">
        <v>0</v>
      </c>
      <c r="Y16" s="103">
        <v>0</v>
      </c>
      <c r="Z16" s="103">
        <v>0</v>
      </c>
      <c r="AA16" s="103">
        <v>0</v>
      </c>
      <c r="AB16" s="103">
        <v>0</v>
      </c>
      <c r="AC16" s="103">
        <v>0</v>
      </c>
      <c r="AD16" s="103">
        <v>0</v>
      </c>
      <c r="AE16" s="103">
        <v>0</v>
      </c>
      <c r="AF16" s="103">
        <v>0</v>
      </c>
      <c r="AG16" s="103">
        <v>0</v>
      </c>
      <c r="AH16" s="103">
        <v>0</v>
      </c>
      <c r="AI16" s="103">
        <v>0</v>
      </c>
      <c r="AJ16" s="103">
        <v>0</v>
      </c>
      <c r="AK16" s="103">
        <v>0</v>
      </c>
      <c r="AL16" s="103">
        <v>0</v>
      </c>
      <c r="AM16" s="103">
        <v>0</v>
      </c>
      <c r="AN16" s="103">
        <v>0</v>
      </c>
      <c r="AO16" s="103">
        <v>0</v>
      </c>
      <c r="AP16" s="103">
        <v>0</v>
      </c>
      <c r="AQ16" s="103">
        <v>0</v>
      </c>
      <c r="AR16" s="103">
        <v>0</v>
      </c>
      <c r="AS16" s="103">
        <v>0</v>
      </c>
      <c r="AT16" s="103">
        <v>0</v>
      </c>
      <c r="AU16" s="103">
        <v>0</v>
      </c>
    </row>
    <row r="17" spans="1:47">
      <c r="B17" s="103" t="s">
        <v>561</v>
      </c>
      <c r="C17" s="103">
        <v>0</v>
      </c>
      <c r="D17" s="103">
        <v>0</v>
      </c>
      <c r="E17" s="103">
        <v>0</v>
      </c>
      <c r="F17" s="103">
        <v>0</v>
      </c>
      <c r="G17" s="103">
        <v>0</v>
      </c>
      <c r="H17" s="103">
        <v>0</v>
      </c>
      <c r="I17" s="103">
        <v>0</v>
      </c>
      <c r="J17" s="103">
        <v>0</v>
      </c>
      <c r="K17" s="103">
        <v>0</v>
      </c>
      <c r="L17" s="103">
        <v>0</v>
      </c>
      <c r="M17" s="103">
        <v>0</v>
      </c>
      <c r="N17" s="103">
        <v>0</v>
      </c>
      <c r="O17" s="103">
        <v>0</v>
      </c>
      <c r="P17" s="103">
        <v>0</v>
      </c>
      <c r="Q17" s="103">
        <v>0</v>
      </c>
      <c r="R17" s="103">
        <v>0</v>
      </c>
      <c r="S17" s="103">
        <v>0</v>
      </c>
      <c r="T17" s="103">
        <v>0</v>
      </c>
      <c r="U17" s="103">
        <v>0</v>
      </c>
      <c r="V17" s="103">
        <v>0</v>
      </c>
      <c r="W17" s="103">
        <v>0</v>
      </c>
      <c r="X17" s="103">
        <v>0</v>
      </c>
      <c r="Y17" s="103">
        <v>0</v>
      </c>
      <c r="Z17" s="103">
        <v>0</v>
      </c>
      <c r="AA17" s="103">
        <v>0</v>
      </c>
      <c r="AB17" s="103">
        <v>0</v>
      </c>
      <c r="AC17" s="103">
        <v>0</v>
      </c>
      <c r="AD17" s="103">
        <v>0</v>
      </c>
      <c r="AE17" s="103">
        <v>0</v>
      </c>
      <c r="AF17" s="103">
        <v>0</v>
      </c>
      <c r="AG17" s="103">
        <v>0</v>
      </c>
      <c r="AH17" s="103">
        <v>0</v>
      </c>
      <c r="AI17" s="103">
        <v>0</v>
      </c>
      <c r="AJ17" s="103">
        <v>0</v>
      </c>
      <c r="AK17" s="103">
        <v>0</v>
      </c>
      <c r="AL17" s="103">
        <v>0</v>
      </c>
      <c r="AM17" s="103">
        <v>0</v>
      </c>
      <c r="AN17" s="103">
        <v>0</v>
      </c>
      <c r="AO17" s="103">
        <v>0</v>
      </c>
      <c r="AP17" s="103">
        <v>0</v>
      </c>
      <c r="AQ17" s="103">
        <v>0</v>
      </c>
      <c r="AR17" s="103">
        <v>0</v>
      </c>
      <c r="AS17" s="103">
        <v>0</v>
      </c>
      <c r="AT17" s="103">
        <v>0</v>
      </c>
      <c r="AU17" s="103">
        <v>0</v>
      </c>
    </row>
    <row r="18" spans="1:47">
      <c r="B18" s="103" t="s">
        <v>562</v>
      </c>
      <c r="C18" s="103">
        <v>0</v>
      </c>
      <c r="D18" s="103">
        <v>0</v>
      </c>
      <c r="E18" s="103">
        <v>0</v>
      </c>
      <c r="F18" s="103">
        <v>0</v>
      </c>
      <c r="G18" s="103">
        <v>0</v>
      </c>
      <c r="H18" s="103">
        <v>0</v>
      </c>
      <c r="I18" s="103">
        <v>0</v>
      </c>
      <c r="J18" s="103">
        <v>0</v>
      </c>
      <c r="K18" s="103">
        <v>0</v>
      </c>
      <c r="L18" s="103">
        <v>0</v>
      </c>
      <c r="M18" s="103">
        <v>0</v>
      </c>
      <c r="N18" s="103">
        <v>0</v>
      </c>
      <c r="O18" s="103">
        <v>0</v>
      </c>
      <c r="P18" s="103">
        <v>0</v>
      </c>
      <c r="Q18" s="103">
        <v>0</v>
      </c>
      <c r="R18" s="103">
        <v>0</v>
      </c>
      <c r="S18" s="103">
        <v>0</v>
      </c>
      <c r="T18" s="103">
        <v>0</v>
      </c>
      <c r="U18" s="103">
        <v>0</v>
      </c>
      <c r="V18" s="103">
        <v>0</v>
      </c>
      <c r="W18" s="103">
        <v>0</v>
      </c>
      <c r="X18" s="103">
        <v>0</v>
      </c>
      <c r="Y18" s="103">
        <v>0</v>
      </c>
      <c r="Z18" s="103">
        <v>0</v>
      </c>
      <c r="AA18" s="103">
        <v>0</v>
      </c>
      <c r="AB18" s="103">
        <v>0</v>
      </c>
      <c r="AC18" s="103">
        <v>0</v>
      </c>
      <c r="AD18" s="103">
        <v>0</v>
      </c>
      <c r="AE18" s="103">
        <v>0</v>
      </c>
      <c r="AF18" s="103">
        <v>0</v>
      </c>
      <c r="AG18" s="103">
        <v>0</v>
      </c>
      <c r="AH18" s="103">
        <v>0</v>
      </c>
      <c r="AI18" s="103">
        <v>0</v>
      </c>
      <c r="AJ18" s="103">
        <v>0</v>
      </c>
      <c r="AK18" s="103">
        <v>0</v>
      </c>
      <c r="AL18" s="103">
        <v>0</v>
      </c>
      <c r="AM18" s="103">
        <v>0</v>
      </c>
      <c r="AN18" s="103">
        <v>0</v>
      </c>
      <c r="AO18" s="103">
        <v>0</v>
      </c>
      <c r="AP18" s="103">
        <v>0</v>
      </c>
      <c r="AQ18" s="103">
        <v>0</v>
      </c>
      <c r="AR18" s="103">
        <v>0</v>
      </c>
      <c r="AS18" s="103">
        <v>0</v>
      </c>
      <c r="AT18" s="103">
        <v>0</v>
      </c>
      <c r="AU18" s="103">
        <v>0</v>
      </c>
    </row>
    <row r="19" spans="1:47">
      <c r="B19" s="103" t="s">
        <v>563</v>
      </c>
      <c r="C19" s="103">
        <v>0</v>
      </c>
      <c r="D19" s="103">
        <v>0</v>
      </c>
      <c r="E19" s="103">
        <v>0</v>
      </c>
      <c r="F19" s="103">
        <v>0</v>
      </c>
      <c r="G19" s="103">
        <v>0</v>
      </c>
      <c r="H19" s="103">
        <v>0</v>
      </c>
      <c r="I19" s="103">
        <v>0</v>
      </c>
      <c r="J19" s="103">
        <v>0</v>
      </c>
      <c r="K19" s="103">
        <v>0</v>
      </c>
      <c r="L19" s="103">
        <v>0</v>
      </c>
      <c r="M19" s="103">
        <v>0</v>
      </c>
      <c r="N19" s="103">
        <v>0</v>
      </c>
      <c r="O19" s="103">
        <v>0</v>
      </c>
      <c r="P19" s="103">
        <v>0</v>
      </c>
      <c r="Q19" s="103">
        <v>0</v>
      </c>
      <c r="R19" s="103">
        <v>0</v>
      </c>
      <c r="S19" s="103">
        <v>0</v>
      </c>
      <c r="T19" s="103">
        <v>0</v>
      </c>
      <c r="U19" s="103">
        <v>0</v>
      </c>
      <c r="V19" s="103">
        <v>0</v>
      </c>
      <c r="W19" s="103">
        <v>0</v>
      </c>
      <c r="X19" s="103">
        <v>0</v>
      </c>
      <c r="Y19" s="103">
        <v>0</v>
      </c>
      <c r="Z19" s="103">
        <v>0</v>
      </c>
      <c r="AA19" s="103">
        <v>0</v>
      </c>
      <c r="AB19" s="103">
        <v>0</v>
      </c>
      <c r="AC19" s="103">
        <v>0</v>
      </c>
      <c r="AD19" s="103">
        <v>0</v>
      </c>
      <c r="AE19" s="103">
        <v>0</v>
      </c>
      <c r="AF19" s="103">
        <v>0</v>
      </c>
      <c r="AG19" s="103">
        <v>0</v>
      </c>
      <c r="AH19" s="103">
        <v>0</v>
      </c>
      <c r="AI19" s="103">
        <v>0</v>
      </c>
      <c r="AJ19" s="103">
        <v>0</v>
      </c>
      <c r="AK19" s="103">
        <v>0</v>
      </c>
      <c r="AL19" s="103">
        <v>0</v>
      </c>
      <c r="AM19" s="103">
        <v>0</v>
      </c>
      <c r="AN19" s="103">
        <v>0</v>
      </c>
      <c r="AO19" s="103">
        <v>0</v>
      </c>
      <c r="AP19" s="103">
        <v>0</v>
      </c>
      <c r="AQ19" s="103">
        <v>0</v>
      </c>
      <c r="AR19" s="103">
        <v>0</v>
      </c>
      <c r="AS19" s="103">
        <v>0</v>
      </c>
      <c r="AT19" s="103">
        <v>0</v>
      </c>
      <c r="AU19" s="103">
        <v>0</v>
      </c>
    </row>
    <row r="21" spans="1:47" s="64" customFormat="1">
      <c r="A21" s="124" t="s">
        <v>88</v>
      </c>
    </row>
    <row r="22" spans="1:47">
      <c r="B22" s="103" t="s">
        <v>1</v>
      </c>
      <c r="C22" s="103">
        <v>2006</v>
      </c>
      <c r="D22" s="103">
        <v>2007</v>
      </c>
      <c r="E22" s="103">
        <v>2008</v>
      </c>
      <c r="F22" s="103">
        <v>2009</v>
      </c>
      <c r="G22" s="103">
        <v>2010</v>
      </c>
      <c r="H22" s="103">
        <v>2011</v>
      </c>
      <c r="I22" s="103">
        <v>2012</v>
      </c>
      <c r="J22" s="103">
        <v>2013</v>
      </c>
      <c r="K22" s="103">
        <v>2014</v>
      </c>
      <c r="L22" s="103">
        <v>2015</v>
      </c>
      <c r="M22" s="103">
        <v>2016</v>
      </c>
      <c r="N22" s="103">
        <v>2017</v>
      </c>
      <c r="O22" s="103">
        <v>2018</v>
      </c>
      <c r="P22" s="103">
        <v>2019</v>
      </c>
      <c r="Q22" s="103">
        <v>2020</v>
      </c>
      <c r="R22" s="103">
        <v>2021</v>
      </c>
      <c r="S22" s="103">
        <v>2022</v>
      </c>
      <c r="T22" s="103">
        <v>2023</v>
      </c>
      <c r="U22" s="103">
        <v>2024</v>
      </c>
      <c r="V22" s="103">
        <v>2025</v>
      </c>
      <c r="W22" s="103">
        <v>2026</v>
      </c>
      <c r="X22" s="103">
        <v>2027</v>
      </c>
      <c r="Y22" s="103">
        <v>2028</v>
      </c>
      <c r="Z22" s="103">
        <v>2029</v>
      </c>
      <c r="AA22" s="103">
        <v>2030</v>
      </c>
      <c r="AB22" s="103">
        <v>2031</v>
      </c>
      <c r="AC22" s="103">
        <v>2032</v>
      </c>
      <c r="AD22" s="103">
        <v>2033</v>
      </c>
      <c r="AE22" s="103">
        <v>2034</v>
      </c>
      <c r="AF22" s="103">
        <v>2035</v>
      </c>
      <c r="AG22" s="103">
        <v>2036</v>
      </c>
      <c r="AH22" s="103">
        <v>2037</v>
      </c>
      <c r="AI22" s="103">
        <v>2038</v>
      </c>
      <c r="AJ22" s="103">
        <v>2039</v>
      </c>
      <c r="AK22" s="103">
        <v>2040</v>
      </c>
      <c r="AL22" s="103">
        <v>2041</v>
      </c>
      <c r="AM22" s="103">
        <v>2042</v>
      </c>
      <c r="AN22" s="103">
        <v>2043</v>
      </c>
      <c r="AO22" s="103">
        <v>2044</v>
      </c>
      <c r="AP22" s="103">
        <v>2045</v>
      </c>
      <c r="AQ22" s="103">
        <v>2046</v>
      </c>
      <c r="AR22" s="103">
        <v>2047</v>
      </c>
      <c r="AS22" s="103">
        <v>2048</v>
      </c>
      <c r="AT22" s="103">
        <v>2049</v>
      </c>
      <c r="AU22" s="103">
        <v>2050</v>
      </c>
    </row>
    <row r="23" spans="1:47">
      <c r="B23" s="103" t="s">
        <v>40</v>
      </c>
      <c r="C23" s="103">
        <f t="array" ref="C23:AU28">TRANSPOSE(Commercial_1!V9:AA53)</f>
        <v>0</v>
      </c>
      <c r="D23" s="103">
        <v>0</v>
      </c>
      <c r="E23" s="103">
        <v>0</v>
      </c>
      <c r="F23" s="103">
        <v>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row>
    <row r="24" spans="1:47">
      <c r="B24" s="103" t="s">
        <v>82</v>
      </c>
      <c r="C24" s="103">
        <v>0</v>
      </c>
      <c r="D24" s="103">
        <v>0</v>
      </c>
      <c r="E24" s="103">
        <v>0</v>
      </c>
      <c r="F24" s="103">
        <v>0</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row>
    <row r="25" spans="1:47">
      <c r="B25" s="103" t="s">
        <v>81</v>
      </c>
      <c r="C25" s="103">
        <v>0</v>
      </c>
      <c r="D25" s="103">
        <v>0</v>
      </c>
      <c r="E25" s="103">
        <v>0</v>
      </c>
      <c r="F25" s="103">
        <v>0</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row>
    <row r="26" spans="1:47">
      <c r="B26" s="103" t="s">
        <v>83</v>
      </c>
      <c r="C26" s="103">
        <v>0</v>
      </c>
      <c r="D26" s="103">
        <v>0</v>
      </c>
      <c r="E26" s="103">
        <v>0</v>
      </c>
      <c r="F26" s="103">
        <v>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row>
    <row r="27" spans="1:47">
      <c r="B27" s="103" t="s">
        <v>85</v>
      </c>
      <c r="C27" s="103">
        <v>0</v>
      </c>
      <c r="D27" s="103">
        <v>0</v>
      </c>
      <c r="E27" s="103">
        <v>0</v>
      </c>
      <c r="F27" s="103">
        <v>0</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row>
    <row r="28" spans="1:47">
      <c r="B28" s="103" t="s">
        <v>84</v>
      </c>
      <c r="C28" s="103">
        <v>0</v>
      </c>
      <c r="D28" s="103">
        <v>0</v>
      </c>
      <c r="E28" s="103">
        <v>0</v>
      </c>
      <c r="F28" s="103">
        <v>0</v>
      </c>
      <c r="G28" s="103">
        <v>0</v>
      </c>
      <c r="H28" s="103">
        <v>0</v>
      </c>
      <c r="I28" s="103">
        <v>0</v>
      </c>
      <c r="J28" s="103">
        <v>0</v>
      </c>
      <c r="K28" s="103">
        <v>0</v>
      </c>
      <c r="L28" s="103">
        <v>0</v>
      </c>
      <c r="M28" s="103">
        <v>0</v>
      </c>
      <c r="N28" s="103">
        <v>0</v>
      </c>
      <c r="O28" s="103">
        <v>0</v>
      </c>
      <c r="P28" s="103">
        <v>0</v>
      </c>
      <c r="Q28" s="103">
        <v>0</v>
      </c>
      <c r="R28" s="103">
        <v>0</v>
      </c>
      <c r="S28" s="103">
        <v>0</v>
      </c>
      <c r="T28" s="103">
        <v>0</v>
      </c>
      <c r="U28" s="103">
        <v>0</v>
      </c>
      <c r="V28" s="103">
        <v>0</v>
      </c>
      <c r="W28" s="103">
        <v>0</v>
      </c>
      <c r="X28" s="103">
        <v>0</v>
      </c>
      <c r="Y28" s="103">
        <v>0</v>
      </c>
      <c r="Z28" s="103">
        <v>0</v>
      </c>
      <c r="AA28" s="103">
        <v>0</v>
      </c>
      <c r="AB28" s="103">
        <v>0</v>
      </c>
      <c r="AC28" s="103">
        <v>0</v>
      </c>
      <c r="AD28" s="103">
        <v>0</v>
      </c>
      <c r="AE28" s="103">
        <v>0</v>
      </c>
      <c r="AF28" s="103">
        <v>0</v>
      </c>
      <c r="AG28" s="103">
        <v>0</v>
      </c>
      <c r="AH28" s="103">
        <v>0</v>
      </c>
      <c r="AI28" s="103">
        <v>0</v>
      </c>
      <c r="AJ28" s="103">
        <v>0</v>
      </c>
      <c r="AK28" s="103">
        <v>0</v>
      </c>
      <c r="AL28" s="103">
        <v>0</v>
      </c>
      <c r="AM28" s="103">
        <v>0</v>
      </c>
      <c r="AN28" s="103">
        <v>0</v>
      </c>
      <c r="AO28" s="103">
        <v>0</v>
      </c>
      <c r="AP28" s="103">
        <v>0</v>
      </c>
      <c r="AQ28" s="103">
        <v>0</v>
      </c>
      <c r="AR28" s="103">
        <v>0</v>
      </c>
      <c r="AS28" s="103">
        <v>0</v>
      </c>
      <c r="AT28" s="103">
        <v>0</v>
      </c>
      <c r="AU28" s="103">
        <v>0</v>
      </c>
    </row>
    <row r="30" spans="1:47" s="64" customFormat="1">
      <c r="A30" s="124" t="s">
        <v>89</v>
      </c>
    </row>
    <row r="31" spans="1:47">
      <c r="B31" s="103" t="s">
        <v>0</v>
      </c>
      <c r="C31" s="103">
        <v>2006</v>
      </c>
      <c r="D31" s="103">
        <v>2007</v>
      </c>
      <c r="E31" s="103">
        <v>2008</v>
      </c>
      <c r="F31" s="103">
        <v>2009</v>
      </c>
      <c r="G31" s="103">
        <v>2010</v>
      </c>
      <c r="H31" s="103">
        <v>2011</v>
      </c>
      <c r="I31" s="103">
        <v>2012</v>
      </c>
      <c r="J31" s="103">
        <v>2013</v>
      </c>
      <c r="K31" s="103">
        <v>2014</v>
      </c>
      <c r="L31" s="103">
        <v>2015</v>
      </c>
      <c r="M31" s="103">
        <v>2016</v>
      </c>
      <c r="N31" s="103">
        <v>2017</v>
      </c>
      <c r="O31" s="103">
        <v>2018</v>
      </c>
      <c r="P31" s="103">
        <v>2019</v>
      </c>
      <c r="Q31" s="103">
        <v>2020</v>
      </c>
      <c r="R31" s="103">
        <v>2021</v>
      </c>
      <c r="S31" s="103">
        <v>2022</v>
      </c>
      <c r="T31" s="103">
        <v>2023</v>
      </c>
      <c r="U31" s="103">
        <v>2024</v>
      </c>
      <c r="V31" s="103">
        <v>2025</v>
      </c>
      <c r="W31" s="103">
        <v>2026</v>
      </c>
      <c r="X31" s="103">
        <v>2027</v>
      </c>
      <c r="Y31" s="103">
        <v>2028</v>
      </c>
      <c r="Z31" s="103">
        <v>2029</v>
      </c>
      <c r="AA31" s="103">
        <v>2030</v>
      </c>
      <c r="AB31" s="103">
        <v>2031</v>
      </c>
      <c r="AC31" s="103">
        <v>2032</v>
      </c>
      <c r="AD31" s="103">
        <v>2033</v>
      </c>
      <c r="AE31" s="103">
        <v>2034</v>
      </c>
      <c r="AF31" s="103">
        <v>2035</v>
      </c>
      <c r="AG31" s="103">
        <v>2036</v>
      </c>
      <c r="AH31" s="103">
        <v>2037</v>
      </c>
      <c r="AI31" s="103">
        <v>2038</v>
      </c>
      <c r="AJ31" s="103">
        <v>2039</v>
      </c>
      <c r="AK31" s="103">
        <v>2040</v>
      </c>
      <c r="AL31" s="103">
        <v>2041</v>
      </c>
      <c r="AM31" s="103">
        <v>2042</v>
      </c>
      <c r="AN31" s="103">
        <v>2043</v>
      </c>
      <c r="AO31" s="103">
        <v>2044</v>
      </c>
      <c r="AP31" s="103">
        <v>2045</v>
      </c>
      <c r="AQ31" s="103">
        <v>2046</v>
      </c>
      <c r="AR31" s="103">
        <v>2047</v>
      </c>
      <c r="AS31" s="103">
        <v>2048</v>
      </c>
      <c r="AT31" s="103">
        <v>2049</v>
      </c>
      <c r="AU31" s="103">
        <v>2050</v>
      </c>
    </row>
    <row r="32" spans="1:47">
      <c r="B32" s="103" t="s">
        <v>558</v>
      </c>
      <c r="C32" s="103">
        <f t="array" ref="C32:AU37">TRANSPOSE(Commercial_1!AF9:AK53)</f>
        <v>15863.89</v>
      </c>
      <c r="D32" s="103">
        <v>16953.051666666754</v>
      </c>
      <c r="E32" s="103">
        <v>18042.213333333377</v>
      </c>
      <c r="F32" s="103">
        <v>19131.375</v>
      </c>
      <c r="G32" s="103">
        <v>20220.536666666623</v>
      </c>
      <c r="H32" s="103">
        <v>21309.698333333246</v>
      </c>
      <c r="I32" s="103">
        <v>22398.860000000004</v>
      </c>
      <c r="J32" s="103">
        <v>22325.600000000002</v>
      </c>
      <c r="K32" s="103">
        <v>22577.940000000002</v>
      </c>
      <c r="L32" s="103">
        <v>21775.530000000002</v>
      </c>
      <c r="M32" s="103">
        <v>21815.010000000002</v>
      </c>
      <c r="N32" s="103">
        <v>23071.574975654392</v>
      </c>
      <c r="O32" s="103">
        <v>23171.819217941571</v>
      </c>
      <c r="P32" s="103">
        <v>23272.188426861496</v>
      </c>
      <c r="Q32" s="103">
        <v>23372.682602414239</v>
      </c>
      <c r="R32" s="103">
        <v>23570.964743329103</v>
      </c>
      <c r="S32" s="103">
        <v>23769.518870444736</v>
      </c>
      <c r="T32" s="103">
        <v>23968.34498376113</v>
      </c>
      <c r="U32" s="103">
        <v>24167.443083278285</v>
      </c>
      <c r="V32" s="103">
        <v>24366.813168996207</v>
      </c>
      <c r="W32" s="103">
        <v>24566.455240914886</v>
      </c>
      <c r="X32" s="103">
        <v>24766.369299034326</v>
      </c>
      <c r="Y32" s="103">
        <v>24966.555343354536</v>
      </c>
      <c r="Z32" s="103">
        <v>25167.013373875496</v>
      </c>
      <c r="AA32" s="103">
        <v>25367.743390597236</v>
      </c>
      <c r="AB32" s="103">
        <v>25568.745393519726</v>
      </c>
      <c r="AC32" s="103">
        <v>25770.019382642975</v>
      </c>
      <c r="AD32" s="103">
        <v>25971.565357967</v>
      </c>
      <c r="AE32" s="103">
        <v>26173.383319491775</v>
      </c>
      <c r="AF32" s="103">
        <v>26375.47326721732</v>
      </c>
      <c r="AG32" s="103">
        <v>26577.835201143567</v>
      </c>
      <c r="AH32" s="103">
        <v>26780.469121270631</v>
      </c>
      <c r="AI32" s="103">
        <v>26983.375027598468</v>
      </c>
      <c r="AJ32" s="103">
        <v>27186.552920127058</v>
      </c>
      <c r="AK32" s="103">
        <v>27390.002798856411</v>
      </c>
      <c r="AL32" s="103">
        <v>27593.724663786532</v>
      </c>
      <c r="AM32" s="103">
        <v>27797.718514917411</v>
      </c>
      <c r="AN32" s="103">
        <v>28001.984352249048</v>
      </c>
      <c r="AO32" s="103">
        <v>28206.522175781454</v>
      </c>
      <c r="AP32" s="103">
        <v>28411.331985514622</v>
      </c>
      <c r="AQ32" s="103">
        <v>28616.413781448544</v>
      </c>
      <c r="AR32" s="103">
        <v>28821.767563583246</v>
      </c>
      <c r="AS32" s="103">
        <v>29027.393331918698</v>
      </c>
      <c r="AT32" s="103">
        <v>29233.291086454909</v>
      </c>
      <c r="AU32" s="103">
        <v>29439.460827191895</v>
      </c>
    </row>
    <row r="33" spans="1:47">
      <c r="B33" s="103" t="s">
        <v>559</v>
      </c>
      <c r="C33" s="103">
        <v>2467.3593062961168</v>
      </c>
      <c r="D33" s="103">
        <v>2453.5494219134307</v>
      </c>
      <c r="E33" s="103">
        <v>2439.739537530746</v>
      </c>
      <c r="F33" s="103">
        <v>2425.9296531480577</v>
      </c>
      <c r="G33" s="103">
        <v>2412.119768765373</v>
      </c>
      <c r="H33" s="103">
        <v>2398.3098843826883</v>
      </c>
      <c r="I33" s="103">
        <v>2384.5</v>
      </c>
      <c r="J33" s="103">
        <v>2513</v>
      </c>
      <c r="K33" s="103">
        <v>2578</v>
      </c>
      <c r="L33" s="103">
        <v>2593</v>
      </c>
      <c r="M33" s="103">
        <v>2582</v>
      </c>
      <c r="N33" s="103">
        <v>2296.0279826152314</v>
      </c>
      <c r="O33" s="103">
        <v>2253.1846666281549</v>
      </c>
      <c r="P33" s="103">
        <v>2209.9761884024529</v>
      </c>
      <c r="Q33" s="103">
        <v>2166.4025479380753</v>
      </c>
      <c r="R33" s="103">
        <v>2131.2944660390472</v>
      </c>
      <c r="S33" s="103">
        <v>2095.3916192676479</v>
      </c>
      <c r="T33" s="103">
        <v>2058.6940076238834</v>
      </c>
      <c r="U33" s="103">
        <v>2021.2016311077764</v>
      </c>
      <c r="V33" s="103">
        <v>1982.9144897192966</v>
      </c>
      <c r="W33" s="103">
        <v>1943.8325834584741</v>
      </c>
      <c r="X33" s="103">
        <v>1903.9559123252936</v>
      </c>
      <c r="Y33" s="103">
        <v>1863.2844763197409</v>
      </c>
      <c r="Z33" s="103">
        <v>1821.8182754418378</v>
      </c>
      <c r="AA33" s="103">
        <v>1779.5573096915778</v>
      </c>
      <c r="AB33" s="103">
        <v>1736.5015790689595</v>
      </c>
      <c r="AC33" s="103">
        <v>1692.6510835739987</v>
      </c>
      <c r="AD33" s="103">
        <v>1648.0058232066501</v>
      </c>
      <c r="AE33" s="103">
        <v>1602.5657979669668</v>
      </c>
      <c r="AF33" s="103">
        <v>1556.33100785491</v>
      </c>
      <c r="AG33" s="103">
        <v>1509.3014528705082</v>
      </c>
      <c r="AH33" s="103">
        <v>1461.4771330137521</v>
      </c>
      <c r="AI33" s="103">
        <v>1412.858048284623</v>
      </c>
      <c r="AJ33" s="103">
        <v>1363.4441986831516</v>
      </c>
      <c r="AK33" s="103">
        <v>1313.2355842092986</v>
      </c>
      <c r="AL33" s="103">
        <v>1262.2322048631204</v>
      </c>
      <c r="AM33" s="103">
        <v>1210.4340606445519</v>
      </c>
      <c r="AN33" s="103">
        <v>1157.8411515536584</v>
      </c>
      <c r="AO33" s="103">
        <v>1104.4534775903912</v>
      </c>
      <c r="AP33" s="103">
        <v>1050.2710387547661</v>
      </c>
      <c r="AQ33" s="103">
        <v>995.29383504678322</v>
      </c>
      <c r="AR33" s="103">
        <v>939.52186646643463</v>
      </c>
      <c r="AS33" s="103">
        <v>882.9551330137449</v>
      </c>
      <c r="AT33" s="103">
        <v>825.59363468869776</v>
      </c>
      <c r="AU33" s="103">
        <v>767.43737149127605</v>
      </c>
    </row>
    <row r="34" spans="1:47">
      <c r="B34" s="103" t="s">
        <v>560</v>
      </c>
      <c r="C34" s="103">
        <v>13627.461387407766</v>
      </c>
      <c r="D34" s="103">
        <v>13754.217822839826</v>
      </c>
      <c r="E34" s="103">
        <v>13880.974258271861</v>
      </c>
      <c r="F34" s="103">
        <v>14007.730693703896</v>
      </c>
      <c r="G34" s="103">
        <v>14134.48712913593</v>
      </c>
      <c r="H34" s="103">
        <v>14261.243564567994</v>
      </c>
      <c r="I34" s="103">
        <v>14388</v>
      </c>
      <c r="J34" s="103">
        <v>14709</v>
      </c>
      <c r="K34" s="103">
        <v>14928</v>
      </c>
      <c r="L34" s="103">
        <v>14795</v>
      </c>
      <c r="M34" s="103">
        <v>14924</v>
      </c>
      <c r="N34" s="103">
        <v>14952.458093681416</v>
      </c>
      <c r="O34" s="103">
        <v>15028.79848169113</v>
      </c>
      <c r="P34" s="103">
        <v>15105.301164029108</v>
      </c>
      <c r="Q34" s="103">
        <v>15181.966140695395</v>
      </c>
      <c r="R34" s="103">
        <v>15322.279134226639</v>
      </c>
      <c r="S34" s="103">
        <v>15462.945356590046</v>
      </c>
      <c r="T34" s="103">
        <v>15603.964807785616</v>
      </c>
      <c r="U34" s="103">
        <v>15745.337487813342</v>
      </c>
      <c r="V34" s="103">
        <v>15887.063396673224</v>
      </c>
      <c r="W34" s="103">
        <v>16029.142534365266</v>
      </c>
      <c r="X34" s="103">
        <v>16171.574900889465</v>
      </c>
      <c r="Y34" s="103">
        <v>16314.360496245823</v>
      </c>
      <c r="Z34" s="103">
        <v>16457.499320434348</v>
      </c>
      <c r="AA34" s="103">
        <v>16600.991373455028</v>
      </c>
      <c r="AB34" s="103">
        <v>16744.836655307863</v>
      </c>
      <c r="AC34" s="103">
        <v>16889.035165992856</v>
      </c>
      <c r="AD34" s="103">
        <v>17033.586905510012</v>
      </c>
      <c r="AE34" s="103">
        <v>17178.491873859333</v>
      </c>
      <c r="AF34" s="103">
        <v>17323.750071040802</v>
      </c>
      <c r="AG34" s="103">
        <v>17469.361497054397</v>
      </c>
      <c r="AH34" s="103">
        <v>17615.326151900186</v>
      </c>
      <c r="AI34" s="103">
        <v>17761.644035578138</v>
      </c>
      <c r="AJ34" s="103">
        <v>17908.315148088244</v>
      </c>
      <c r="AK34" s="103">
        <v>18055.339489430517</v>
      </c>
      <c r="AL34" s="103">
        <v>18202.717059604944</v>
      </c>
      <c r="AM34" s="103">
        <v>18350.447858611529</v>
      </c>
      <c r="AN34" s="103">
        <v>18498.53188645027</v>
      </c>
      <c r="AO34" s="103">
        <v>18646.969143121176</v>
      </c>
      <c r="AP34" s="103">
        <v>18795.759628624237</v>
      </c>
      <c r="AQ34" s="103">
        <v>18944.903342959464</v>
      </c>
      <c r="AR34" s="103">
        <v>19094.400286126845</v>
      </c>
      <c r="AS34" s="103">
        <v>19244.250458126382</v>
      </c>
      <c r="AT34" s="103">
        <v>19394.453858958077</v>
      </c>
      <c r="AU34" s="103">
        <v>19545.010488621934</v>
      </c>
    </row>
    <row r="35" spans="1:47">
      <c r="B35" s="103" t="s">
        <v>561</v>
      </c>
      <c r="C35" s="103">
        <v>2467.3593062961168</v>
      </c>
      <c r="D35" s="103">
        <v>2453.5494219134307</v>
      </c>
      <c r="E35" s="103">
        <v>2439.739537530746</v>
      </c>
      <c r="F35" s="103">
        <v>2425.9296531480577</v>
      </c>
      <c r="G35" s="103">
        <v>2412.119768765373</v>
      </c>
      <c r="H35" s="103">
        <v>2398.3098843826883</v>
      </c>
      <c r="I35" s="103">
        <v>2384.5</v>
      </c>
      <c r="J35" s="103">
        <v>2513</v>
      </c>
      <c r="K35" s="103">
        <v>2578</v>
      </c>
      <c r="L35" s="103">
        <v>2593</v>
      </c>
      <c r="M35" s="103">
        <v>2582</v>
      </c>
      <c r="N35" s="103">
        <v>2296.0279826152314</v>
      </c>
      <c r="O35" s="103">
        <v>2253.1846666281549</v>
      </c>
      <c r="P35" s="103">
        <v>2209.9761884024529</v>
      </c>
      <c r="Q35" s="103">
        <v>2166.4025479380753</v>
      </c>
      <c r="R35" s="103">
        <v>2131.2944660390472</v>
      </c>
      <c r="S35" s="103">
        <v>2095.3916192676479</v>
      </c>
      <c r="T35" s="103">
        <v>2058.6940076238834</v>
      </c>
      <c r="U35" s="103">
        <v>2021.2016311077764</v>
      </c>
      <c r="V35" s="103">
        <v>1982.9144897192966</v>
      </c>
      <c r="W35" s="103">
        <v>1943.8325834584741</v>
      </c>
      <c r="X35" s="103">
        <v>1903.9559123252936</v>
      </c>
      <c r="Y35" s="103">
        <v>1863.2844763197409</v>
      </c>
      <c r="Z35" s="103">
        <v>1821.8182754418378</v>
      </c>
      <c r="AA35" s="103">
        <v>1779.5573096915778</v>
      </c>
      <c r="AB35" s="103">
        <v>1736.5015790689595</v>
      </c>
      <c r="AC35" s="103">
        <v>1692.6510835739987</v>
      </c>
      <c r="AD35" s="103">
        <v>1648.0058232066501</v>
      </c>
      <c r="AE35" s="103">
        <v>1602.5657979669668</v>
      </c>
      <c r="AF35" s="103">
        <v>1556.33100785491</v>
      </c>
      <c r="AG35" s="103">
        <v>1509.3014528705082</v>
      </c>
      <c r="AH35" s="103">
        <v>1461.4771330137521</v>
      </c>
      <c r="AI35" s="103">
        <v>1412.858048284623</v>
      </c>
      <c r="AJ35" s="103">
        <v>1363.4441986831516</v>
      </c>
      <c r="AK35" s="103">
        <v>1313.2355842092986</v>
      </c>
      <c r="AL35" s="103">
        <v>1262.2322048631204</v>
      </c>
      <c r="AM35" s="103">
        <v>1210.4340606445519</v>
      </c>
      <c r="AN35" s="103">
        <v>1157.8411515536584</v>
      </c>
      <c r="AO35" s="103">
        <v>1104.4534775903912</v>
      </c>
      <c r="AP35" s="103">
        <v>1050.2710387547661</v>
      </c>
      <c r="AQ35" s="103">
        <v>995.29383504678322</v>
      </c>
      <c r="AR35" s="103">
        <v>939.52186646643463</v>
      </c>
      <c r="AS35" s="103">
        <v>882.9551330137449</v>
      </c>
      <c r="AT35" s="103">
        <v>825.59363468869776</v>
      </c>
      <c r="AU35" s="103">
        <v>767.43737149127605</v>
      </c>
    </row>
    <row r="36" spans="1:47">
      <c r="B36" s="103" t="s">
        <v>562</v>
      </c>
      <c r="C36" s="103">
        <v>0</v>
      </c>
      <c r="D36" s="103">
        <v>0</v>
      </c>
      <c r="E36" s="103">
        <v>0</v>
      </c>
      <c r="F36" s="103">
        <v>0</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0</v>
      </c>
      <c r="AM36" s="103">
        <v>0</v>
      </c>
      <c r="AN36" s="103">
        <v>0</v>
      </c>
      <c r="AO36" s="103">
        <v>0</v>
      </c>
      <c r="AP36" s="103">
        <v>0</v>
      </c>
      <c r="AQ36" s="103">
        <v>0</v>
      </c>
      <c r="AR36" s="103">
        <v>0</v>
      </c>
      <c r="AS36" s="103">
        <v>0</v>
      </c>
      <c r="AT36" s="103">
        <v>0</v>
      </c>
      <c r="AU36" s="103">
        <v>0</v>
      </c>
    </row>
    <row r="37" spans="1:47">
      <c r="B37" s="103" t="s">
        <v>563</v>
      </c>
      <c r="C37" s="103">
        <v>0</v>
      </c>
      <c r="D37" s="103">
        <v>0</v>
      </c>
      <c r="E37" s="103">
        <v>0</v>
      </c>
      <c r="F37" s="103">
        <v>0</v>
      </c>
      <c r="G37" s="103">
        <v>0</v>
      </c>
      <c r="H37" s="103">
        <v>0</v>
      </c>
      <c r="I37" s="103">
        <v>0</v>
      </c>
      <c r="J37" s="103">
        <v>0</v>
      </c>
      <c r="K37" s="103">
        <v>0</v>
      </c>
      <c r="L37" s="103">
        <v>0</v>
      </c>
      <c r="M37" s="103">
        <v>0</v>
      </c>
      <c r="N37" s="103">
        <v>0</v>
      </c>
      <c r="O37" s="103">
        <v>0</v>
      </c>
      <c r="P37" s="103">
        <v>0</v>
      </c>
      <c r="Q37" s="103">
        <v>0</v>
      </c>
      <c r="R37" s="103">
        <v>0</v>
      </c>
      <c r="S37" s="103">
        <v>0</v>
      </c>
      <c r="T37" s="103">
        <v>0</v>
      </c>
      <c r="U37" s="103">
        <v>0</v>
      </c>
      <c r="V37" s="103">
        <v>0</v>
      </c>
      <c r="W37" s="103">
        <v>0</v>
      </c>
      <c r="X37" s="103">
        <v>0</v>
      </c>
      <c r="Y37" s="103">
        <v>0</v>
      </c>
      <c r="Z37" s="103">
        <v>0</v>
      </c>
      <c r="AA37" s="103">
        <v>0</v>
      </c>
      <c r="AB37" s="103">
        <v>0</v>
      </c>
      <c r="AC37" s="103">
        <v>0</v>
      </c>
      <c r="AD37" s="103">
        <v>0</v>
      </c>
      <c r="AE37" s="103">
        <v>0</v>
      </c>
      <c r="AF37" s="103">
        <v>0</v>
      </c>
      <c r="AG37" s="103">
        <v>0</v>
      </c>
      <c r="AH37" s="103">
        <v>0</v>
      </c>
      <c r="AI37" s="103">
        <v>0</v>
      </c>
      <c r="AJ37" s="103">
        <v>0</v>
      </c>
      <c r="AK37" s="103">
        <v>0</v>
      </c>
      <c r="AL37" s="103">
        <v>0</v>
      </c>
      <c r="AM37" s="103">
        <v>0</v>
      </c>
      <c r="AN37" s="103">
        <v>0</v>
      </c>
      <c r="AO37" s="103">
        <v>0</v>
      </c>
      <c r="AP37" s="103">
        <v>0</v>
      </c>
      <c r="AQ37" s="103">
        <v>0</v>
      </c>
      <c r="AR37" s="103">
        <v>0</v>
      </c>
      <c r="AS37" s="103">
        <v>0</v>
      </c>
      <c r="AT37" s="103">
        <v>0</v>
      </c>
      <c r="AU37" s="103">
        <v>0</v>
      </c>
    </row>
    <row r="39" spans="1:47" s="64" customFormat="1">
      <c r="A39" s="124" t="s">
        <v>33</v>
      </c>
    </row>
    <row r="40" spans="1:47">
      <c r="B40" s="103" t="s">
        <v>0</v>
      </c>
      <c r="C40" s="103">
        <v>2006</v>
      </c>
      <c r="D40" s="103">
        <v>2007</v>
      </c>
      <c r="E40" s="103">
        <v>2008</v>
      </c>
      <c r="F40" s="103">
        <v>2009</v>
      </c>
      <c r="G40" s="103">
        <v>2010</v>
      </c>
      <c r="H40" s="103">
        <v>2011</v>
      </c>
      <c r="I40" s="103">
        <v>2012</v>
      </c>
      <c r="J40" s="103">
        <v>2013</v>
      </c>
      <c r="K40" s="103">
        <v>2014</v>
      </c>
      <c r="L40" s="103">
        <v>2015</v>
      </c>
      <c r="M40" s="103">
        <v>2016</v>
      </c>
      <c r="N40" s="103">
        <v>2017</v>
      </c>
      <c r="O40" s="103">
        <v>2018</v>
      </c>
      <c r="P40" s="103">
        <v>2019</v>
      </c>
      <c r="Q40" s="103">
        <v>2020</v>
      </c>
      <c r="R40" s="103">
        <v>2021</v>
      </c>
      <c r="S40" s="103">
        <v>2022</v>
      </c>
      <c r="T40" s="103">
        <v>2023</v>
      </c>
      <c r="U40" s="103">
        <v>2024</v>
      </c>
      <c r="V40" s="103">
        <v>2025</v>
      </c>
      <c r="W40" s="103">
        <v>2026</v>
      </c>
      <c r="X40" s="103">
        <v>2027</v>
      </c>
      <c r="Y40" s="103">
        <v>2028</v>
      </c>
      <c r="Z40" s="103">
        <v>2029</v>
      </c>
      <c r="AA40" s="103">
        <v>2030</v>
      </c>
      <c r="AB40" s="103">
        <v>2031</v>
      </c>
      <c r="AC40" s="103">
        <v>2032</v>
      </c>
      <c r="AD40" s="103">
        <v>2033</v>
      </c>
      <c r="AE40" s="103">
        <v>2034</v>
      </c>
      <c r="AF40" s="103">
        <v>2035</v>
      </c>
      <c r="AG40" s="103">
        <v>2036</v>
      </c>
      <c r="AH40" s="103">
        <v>2037</v>
      </c>
      <c r="AI40" s="103">
        <v>2038</v>
      </c>
      <c r="AJ40" s="103">
        <v>2039</v>
      </c>
      <c r="AK40" s="103">
        <v>2040</v>
      </c>
      <c r="AL40" s="103">
        <v>2041</v>
      </c>
      <c r="AM40" s="103">
        <v>2042</v>
      </c>
      <c r="AN40" s="103">
        <v>2043</v>
      </c>
      <c r="AO40" s="103">
        <v>2044</v>
      </c>
      <c r="AP40" s="103">
        <v>2045</v>
      </c>
      <c r="AQ40" s="103">
        <v>2046</v>
      </c>
      <c r="AR40" s="103">
        <v>2047</v>
      </c>
      <c r="AS40" s="103">
        <v>2048</v>
      </c>
      <c r="AT40" s="103">
        <v>2049</v>
      </c>
      <c r="AU40" s="103">
        <v>2050</v>
      </c>
    </row>
    <row r="41" spans="1:47">
      <c r="B41" s="103" t="s">
        <v>558</v>
      </c>
      <c r="C41" s="103">
        <f t="array" ref="C41:AU46">TRANSPOSE(Commercial_1!AP9:AU53)</f>
        <v>30794.61</v>
      </c>
      <c r="D41" s="103">
        <v>31261.890000000014</v>
      </c>
      <c r="E41" s="103">
        <v>31729.170000000042</v>
      </c>
      <c r="F41" s="103">
        <v>32196.449999999953</v>
      </c>
      <c r="G41" s="103">
        <v>32663.729999999981</v>
      </c>
      <c r="H41" s="103">
        <v>33131.010000000009</v>
      </c>
      <c r="I41" s="103">
        <v>33598.29</v>
      </c>
      <c r="J41" s="103">
        <v>32473.600000000002</v>
      </c>
      <c r="K41" s="103">
        <v>32840.639999999999</v>
      </c>
      <c r="L41" s="103">
        <v>36292.549999999996</v>
      </c>
      <c r="M41" s="103">
        <v>36358.35</v>
      </c>
      <c r="N41" s="103">
        <v>33558.654510042747</v>
      </c>
      <c r="O41" s="103">
        <v>33704.464317005913</v>
      </c>
      <c r="P41" s="103">
        <v>33850.455893616716</v>
      </c>
      <c r="Q41" s="103">
        <v>33996.629239875256</v>
      </c>
      <c r="R41" s="103">
        <v>34285.039626660509</v>
      </c>
      <c r="S41" s="103">
        <v>34573.845629737792</v>
      </c>
      <c r="T41" s="103">
        <v>34863.04724910709</v>
      </c>
      <c r="U41" s="103">
        <v>35152.644484768411</v>
      </c>
      <c r="V41" s="103">
        <v>35442.637336721753</v>
      </c>
      <c r="W41" s="103">
        <v>35733.025804967103</v>
      </c>
      <c r="X41" s="103">
        <v>36023.809889504475</v>
      </c>
      <c r="Y41" s="103">
        <v>36314.989590333862</v>
      </c>
      <c r="Z41" s="103">
        <v>36606.564907455264</v>
      </c>
      <c r="AA41" s="103">
        <v>36898.535840868703</v>
      </c>
      <c r="AB41" s="103">
        <v>37190.902390574141</v>
      </c>
      <c r="AC41" s="103">
        <v>37483.664556571595</v>
      </c>
      <c r="AD41" s="103">
        <v>37776.822338861086</v>
      </c>
      <c r="AE41" s="103">
        <v>38070.375737442577</v>
      </c>
      <c r="AF41" s="103">
        <v>38364.324752316097</v>
      </c>
      <c r="AG41" s="103">
        <v>38658.669383481545</v>
      </c>
      <c r="AH41" s="103">
        <v>38953.409630939095</v>
      </c>
      <c r="AI41" s="103">
        <v>39248.545494688675</v>
      </c>
      <c r="AJ41" s="103">
        <v>39544.076974730262</v>
      </c>
      <c r="AK41" s="103">
        <v>39840.004071063864</v>
      </c>
      <c r="AL41" s="103">
        <v>40136.326783689496</v>
      </c>
      <c r="AM41" s="103">
        <v>40433.045112607142</v>
      </c>
      <c r="AN41" s="103">
        <v>40730.159057816796</v>
      </c>
      <c r="AO41" s="103">
        <v>41027.668619318472</v>
      </c>
      <c r="AP41" s="103">
        <v>41325.573797112171</v>
      </c>
      <c r="AQ41" s="103">
        <v>41623.874591197877</v>
      </c>
      <c r="AR41" s="103">
        <v>41922.571001575627</v>
      </c>
      <c r="AS41" s="103">
        <v>42221.663028245377</v>
      </c>
      <c r="AT41" s="103">
        <v>42521.150671207135</v>
      </c>
      <c r="AU41" s="103">
        <v>42821.03393046093</v>
      </c>
    </row>
    <row r="42" spans="1:47">
      <c r="B42" s="103" t="s">
        <v>559</v>
      </c>
      <c r="C42" s="103">
        <v>0</v>
      </c>
      <c r="D42" s="103">
        <v>0</v>
      </c>
      <c r="E42" s="103">
        <v>0</v>
      </c>
      <c r="F42" s="103">
        <v>0</v>
      </c>
      <c r="G42" s="103">
        <v>0</v>
      </c>
      <c r="H42" s="103">
        <v>0</v>
      </c>
      <c r="I42" s="103">
        <v>0</v>
      </c>
      <c r="J42" s="103">
        <v>0</v>
      </c>
      <c r="K42" s="103">
        <v>0</v>
      </c>
      <c r="L42" s="103">
        <v>0</v>
      </c>
      <c r="M42" s="103">
        <v>0</v>
      </c>
      <c r="N42" s="103">
        <v>0</v>
      </c>
      <c r="O42" s="103">
        <v>0</v>
      </c>
      <c r="P42" s="103">
        <v>0</v>
      </c>
      <c r="Q42" s="103">
        <v>0</v>
      </c>
      <c r="R42" s="103">
        <v>0</v>
      </c>
      <c r="S42" s="103">
        <v>0</v>
      </c>
      <c r="T42" s="103">
        <v>0</v>
      </c>
      <c r="U42" s="103">
        <v>0</v>
      </c>
      <c r="V42" s="103">
        <v>0</v>
      </c>
      <c r="W42" s="103">
        <v>0</v>
      </c>
      <c r="X42" s="103">
        <v>0</v>
      </c>
      <c r="Y42" s="103">
        <v>0</v>
      </c>
      <c r="Z42" s="103">
        <v>0</v>
      </c>
      <c r="AA42" s="103">
        <v>0</v>
      </c>
      <c r="AB42" s="103">
        <v>0</v>
      </c>
      <c r="AC42" s="103">
        <v>0</v>
      </c>
      <c r="AD42" s="103">
        <v>0</v>
      </c>
      <c r="AE42" s="103">
        <v>0</v>
      </c>
      <c r="AF42" s="103">
        <v>0</v>
      </c>
      <c r="AG42" s="103">
        <v>0</v>
      </c>
      <c r="AH42" s="103">
        <v>0</v>
      </c>
      <c r="AI42" s="103">
        <v>0</v>
      </c>
      <c r="AJ42" s="103">
        <v>0</v>
      </c>
      <c r="AK42" s="103">
        <v>0</v>
      </c>
      <c r="AL42" s="103">
        <v>0</v>
      </c>
      <c r="AM42" s="103">
        <v>0</v>
      </c>
      <c r="AN42" s="103">
        <v>0</v>
      </c>
      <c r="AO42" s="103">
        <v>0</v>
      </c>
      <c r="AP42" s="103">
        <v>0</v>
      </c>
      <c r="AQ42" s="103">
        <v>0</v>
      </c>
      <c r="AR42" s="103">
        <v>0</v>
      </c>
      <c r="AS42" s="103">
        <v>0</v>
      </c>
      <c r="AT42" s="103">
        <v>0</v>
      </c>
      <c r="AU42" s="103">
        <v>0</v>
      </c>
    </row>
    <row r="43" spans="1:47">
      <c r="B43" s="103" t="s">
        <v>560</v>
      </c>
      <c r="C43" s="103">
        <v>0</v>
      </c>
      <c r="D43" s="103">
        <v>0</v>
      </c>
      <c r="E43" s="103">
        <v>0</v>
      </c>
      <c r="F43" s="103">
        <v>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row>
    <row r="44" spans="1:47">
      <c r="B44" s="103" t="s">
        <v>561</v>
      </c>
      <c r="C44" s="103">
        <v>0</v>
      </c>
      <c r="D44" s="103">
        <v>0</v>
      </c>
      <c r="E44" s="103">
        <v>0</v>
      </c>
      <c r="F44" s="103">
        <v>0</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row>
    <row r="45" spans="1:47">
      <c r="B45" s="103" t="s">
        <v>562</v>
      </c>
      <c r="C45" s="103">
        <v>0</v>
      </c>
      <c r="D45" s="103">
        <v>0</v>
      </c>
      <c r="E45" s="103">
        <v>0</v>
      </c>
      <c r="F45" s="103">
        <v>0</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row>
    <row r="46" spans="1:47">
      <c r="B46" s="103" t="s">
        <v>563</v>
      </c>
      <c r="C46" s="103">
        <v>0</v>
      </c>
      <c r="D46" s="103">
        <v>0</v>
      </c>
      <c r="E46" s="103">
        <v>0</v>
      </c>
      <c r="F46" s="103">
        <v>0</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row>
    <row r="48" spans="1:47" s="19" customFormat="1">
      <c r="A48" s="187" t="s">
        <v>765</v>
      </c>
    </row>
    <row r="49" spans="2:47">
      <c r="B49" s="103" t="s">
        <v>0</v>
      </c>
      <c r="C49" s="103">
        <v>2006</v>
      </c>
      <c r="D49" s="103">
        <v>2007</v>
      </c>
      <c r="E49" s="103">
        <v>2008</v>
      </c>
      <c r="F49" s="103">
        <v>2009</v>
      </c>
      <c r="G49" s="103">
        <v>2010</v>
      </c>
      <c r="H49" s="103">
        <v>2011</v>
      </c>
      <c r="I49" s="103">
        <v>2012</v>
      </c>
      <c r="J49" s="103">
        <v>2013</v>
      </c>
      <c r="K49" s="103">
        <v>2014</v>
      </c>
      <c r="L49" s="103">
        <v>2015</v>
      </c>
      <c r="M49" s="103">
        <v>2016</v>
      </c>
      <c r="N49" s="103">
        <v>2017</v>
      </c>
      <c r="O49" s="103">
        <v>2018</v>
      </c>
      <c r="P49" s="103">
        <v>2019</v>
      </c>
      <c r="Q49" s="103">
        <v>2020</v>
      </c>
      <c r="R49" s="103">
        <v>2021</v>
      </c>
      <c r="S49" s="103">
        <v>2022</v>
      </c>
      <c r="T49" s="103">
        <v>2023</v>
      </c>
      <c r="U49" s="103">
        <v>2024</v>
      </c>
      <c r="V49" s="103">
        <v>2025</v>
      </c>
      <c r="W49" s="103">
        <v>2026</v>
      </c>
      <c r="X49" s="103">
        <v>2027</v>
      </c>
      <c r="Y49" s="103">
        <v>2028</v>
      </c>
      <c r="Z49" s="103">
        <v>2029</v>
      </c>
      <c r="AA49" s="103">
        <v>2030</v>
      </c>
      <c r="AB49" s="103">
        <v>2031</v>
      </c>
      <c r="AC49" s="103">
        <v>2032</v>
      </c>
      <c r="AD49" s="103">
        <v>2033</v>
      </c>
      <c r="AE49" s="103">
        <v>2034</v>
      </c>
      <c r="AF49" s="103">
        <v>2035</v>
      </c>
      <c r="AG49" s="103">
        <v>2036</v>
      </c>
      <c r="AH49" s="103">
        <v>2037</v>
      </c>
      <c r="AI49" s="103">
        <v>2038</v>
      </c>
      <c r="AJ49" s="103">
        <v>2039</v>
      </c>
      <c r="AK49" s="103">
        <v>2040</v>
      </c>
      <c r="AL49" s="103">
        <v>2041</v>
      </c>
      <c r="AM49" s="103">
        <v>2042</v>
      </c>
      <c r="AN49" s="103">
        <v>2043</v>
      </c>
      <c r="AO49" s="103">
        <v>2044</v>
      </c>
      <c r="AP49" s="103">
        <v>2045</v>
      </c>
      <c r="AQ49" s="103">
        <v>2046</v>
      </c>
      <c r="AR49" s="103">
        <v>2047</v>
      </c>
      <c r="AS49" s="103">
        <v>2048</v>
      </c>
      <c r="AT49" s="103">
        <v>2049</v>
      </c>
      <c r="AU49" s="103">
        <v>2050</v>
      </c>
    </row>
    <row r="50" spans="2:47">
      <c r="B50" s="103" t="s">
        <v>558</v>
      </c>
      <c r="C50" s="62">
        <f t="shared" ref="C50:C55" si="0">SUM(C5,C14,C23,C32,C41)</f>
        <v>93317</v>
      </c>
      <c r="D50" s="62">
        <f t="shared" ref="D50:AU55" si="1">SUM(D5,D14,D23,D32,D41)</f>
        <v>94733.000000000087</v>
      </c>
      <c r="E50" s="62">
        <f t="shared" si="1"/>
        <v>96149.000000000102</v>
      </c>
      <c r="F50" s="62">
        <f t="shared" si="1"/>
        <v>97564.999999999956</v>
      </c>
      <c r="G50" s="62">
        <f t="shared" si="1"/>
        <v>98980.999999999927</v>
      </c>
      <c r="H50" s="62">
        <f t="shared" si="1"/>
        <v>100396.99999999993</v>
      </c>
      <c r="I50" s="62">
        <f t="shared" si="1"/>
        <v>101813</v>
      </c>
      <c r="J50" s="62">
        <f t="shared" si="1"/>
        <v>101480.00000000001</v>
      </c>
      <c r="K50" s="62">
        <f t="shared" si="1"/>
        <v>102627</v>
      </c>
      <c r="L50" s="62">
        <f t="shared" si="1"/>
        <v>103693</v>
      </c>
      <c r="M50" s="62">
        <f t="shared" si="1"/>
        <v>103881</v>
      </c>
      <c r="N50" s="62">
        <f t="shared" si="1"/>
        <v>104870.79534388358</v>
      </c>
      <c r="O50" s="62">
        <f t="shared" si="1"/>
        <v>105326.45099064348</v>
      </c>
      <c r="P50" s="62">
        <f t="shared" si="1"/>
        <v>105782.67466755223</v>
      </c>
      <c r="Q50" s="62">
        <f t="shared" si="1"/>
        <v>106239.46637461017</v>
      </c>
      <c r="R50" s="62">
        <f t="shared" si="1"/>
        <v>107140.74883331409</v>
      </c>
      <c r="S50" s="62">
        <f t="shared" si="1"/>
        <v>108043.26759293061</v>
      </c>
      <c r="T50" s="62">
        <f t="shared" si="1"/>
        <v>108947.02265345966</v>
      </c>
      <c r="U50" s="62">
        <f t="shared" si="1"/>
        <v>109852.01401490127</v>
      </c>
      <c r="V50" s="62">
        <f t="shared" si="1"/>
        <v>110758.24167725546</v>
      </c>
      <c r="W50" s="62">
        <f t="shared" si="1"/>
        <v>111665.70564052221</v>
      </c>
      <c r="X50" s="62">
        <f t="shared" si="1"/>
        <v>112574.40590470147</v>
      </c>
      <c r="Y50" s="62">
        <f t="shared" si="1"/>
        <v>113484.34246979332</v>
      </c>
      <c r="Z50" s="62">
        <f t="shared" si="1"/>
        <v>114395.5153357977</v>
      </c>
      <c r="AA50" s="62">
        <f t="shared" si="1"/>
        <v>115307.9245027147</v>
      </c>
      <c r="AB50" s="62">
        <f t="shared" si="1"/>
        <v>116221.56997054419</v>
      </c>
      <c r="AC50" s="62">
        <f t="shared" si="1"/>
        <v>117136.45173928625</v>
      </c>
      <c r="AD50" s="62">
        <f t="shared" si="1"/>
        <v>118052.5698089409</v>
      </c>
      <c r="AE50" s="62">
        <f t="shared" si="1"/>
        <v>118969.92417950806</v>
      </c>
      <c r="AF50" s="62">
        <f t="shared" si="1"/>
        <v>119888.51485098781</v>
      </c>
      <c r="AG50" s="62">
        <f t="shared" si="1"/>
        <v>120808.34182337983</v>
      </c>
      <c r="AH50" s="62">
        <f t="shared" si="1"/>
        <v>121729.40509668467</v>
      </c>
      <c r="AI50" s="62">
        <f t="shared" si="1"/>
        <v>122651.70467090211</v>
      </c>
      <c r="AJ50" s="62">
        <f t="shared" si="1"/>
        <v>123575.24054603206</v>
      </c>
      <c r="AK50" s="62">
        <f t="shared" si="1"/>
        <v>124500.01272207458</v>
      </c>
      <c r="AL50" s="62">
        <f t="shared" si="1"/>
        <v>125426.02119902967</v>
      </c>
      <c r="AM50" s="62">
        <f t="shared" si="1"/>
        <v>126353.26597689731</v>
      </c>
      <c r="AN50" s="62">
        <f t="shared" si="1"/>
        <v>127281.74705567748</v>
      </c>
      <c r="AO50" s="62">
        <f t="shared" si="1"/>
        <v>128211.46443537023</v>
      </c>
      <c r="AP50" s="62">
        <f t="shared" si="1"/>
        <v>129142.41811597554</v>
      </c>
      <c r="AQ50" s="62">
        <f t="shared" si="1"/>
        <v>130074.60809749336</v>
      </c>
      <c r="AR50" s="62">
        <f t="shared" si="1"/>
        <v>131008.03437992383</v>
      </c>
      <c r="AS50" s="62">
        <f t="shared" si="1"/>
        <v>131942.69696326679</v>
      </c>
      <c r="AT50" s="62">
        <f t="shared" si="1"/>
        <v>132878.59584752229</v>
      </c>
      <c r="AU50" s="62">
        <f t="shared" si="1"/>
        <v>133815.73103269041</v>
      </c>
    </row>
    <row r="51" spans="2:47">
      <c r="B51" s="103" t="s">
        <v>559</v>
      </c>
      <c r="C51" s="62">
        <f t="shared" si="0"/>
        <v>2467.3593062961168</v>
      </c>
      <c r="D51" s="62">
        <f t="shared" ref="D51:R51" si="2">SUM(D6,D15,D24,D33,D42)</f>
        <v>2453.5494219134307</v>
      </c>
      <c r="E51" s="62">
        <f t="shared" si="2"/>
        <v>2439.739537530746</v>
      </c>
      <c r="F51" s="62">
        <f t="shared" si="2"/>
        <v>2425.9296531480577</v>
      </c>
      <c r="G51" s="62">
        <f t="shared" si="2"/>
        <v>2412.119768765373</v>
      </c>
      <c r="H51" s="62">
        <f t="shared" si="2"/>
        <v>2398.3098843826883</v>
      </c>
      <c r="I51" s="62">
        <f t="shared" si="2"/>
        <v>2384.5</v>
      </c>
      <c r="J51" s="62">
        <f t="shared" si="2"/>
        <v>2513</v>
      </c>
      <c r="K51" s="62">
        <f t="shared" si="2"/>
        <v>2578</v>
      </c>
      <c r="L51" s="62">
        <f t="shared" si="2"/>
        <v>2593</v>
      </c>
      <c r="M51" s="62">
        <f t="shared" si="2"/>
        <v>2582</v>
      </c>
      <c r="N51" s="62">
        <f t="shared" si="2"/>
        <v>2296.0279826152314</v>
      </c>
      <c r="O51" s="62">
        <f t="shared" si="2"/>
        <v>2253.1846666281549</v>
      </c>
      <c r="P51" s="62">
        <f t="shared" si="2"/>
        <v>2209.9761884024529</v>
      </c>
      <c r="Q51" s="62">
        <f t="shared" si="2"/>
        <v>2166.4025479380753</v>
      </c>
      <c r="R51" s="62">
        <f t="shared" si="2"/>
        <v>2131.2944660390472</v>
      </c>
      <c r="S51" s="62">
        <f t="shared" si="1"/>
        <v>2095.3916192676479</v>
      </c>
      <c r="T51" s="62">
        <f t="shared" si="1"/>
        <v>2058.6940076238834</v>
      </c>
      <c r="U51" s="62">
        <f t="shared" si="1"/>
        <v>2021.2016311077764</v>
      </c>
      <c r="V51" s="62">
        <f t="shared" si="1"/>
        <v>1982.9144897192966</v>
      </c>
      <c r="W51" s="62">
        <f t="shared" si="1"/>
        <v>1943.8325834584741</v>
      </c>
      <c r="X51" s="62">
        <f t="shared" si="1"/>
        <v>1903.9559123252936</v>
      </c>
      <c r="Y51" s="62">
        <f t="shared" si="1"/>
        <v>1863.2844763197409</v>
      </c>
      <c r="Z51" s="62">
        <f t="shared" si="1"/>
        <v>1821.8182754418378</v>
      </c>
      <c r="AA51" s="62">
        <f t="shared" si="1"/>
        <v>1779.5573096915778</v>
      </c>
      <c r="AB51" s="62">
        <f t="shared" si="1"/>
        <v>1736.5015790689595</v>
      </c>
      <c r="AC51" s="62">
        <f t="shared" si="1"/>
        <v>1692.6510835739987</v>
      </c>
      <c r="AD51" s="62">
        <f t="shared" si="1"/>
        <v>1648.0058232066501</v>
      </c>
      <c r="AE51" s="62">
        <f t="shared" si="1"/>
        <v>1602.5657979669668</v>
      </c>
      <c r="AF51" s="62">
        <f t="shared" si="1"/>
        <v>1556.33100785491</v>
      </c>
      <c r="AG51" s="62">
        <f t="shared" si="1"/>
        <v>1509.3014528705082</v>
      </c>
      <c r="AH51" s="62">
        <f t="shared" si="1"/>
        <v>1461.4771330137521</v>
      </c>
      <c r="AI51" s="62">
        <f t="shared" si="1"/>
        <v>1412.858048284623</v>
      </c>
      <c r="AJ51" s="62">
        <f t="shared" si="1"/>
        <v>1363.4441986831516</v>
      </c>
      <c r="AK51" s="62">
        <f t="shared" si="1"/>
        <v>1313.2355842092986</v>
      </c>
      <c r="AL51" s="62">
        <f t="shared" si="1"/>
        <v>1262.2322048631204</v>
      </c>
      <c r="AM51" s="62">
        <f t="shared" si="1"/>
        <v>1210.4340606445519</v>
      </c>
      <c r="AN51" s="62">
        <f t="shared" si="1"/>
        <v>1157.8411515536584</v>
      </c>
      <c r="AO51" s="62">
        <f t="shared" si="1"/>
        <v>1104.4534775903912</v>
      </c>
      <c r="AP51" s="62">
        <f t="shared" si="1"/>
        <v>1050.2710387547661</v>
      </c>
      <c r="AQ51" s="62">
        <f t="shared" si="1"/>
        <v>995.29383504678322</v>
      </c>
      <c r="AR51" s="62">
        <f t="shared" si="1"/>
        <v>939.52186646643463</v>
      </c>
      <c r="AS51" s="62">
        <f t="shared" si="1"/>
        <v>882.9551330137449</v>
      </c>
      <c r="AT51" s="62">
        <f t="shared" si="1"/>
        <v>825.59363468869776</v>
      </c>
      <c r="AU51" s="62">
        <f t="shared" si="1"/>
        <v>767.43737149127605</v>
      </c>
    </row>
    <row r="52" spans="2:47">
      <c r="B52" s="103" t="s">
        <v>560</v>
      </c>
      <c r="C52" s="62">
        <f t="shared" si="0"/>
        <v>13627.461387407766</v>
      </c>
      <c r="D52" s="62">
        <f t="shared" si="1"/>
        <v>13754.217822839826</v>
      </c>
      <c r="E52" s="62">
        <f t="shared" si="1"/>
        <v>13880.974258271861</v>
      </c>
      <c r="F52" s="62">
        <f t="shared" si="1"/>
        <v>14007.730693703896</v>
      </c>
      <c r="G52" s="62">
        <f t="shared" si="1"/>
        <v>14134.48712913593</v>
      </c>
      <c r="H52" s="62">
        <f t="shared" si="1"/>
        <v>14261.243564567994</v>
      </c>
      <c r="I52" s="62">
        <f t="shared" si="1"/>
        <v>14388</v>
      </c>
      <c r="J52" s="62">
        <f t="shared" si="1"/>
        <v>14709</v>
      </c>
      <c r="K52" s="62">
        <f t="shared" si="1"/>
        <v>14928</v>
      </c>
      <c r="L52" s="62">
        <f t="shared" si="1"/>
        <v>14795</v>
      </c>
      <c r="M52" s="62">
        <f t="shared" si="1"/>
        <v>14924</v>
      </c>
      <c r="N52" s="62">
        <f t="shared" si="1"/>
        <v>14952.458093681416</v>
      </c>
      <c r="O52" s="62">
        <f t="shared" si="1"/>
        <v>15028.79848169113</v>
      </c>
      <c r="P52" s="62">
        <f t="shared" si="1"/>
        <v>15105.301164029108</v>
      </c>
      <c r="Q52" s="62">
        <f t="shared" si="1"/>
        <v>15181.966140695395</v>
      </c>
      <c r="R52" s="62">
        <f t="shared" si="1"/>
        <v>15322.279134226639</v>
      </c>
      <c r="S52" s="62">
        <f t="shared" si="1"/>
        <v>15462.945356590046</v>
      </c>
      <c r="T52" s="62">
        <f t="shared" si="1"/>
        <v>15603.964807785616</v>
      </c>
      <c r="U52" s="62">
        <f t="shared" si="1"/>
        <v>15745.337487813342</v>
      </c>
      <c r="V52" s="62">
        <f t="shared" si="1"/>
        <v>15887.063396673224</v>
      </c>
      <c r="W52" s="62">
        <f t="shared" si="1"/>
        <v>16029.142534365266</v>
      </c>
      <c r="X52" s="62">
        <f t="shared" si="1"/>
        <v>16171.574900889465</v>
      </c>
      <c r="Y52" s="62">
        <f t="shared" si="1"/>
        <v>16314.360496245823</v>
      </c>
      <c r="Z52" s="62">
        <f t="shared" si="1"/>
        <v>16457.499320434348</v>
      </c>
      <c r="AA52" s="62">
        <f t="shared" si="1"/>
        <v>16600.991373455028</v>
      </c>
      <c r="AB52" s="62">
        <f t="shared" si="1"/>
        <v>16744.836655307863</v>
      </c>
      <c r="AC52" s="62">
        <f t="shared" si="1"/>
        <v>16889.035165992856</v>
      </c>
      <c r="AD52" s="62">
        <f t="shared" si="1"/>
        <v>17033.586905510012</v>
      </c>
      <c r="AE52" s="62">
        <f t="shared" si="1"/>
        <v>17178.491873859333</v>
      </c>
      <c r="AF52" s="62">
        <f t="shared" si="1"/>
        <v>17323.750071040802</v>
      </c>
      <c r="AG52" s="62">
        <f t="shared" si="1"/>
        <v>17469.361497054397</v>
      </c>
      <c r="AH52" s="62">
        <f t="shared" si="1"/>
        <v>17615.326151900186</v>
      </c>
      <c r="AI52" s="62">
        <f t="shared" si="1"/>
        <v>17761.644035578138</v>
      </c>
      <c r="AJ52" s="62">
        <f t="shared" si="1"/>
        <v>17908.315148088244</v>
      </c>
      <c r="AK52" s="62">
        <f t="shared" si="1"/>
        <v>18055.339489430517</v>
      </c>
      <c r="AL52" s="62">
        <f t="shared" si="1"/>
        <v>18202.717059604944</v>
      </c>
      <c r="AM52" s="62">
        <f t="shared" si="1"/>
        <v>18350.447858611529</v>
      </c>
      <c r="AN52" s="62">
        <f t="shared" si="1"/>
        <v>18498.53188645027</v>
      </c>
      <c r="AO52" s="62">
        <f t="shared" si="1"/>
        <v>18646.969143121176</v>
      </c>
      <c r="AP52" s="62">
        <f t="shared" si="1"/>
        <v>18795.759628624237</v>
      </c>
      <c r="AQ52" s="62">
        <f t="shared" si="1"/>
        <v>18944.903342959464</v>
      </c>
      <c r="AR52" s="62">
        <f t="shared" si="1"/>
        <v>19094.400286126845</v>
      </c>
      <c r="AS52" s="62">
        <f t="shared" si="1"/>
        <v>19244.250458126382</v>
      </c>
      <c r="AT52" s="62">
        <f t="shared" si="1"/>
        <v>19394.453858958077</v>
      </c>
      <c r="AU52" s="62">
        <f t="shared" si="1"/>
        <v>19545.010488621934</v>
      </c>
    </row>
    <row r="53" spans="2:47">
      <c r="B53" s="103" t="s">
        <v>561</v>
      </c>
      <c r="C53" s="62">
        <f t="shared" si="0"/>
        <v>2467.3593062961168</v>
      </c>
      <c r="D53" s="62">
        <f t="shared" si="1"/>
        <v>2453.5494219134307</v>
      </c>
      <c r="E53" s="62">
        <f t="shared" si="1"/>
        <v>2439.739537530746</v>
      </c>
      <c r="F53" s="62">
        <f t="shared" si="1"/>
        <v>2425.9296531480577</v>
      </c>
      <c r="G53" s="62">
        <f t="shared" si="1"/>
        <v>2412.119768765373</v>
      </c>
      <c r="H53" s="62">
        <f t="shared" si="1"/>
        <v>2398.3098843826883</v>
      </c>
      <c r="I53" s="62">
        <f t="shared" si="1"/>
        <v>2384.5</v>
      </c>
      <c r="J53" s="62">
        <f t="shared" si="1"/>
        <v>2513</v>
      </c>
      <c r="K53" s="62">
        <f t="shared" si="1"/>
        <v>2578</v>
      </c>
      <c r="L53" s="62">
        <f t="shared" si="1"/>
        <v>2593</v>
      </c>
      <c r="M53" s="62">
        <f t="shared" si="1"/>
        <v>2582</v>
      </c>
      <c r="N53" s="62">
        <f t="shared" si="1"/>
        <v>2296.0279826152314</v>
      </c>
      <c r="O53" s="62">
        <f t="shared" si="1"/>
        <v>2253.1846666281549</v>
      </c>
      <c r="P53" s="62">
        <f t="shared" si="1"/>
        <v>2209.9761884024529</v>
      </c>
      <c r="Q53" s="62">
        <f t="shared" si="1"/>
        <v>2166.4025479380753</v>
      </c>
      <c r="R53" s="62">
        <f t="shared" si="1"/>
        <v>2131.2944660390472</v>
      </c>
      <c r="S53" s="62">
        <f t="shared" si="1"/>
        <v>2095.3916192676479</v>
      </c>
      <c r="T53" s="62">
        <f t="shared" si="1"/>
        <v>2058.6940076238834</v>
      </c>
      <c r="U53" s="62">
        <f t="shared" si="1"/>
        <v>2021.2016311077764</v>
      </c>
      <c r="V53" s="62">
        <f t="shared" si="1"/>
        <v>1982.9144897192966</v>
      </c>
      <c r="W53" s="62">
        <f t="shared" si="1"/>
        <v>1943.8325834584741</v>
      </c>
      <c r="X53" s="62">
        <f t="shared" si="1"/>
        <v>1903.9559123252936</v>
      </c>
      <c r="Y53" s="62">
        <f t="shared" si="1"/>
        <v>1863.2844763197409</v>
      </c>
      <c r="Z53" s="62">
        <f t="shared" si="1"/>
        <v>1821.8182754418378</v>
      </c>
      <c r="AA53" s="62">
        <f t="shared" si="1"/>
        <v>1779.5573096915778</v>
      </c>
      <c r="AB53" s="62">
        <f t="shared" si="1"/>
        <v>1736.5015790689595</v>
      </c>
      <c r="AC53" s="62">
        <f t="shared" si="1"/>
        <v>1692.6510835739987</v>
      </c>
      <c r="AD53" s="62">
        <f t="shared" si="1"/>
        <v>1648.0058232066501</v>
      </c>
      <c r="AE53" s="62">
        <f t="shared" si="1"/>
        <v>1602.5657979669668</v>
      </c>
      <c r="AF53" s="62">
        <f t="shared" si="1"/>
        <v>1556.33100785491</v>
      </c>
      <c r="AG53" s="62">
        <f t="shared" si="1"/>
        <v>1509.3014528705082</v>
      </c>
      <c r="AH53" s="62">
        <f t="shared" si="1"/>
        <v>1461.4771330137521</v>
      </c>
      <c r="AI53" s="62">
        <f t="shared" si="1"/>
        <v>1412.858048284623</v>
      </c>
      <c r="AJ53" s="62">
        <f t="shared" si="1"/>
        <v>1363.4441986831516</v>
      </c>
      <c r="AK53" s="62">
        <f t="shared" si="1"/>
        <v>1313.2355842092986</v>
      </c>
      <c r="AL53" s="62">
        <f t="shared" si="1"/>
        <v>1262.2322048631204</v>
      </c>
      <c r="AM53" s="62">
        <f t="shared" si="1"/>
        <v>1210.4340606445519</v>
      </c>
      <c r="AN53" s="62">
        <f t="shared" si="1"/>
        <v>1157.8411515536584</v>
      </c>
      <c r="AO53" s="62">
        <f t="shared" si="1"/>
        <v>1104.4534775903912</v>
      </c>
      <c r="AP53" s="62">
        <f t="shared" si="1"/>
        <v>1050.2710387547661</v>
      </c>
      <c r="AQ53" s="62">
        <f t="shared" si="1"/>
        <v>995.29383504678322</v>
      </c>
      <c r="AR53" s="62">
        <f t="shared" si="1"/>
        <v>939.52186646643463</v>
      </c>
      <c r="AS53" s="62">
        <f t="shared" si="1"/>
        <v>882.9551330137449</v>
      </c>
      <c r="AT53" s="62">
        <f t="shared" si="1"/>
        <v>825.59363468869776</v>
      </c>
      <c r="AU53" s="62">
        <f t="shared" si="1"/>
        <v>767.43737149127605</v>
      </c>
    </row>
    <row r="54" spans="2:47">
      <c r="B54" s="103" t="s">
        <v>562</v>
      </c>
      <c r="C54" s="62">
        <f t="shared" si="0"/>
        <v>0</v>
      </c>
      <c r="D54" s="62">
        <f t="shared" si="1"/>
        <v>0</v>
      </c>
      <c r="E54" s="62">
        <f t="shared" si="1"/>
        <v>0</v>
      </c>
      <c r="F54" s="62">
        <f t="shared" si="1"/>
        <v>0</v>
      </c>
      <c r="G54" s="62">
        <f t="shared" si="1"/>
        <v>0</v>
      </c>
      <c r="H54" s="62">
        <f t="shared" si="1"/>
        <v>0</v>
      </c>
      <c r="I54" s="62">
        <f t="shared" si="1"/>
        <v>0</v>
      </c>
      <c r="J54" s="62">
        <f t="shared" si="1"/>
        <v>0</v>
      </c>
      <c r="K54" s="62">
        <f t="shared" si="1"/>
        <v>0</v>
      </c>
      <c r="L54" s="62">
        <f t="shared" si="1"/>
        <v>0</v>
      </c>
      <c r="M54" s="62">
        <f t="shared" si="1"/>
        <v>0</v>
      </c>
      <c r="N54" s="62">
        <f t="shared" si="1"/>
        <v>0</v>
      </c>
      <c r="O54" s="62">
        <f t="shared" si="1"/>
        <v>0</v>
      </c>
      <c r="P54" s="62">
        <f t="shared" si="1"/>
        <v>0</v>
      </c>
      <c r="Q54" s="62">
        <f t="shared" si="1"/>
        <v>0</v>
      </c>
      <c r="R54" s="62">
        <f t="shared" si="1"/>
        <v>0</v>
      </c>
      <c r="S54" s="62">
        <f t="shared" si="1"/>
        <v>0</v>
      </c>
      <c r="T54" s="62">
        <f t="shared" si="1"/>
        <v>0</v>
      </c>
      <c r="U54" s="62">
        <f t="shared" si="1"/>
        <v>0</v>
      </c>
      <c r="V54" s="62">
        <f t="shared" si="1"/>
        <v>0</v>
      </c>
      <c r="W54" s="62">
        <f t="shared" si="1"/>
        <v>0</v>
      </c>
      <c r="X54" s="62">
        <f t="shared" si="1"/>
        <v>0</v>
      </c>
      <c r="Y54" s="62">
        <f t="shared" si="1"/>
        <v>0</v>
      </c>
      <c r="Z54" s="62">
        <f t="shared" si="1"/>
        <v>0</v>
      </c>
      <c r="AA54" s="62">
        <f t="shared" si="1"/>
        <v>0</v>
      </c>
      <c r="AB54" s="62">
        <f t="shared" si="1"/>
        <v>0</v>
      </c>
      <c r="AC54" s="62">
        <f t="shared" si="1"/>
        <v>0</v>
      </c>
      <c r="AD54" s="62">
        <f t="shared" si="1"/>
        <v>0</v>
      </c>
      <c r="AE54" s="62">
        <f t="shared" si="1"/>
        <v>0</v>
      </c>
      <c r="AF54" s="62">
        <f t="shared" si="1"/>
        <v>0</v>
      </c>
      <c r="AG54" s="62">
        <f t="shared" si="1"/>
        <v>0</v>
      </c>
      <c r="AH54" s="62">
        <f t="shared" si="1"/>
        <v>0</v>
      </c>
      <c r="AI54" s="62">
        <f t="shared" si="1"/>
        <v>0</v>
      </c>
      <c r="AJ54" s="62">
        <f t="shared" si="1"/>
        <v>0</v>
      </c>
      <c r="AK54" s="62">
        <f t="shared" si="1"/>
        <v>0</v>
      </c>
      <c r="AL54" s="62">
        <f t="shared" si="1"/>
        <v>0</v>
      </c>
      <c r="AM54" s="62">
        <f t="shared" si="1"/>
        <v>0</v>
      </c>
      <c r="AN54" s="62">
        <f t="shared" si="1"/>
        <v>0</v>
      </c>
      <c r="AO54" s="62">
        <f t="shared" si="1"/>
        <v>0</v>
      </c>
      <c r="AP54" s="62">
        <f t="shared" si="1"/>
        <v>0</v>
      </c>
      <c r="AQ54" s="62">
        <f t="shared" si="1"/>
        <v>0</v>
      </c>
      <c r="AR54" s="62">
        <f t="shared" si="1"/>
        <v>0</v>
      </c>
      <c r="AS54" s="62">
        <f t="shared" si="1"/>
        <v>0</v>
      </c>
      <c r="AT54" s="62">
        <f t="shared" si="1"/>
        <v>0</v>
      </c>
      <c r="AU54" s="62">
        <f t="shared" si="1"/>
        <v>0</v>
      </c>
    </row>
    <row r="55" spans="2:47">
      <c r="B55" s="103" t="s">
        <v>563</v>
      </c>
      <c r="C55" s="62">
        <f t="shared" si="0"/>
        <v>0</v>
      </c>
      <c r="D55" s="62">
        <f t="shared" si="1"/>
        <v>0</v>
      </c>
      <c r="E55" s="62">
        <f t="shared" si="1"/>
        <v>0</v>
      </c>
      <c r="F55" s="62">
        <f t="shared" si="1"/>
        <v>0</v>
      </c>
      <c r="G55" s="62">
        <f t="shared" si="1"/>
        <v>0</v>
      </c>
      <c r="H55" s="62">
        <f t="shared" si="1"/>
        <v>0</v>
      </c>
      <c r="I55" s="62">
        <f t="shared" si="1"/>
        <v>0</v>
      </c>
      <c r="J55" s="62">
        <f t="shared" si="1"/>
        <v>0</v>
      </c>
      <c r="K55" s="62">
        <f t="shared" si="1"/>
        <v>0</v>
      </c>
      <c r="L55" s="62">
        <f t="shared" si="1"/>
        <v>0</v>
      </c>
      <c r="M55" s="62">
        <f t="shared" si="1"/>
        <v>0</v>
      </c>
      <c r="N55" s="62">
        <f t="shared" si="1"/>
        <v>0</v>
      </c>
      <c r="O55" s="62">
        <f t="shared" si="1"/>
        <v>0</v>
      </c>
      <c r="P55" s="62">
        <f t="shared" si="1"/>
        <v>0</v>
      </c>
      <c r="Q55" s="62">
        <f t="shared" si="1"/>
        <v>0</v>
      </c>
      <c r="R55" s="62">
        <f t="shared" si="1"/>
        <v>0</v>
      </c>
      <c r="S55" s="62">
        <f t="shared" si="1"/>
        <v>0</v>
      </c>
      <c r="T55" s="62">
        <f t="shared" si="1"/>
        <v>0</v>
      </c>
      <c r="U55" s="62">
        <f t="shared" si="1"/>
        <v>0</v>
      </c>
      <c r="V55" s="62">
        <f t="shared" si="1"/>
        <v>0</v>
      </c>
      <c r="W55" s="62">
        <f t="shared" si="1"/>
        <v>0</v>
      </c>
      <c r="X55" s="62">
        <f t="shared" si="1"/>
        <v>0</v>
      </c>
      <c r="Y55" s="62">
        <f t="shared" si="1"/>
        <v>0</v>
      </c>
      <c r="Z55" s="62">
        <f t="shared" si="1"/>
        <v>0</v>
      </c>
      <c r="AA55" s="62">
        <f t="shared" si="1"/>
        <v>0</v>
      </c>
      <c r="AB55" s="62">
        <f t="shared" si="1"/>
        <v>0</v>
      </c>
      <c r="AC55" s="62">
        <f t="shared" si="1"/>
        <v>0</v>
      </c>
      <c r="AD55" s="62">
        <f t="shared" si="1"/>
        <v>0</v>
      </c>
      <c r="AE55" s="62">
        <f t="shared" si="1"/>
        <v>0</v>
      </c>
      <c r="AF55" s="62">
        <f t="shared" si="1"/>
        <v>0</v>
      </c>
      <c r="AG55" s="62">
        <f t="shared" si="1"/>
        <v>0</v>
      </c>
      <c r="AH55" s="62">
        <f t="shared" si="1"/>
        <v>0</v>
      </c>
      <c r="AI55" s="62">
        <f t="shared" si="1"/>
        <v>0</v>
      </c>
      <c r="AJ55" s="62">
        <f t="shared" si="1"/>
        <v>0</v>
      </c>
      <c r="AK55" s="62">
        <f t="shared" si="1"/>
        <v>0</v>
      </c>
      <c r="AL55" s="62">
        <f t="shared" si="1"/>
        <v>0</v>
      </c>
      <c r="AM55" s="62">
        <f t="shared" si="1"/>
        <v>0</v>
      </c>
      <c r="AN55" s="62">
        <f t="shared" si="1"/>
        <v>0</v>
      </c>
      <c r="AO55" s="62">
        <f t="shared" si="1"/>
        <v>0</v>
      </c>
      <c r="AP55" s="62">
        <f t="shared" si="1"/>
        <v>0</v>
      </c>
      <c r="AQ55" s="62">
        <f t="shared" si="1"/>
        <v>0</v>
      </c>
      <c r="AR55" s="62">
        <f t="shared" si="1"/>
        <v>0</v>
      </c>
      <c r="AS55" s="62">
        <f t="shared" si="1"/>
        <v>0</v>
      </c>
      <c r="AT55" s="62">
        <f t="shared" si="1"/>
        <v>0</v>
      </c>
      <c r="AU55" s="62">
        <f t="shared" si="1"/>
        <v>0</v>
      </c>
    </row>
  </sheetData>
  <phoneticPr fontId="3"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4" tint="0.79998168889431442"/>
  </sheetPr>
  <dimension ref="A1:AU49"/>
  <sheetViews>
    <sheetView topLeftCell="A31" zoomScale="85" workbookViewId="0">
      <selection activeCell="C47" sqref="C47:E47"/>
    </sheetView>
  </sheetViews>
  <sheetFormatPr defaultColWidth="8.7109375" defaultRowHeight="15"/>
  <cols>
    <col min="1" max="1" width="5.85546875" style="103" customWidth="1"/>
    <col min="2" max="2" width="21.28515625" style="103" bestFit="1" customWidth="1"/>
    <col min="3" max="3" width="12.7109375" style="103" bestFit="1" customWidth="1"/>
    <col min="4" max="10" width="11" style="103" bestFit="1" customWidth="1"/>
    <col min="11" max="11" width="8.85546875" style="103" bestFit="1" customWidth="1"/>
    <col min="12" max="47" width="11" style="103" bestFit="1" customWidth="1"/>
    <col min="48" max="16384" width="8.7109375" style="103"/>
  </cols>
  <sheetData>
    <row r="1" spans="1:47" ht="21">
      <c r="A1" s="121" t="s">
        <v>671</v>
      </c>
    </row>
    <row r="2" spans="1:47" ht="21">
      <c r="A2" s="121"/>
    </row>
    <row r="3" spans="1:47" s="64" customFormat="1">
      <c r="A3" s="174" t="s">
        <v>28</v>
      </c>
    </row>
    <row r="4" spans="1:47" s="60" customFormat="1">
      <c r="B4" s="60" t="s">
        <v>0</v>
      </c>
      <c r="C4" s="60">
        <v>2006</v>
      </c>
      <c r="D4" s="60">
        <v>2007</v>
      </c>
      <c r="E4" s="60">
        <v>2008</v>
      </c>
      <c r="F4" s="60">
        <v>2009</v>
      </c>
      <c r="G4" s="60">
        <v>2010</v>
      </c>
      <c r="H4" s="60">
        <v>2011</v>
      </c>
      <c r="I4" s="60">
        <v>2012</v>
      </c>
      <c r="J4" s="60">
        <v>2013</v>
      </c>
      <c r="K4" s="60">
        <v>2014</v>
      </c>
      <c r="L4" s="60">
        <v>2015</v>
      </c>
      <c r="M4" s="60">
        <v>2016</v>
      </c>
      <c r="N4" s="60">
        <v>2017</v>
      </c>
      <c r="O4" s="60">
        <v>2018</v>
      </c>
      <c r="P4" s="60">
        <v>2019</v>
      </c>
      <c r="Q4" s="60">
        <v>2020</v>
      </c>
      <c r="R4" s="60">
        <v>2021</v>
      </c>
      <c r="S4" s="60">
        <v>2022</v>
      </c>
      <c r="T4" s="60">
        <v>2023</v>
      </c>
      <c r="U4" s="60">
        <v>2024</v>
      </c>
      <c r="V4" s="60">
        <v>2025</v>
      </c>
      <c r="W4" s="60">
        <v>2026</v>
      </c>
      <c r="X4" s="60">
        <v>2027</v>
      </c>
      <c r="Y4" s="60">
        <v>2028</v>
      </c>
      <c r="Z4" s="60">
        <v>2029</v>
      </c>
      <c r="AA4" s="60">
        <v>2030</v>
      </c>
      <c r="AB4" s="60">
        <v>2031</v>
      </c>
      <c r="AC4" s="60">
        <v>2032</v>
      </c>
      <c r="AD4" s="60">
        <v>2033</v>
      </c>
      <c r="AE4" s="60">
        <v>2034</v>
      </c>
      <c r="AF4" s="60">
        <v>2035</v>
      </c>
      <c r="AG4" s="60">
        <v>2036</v>
      </c>
      <c r="AH4" s="60">
        <v>2037</v>
      </c>
      <c r="AI4" s="60">
        <v>2038</v>
      </c>
      <c r="AJ4" s="60">
        <v>2039</v>
      </c>
      <c r="AK4" s="60">
        <v>2040</v>
      </c>
      <c r="AL4" s="60">
        <v>2041</v>
      </c>
      <c r="AM4" s="60">
        <v>2042</v>
      </c>
      <c r="AN4" s="60">
        <v>2043</v>
      </c>
      <c r="AO4" s="60">
        <v>2044</v>
      </c>
      <c r="AP4" s="60">
        <v>2045</v>
      </c>
      <c r="AQ4" s="60">
        <v>2046</v>
      </c>
      <c r="AR4" s="60">
        <v>2047</v>
      </c>
      <c r="AS4" s="60">
        <v>2048</v>
      </c>
      <c r="AT4" s="60">
        <v>2049</v>
      </c>
      <c r="AU4" s="60">
        <v>2050</v>
      </c>
    </row>
    <row r="5" spans="1:47">
      <c r="B5" s="60" t="s">
        <v>665</v>
      </c>
      <c r="C5" s="175">
        <f>Commercial_2!C5*'BTU Conversion Factor'!$F$4</f>
        <v>15035794942000.002</v>
      </c>
      <c r="D5" s="175">
        <f>Commercial_2!D5*'BTU Conversion Factor'!$F$4</f>
        <v>14942288153333.338</v>
      </c>
      <c r="E5" s="175">
        <f>Commercial_2!E5*'BTU Conversion Factor'!$F$4</f>
        <v>14848781364666.688</v>
      </c>
      <c r="F5" s="175">
        <f>Commercial_2!F5*'BTU Conversion Factor'!$F$4</f>
        <v>14755274576000.012</v>
      </c>
      <c r="G5" s="175">
        <f>Commercial_2!G5*'BTU Conversion Factor'!$F$4</f>
        <v>14661767787333.336</v>
      </c>
      <c r="H5" s="175">
        <f>Commercial_2!H5*'BTU Conversion Factor'!$F$4</f>
        <v>14568260998666.688</v>
      </c>
      <c r="I5" s="175">
        <f>Commercial_2!I5*'BTU Conversion Factor'!$F$4</f>
        <v>14474754209999.998</v>
      </c>
      <c r="J5" s="175">
        <f>Commercial_2!J5*'BTU Conversion Factor'!$F$4</f>
        <v>15389239040000.002</v>
      </c>
      <c r="K5" s="175">
        <f>Commercial_2!K5*'BTU Conversion Factor'!$F$4</f>
        <v>14590480590000</v>
      </c>
      <c r="L5" s="175">
        <f>Commercial_2!L5*'BTU Conversion Factor'!$F$4</f>
        <v>14742033809999.998</v>
      </c>
      <c r="M5" s="175">
        <f>Commercial_2!M5*'BTU Conversion Factor'!$F$4</f>
        <v>14768761770000</v>
      </c>
      <c r="N5" s="175">
        <f>Commercial_2!N5*'BTU Conversion Factor'!$F$4</f>
        <v>14810084434213.041</v>
      </c>
      <c r="O5" s="175">
        <f>Commercial_2!O5*'BTU Conversion Factor'!$F$4</f>
        <v>14774604716841.934</v>
      </c>
      <c r="P5" s="175">
        <f>Commercial_2!P5*'BTU Conversion Factor'!$F$4</f>
        <v>14738340400336.209</v>
      </c>
      <c r="Q5" s="175">
        <f>Commercial_2!Q5*'BTU Conversion Factor'!$F$4</f>
        <v>14701289869558.941</v>
      </c>
      <c r="R5" s="175">
        <f>Commercial_2!R5*'BTU Conversion Factor'!$F$4</f>
        <v>14724460252911.236</v>
      </c>
      <c r="S5" s="175">
        <f>Commercial_2!S5*'BTU Conversion Factor'!$F$4</f>
        <v>14746090899539.479</v>
      </c>
      <c r="T5" s="175">
        <f>Commercial_2!T5*'BTU Conversion Factor'!$F$4</f>
        <v>14766178294145.74</v>
      </c>
      <c r="U5" s="175">
        <f>Commercial_2!U5*'BTU Conversion Factor'!$F$4</f>
        <v>14784718921431.965</v>
      </c>
      <c r="V5" s="175">
        <f>Commercial_2!V5*'BTU Conversion Factor'!$F$4</f>
        <v>14801709266100.135</v>
      </c>
      <c r="W5" s="175">
        <f>Commercial_2!W5*'BTU Conversion Factor'!$F$4</f>
        <v>14817145812852.184</v>
      </c>
      <c r="X5" s="175">
        <f>Commercial_2!X5*'BTU Conversion Factor'!$F$4</f>
        <v>14831025046390.197</v>
      </c>
      <c r="Y5" s="175">
        <f>Commercial_2!Y5*'BTU Conversion Factor'!$F$4</f>
        <v>14843343451416.111</v>
      </c>
      <c r="Z5" s="175">
        <f>Commercial_2!Z5*'BTU Conversion Factor'!$F$4</f>
        <v>14854097512631.91</v>
      </c>
      <c r="AA5" s="175">
        <f>Commercial_2!AA5*'BTU Conversion Factor'!$F$4</f>
        <v>14863283714739.539</v>
      </c>
      <c r="AB5" s="175">
        <f>Commercial_2!AB5*'BTU Conversion Factor'!$F$4</f>
        <v>14870898542441.066</v>
      </c>
      <c r="AC5" s="175">
        <f>Commercial_2!AC5*'BTU Conversion Factor'!$F$4</f>
        <v>14876938480438.434</v>
      </c>
      <c r="AD5" s="175">
        <f>Commercial_2!AD5*'BTU Conversion Factor'!$F$4</f>
        <v>14881400013433.637</v>
      </c>
      <c r="AE5" s="175">
        <f>Commercial_2!AE5*'BTU Conversion Factor'!$F$4</f>
        <v>14884279626128.594</v>
      </c>
      <c r="AF5" s="175">
        <f>Commercial_2!AF5*'BTU Conversion Factor'!$F$4</f>
        <v>14885573803225.402</v>
      </c>
      <c r="AG5" s="175">
        <f>Commercial_2!AG5*'BTU Conversion Factor'!$F$4</f>
        <v>14885279029425.961</v>
      </c>
      <c r="AH5" s="175">
        <f>Commercial_2!AH5*'BTU Conversion Factor'!$F$4</f>
        <v>14883391789432.32</v>
      </c>
      <c r="AI5" s="175">
        <f>Commercial_2!AI5*'BTU Conversion Factor'!$F$4</f>
        <v>14879908567946.385</v>
      </c>
      <c r="AJ5" s="175">
        <f>Commercial_2!AJ5*'BTU Conversion Factor'!$F$4</f>
        <v>14874825849670.232</v>
      </c>
      <c r="AK5" s="175">
        <f>Commercial_2!AK5*'BTU Conversion Factor'!$F$4</f>
        <v>14868140119305.807</v>
      </c>
      <c r="AL5" s="175">
        <f>Commercial_2!AL5*'BTU Conversion Factor'!$F$4</f>
        <v>14859847861555.094</v>
      </c>
      <c r="AM5" s="175">
        <f>Commercial_2!AM5*'BTU Conversion Factor'!$F$4</f>
        <v>14849945561120.02</v>
      </c>
      <c r="AN5" s="175">
        <f>Commercial_2!AN5*'BTU Conversion Factor'!$F$4</f>
        <v>14838429702702.674</v>
      </c>
      <c r="AO5" s="175">
        <f>Commercial_2!AO5*'BTU Conversion Factor'!$F$4</f>
        <v>14825296771004.996</v>
      </c>
      <c r="AP5" s="175">
        <f>Commercial_2!AP5*'BTU Conversion Factor'!$F$4</f>
        <v>14810543250728.969</v>
      </c>
      <c r="AQ5" s="175">
        <f>Commercial_2!AQ5*'BTU Conversion Factor'!$F$4</f>
        <v>14794165626576.52</v>
      </c>
      <c r="AR5" s="175">
        <f>Commercial_2!AR5*'BTU Conversion Factor'!$F$4</f>
        <v>14776160383249.752</v>
      </c>
      <c r="AS5" s="175">
        <f>Commercial_2!AS5*'BTU Conversion Factor'!$F$4</f>
        <v>14756524005450.584</v>
      </c>
      <c r="AT5" s="175">
        <f>Commercial_2!AT5*'BTU Conversion Factor'!$F$4</f>
        <v>14735252977881.004</v>
      </c>
      <c r="AU5" s="175">
        <f>Commercial_2!AU5*'BTU Conversion Factor'!$F$4</f>
        <v>14712343785243.012</v>
      </c>
    </row>
    <row r="6" spans="1:47">
      <c r="B6" s="60" t="s">
        <v>666</v>
      </c>
      <c r="C6" s="175">
        <f>Commercial_2!C6*'BTU Conversion Factor'!$F$4</f>
        <v>0</v>
      </c>
      <c r="D6" s="175">
        <f>Commercial_2!D6*'BTU Conversion Factor'!$F$4</f>
        <v>0</v>
      </c>
      <c r="E6" s="175">
        <f>Commercial_2!E6*'BTU Conversion Factor'!$F$4</f>
        <v>0</v>
      </c>
      <c r="F6" s="175">
        <f>Commercial_2!F6*'BTU Conversion Factor'!$F$4</f>
        <v>0</v>
      </c>
      <c r="G6" s="175">
        <f>Commercial_2!G6*'BTU Conversion Factor'!$F$4</f>
        <v>0</v>
      </c>
      <c r="H6" s="175">
        <f>Commercial_2!H6*'BTU Conversion Factor'!$F$4</f>
        <v>0</v>
      </c>
      <c r="I6" s="175">
        <f>Commercial_2!I6*'BTU Conversion Factor'!$F$4</f>
        <v>0</v>
      </c>
      <c r="J6" s="175">
        <f>Commercial_2!J6*'BTU Conversion Factor'!$F$4</f>
        <v>0</v>
      </c>
      <c r="K6" s="175">
        <f>Commercial_2!K6*'BTU Conversion Factor'!$F$4</f>
        <v>0</v>
      </c>
      <c r="L6" s="175">
        <f>Commercial_2!L6*'BTU Conversion Factor'!$F$4</f>
        <v>0</v>
      </c>
      <c r="M6" s="175">
        <f>Commercial_2!M6*'BTU Conversion Factor'!$F$4</f>
        <v>0</v>
      </c>
      <c r="N6" s="175">
        <f>Commercial_2!N6*'BTU Conversion Factor'!$F$4</f>
        <v>0</v>
      </c>
      <c r="O6" s="175">
        <f>Commercial_2!O6*'BTU Conversion Factor'!$F$4</f>
        <v>0</v>
      </c>
      <c r="P6" s="175">
        <f>Commercial_2!P6*'BTU Conversion Factor'!$F$4</f>
        <v>0</v>
      </c>
      <c r="Q6" s="175">
        <f>Commercial_2!Q6*'BTU Conversion Factor'!$F$4</f>
        <v>0</v>
      </c>
      <c r="R6" s="175">
        <f>Commercial_2!R6*'BTU Conversion Factor'!$F$4</f>
        <v>0</v>
      </c>
      <c r="S6" s="175">
        <f>Commercial_2!S6*'BTU Conversion Factor'!$F$4</f>
        <v>0</v>
      </c>
      <c r="T6" s="175">
        <f>Commercial_2!T6*'BTU Conversion Factor'!$F$4</f>
        <v>0</v>
      </c>
      <c r="U6" s="175">
        <f>Commercial_2!U6*'BTU Conversion Factor'!$F$4</f>
        <v>0</v>
      </c>
      <c r="V6" s="175">
        <f>Commercial_2!V6*'BTU Conversion Factor'!$F$4</f>
        <v>0</v>
      </c>
      <c r="W6" s="175">
        <f>Commercial_2!W6*'BTU Conversion Factor'!$F$4</f>
        <v>0</v>
      </c>
      <c r="X6" s="175">
        <f>Commercial_2!X6*'BTU Conversion Factor'!$F$4</f>
        <v>0</v>
      </c>
      <c r="Y6" s="175">
        <f>Commercial_2!Y6*'BTU Conversion Factor'!$F$4</f>
        <v>0</v>
      </c>
      <c r="Z6" s="175">
        <f>Commercial_2!Z6*'BTU Conversion Factor'!$F$4</f>
        <v>0</v>
      </c>
      <c r="AA6" s="175">
        <f>Commercial_2!AA6*'BTU Conversion Factor'!$F$4</f>
        <v>0</v>
      </c>
      <c r="AB6" s="175">
        <f>Commercial_2!AB6*'BTU Conversion Factor'!$F$4</f>
        <v>0</v>
      </c>
      <c r="AC6" s="175">
        <f>Commercial_2!AC6*'BTU Conversion Factor'!$F$4</f>
        <v>0</v>
      </c>
      <c r="AD6" s="175">
        <f>Commercial_2!AD6*'BTU Conversion Factor'!$F$4</f>
        <v>0</v>
      </c>
      <c r="AE6" s="175">
        <f>Commercial_2!AE6*'BTU Conversion Factor'!$F$4</f>
        <v>0</v>
      </c>
      <c r="AF6" s="175">
        <f>Commercial_2!AF6*'BTU Conversion Factor'!$F$4</f>
        <v>0</v>
      </c>
      <c r="AG6" s="175">
        <f>Commercial_2!AG6*'BTU Conversion Factor'!$F$4</f>
        <v>0</v>
      </c>
      <c r="AH6" s="175">
        <f>Commercial_2!AH6*'BTU Conversion Factor'!$F$4</f>
        <v>0</v>
      </c>
      <c r="AI6" s="175">
        <f>Commercial_2!AI6*'BTU Conversion Factor'!$F$4</f>
        <v>0</v>
      </c>
      <c r="AJ6" s="175">
        <f>Commercial_2!AJ6*'BTU Conversion Factor'!$F$4</f>
        <v>0</v>
      </c>
      <c r="AK6" s="175">
        <f>Commercial_2!AK6*'BTU Conversion Factor'!$F$4</f>
        <v>0</v>
      </c>
      <c r="AL6" s="175">
        <f>Commercial_2!AL6*'BTU Conversion Factor'!$F$4</f>
        <v>0</v>
      </c>
      <c r="AM6" s="175">
        <f>Commercial_2!AM6*'BTU Conversion Factor'!$F$4</f>
        <v>0</v>
      </c>
      <c r="AN6" s="175">
        <f>Commercial_2!AN6*'BTU Conversion Factor'!$F$4</f>
        <v>0</v>
      </c>
      <c r="AO6" s="175">
        <f>Commercial_2!AO6*'BTU Conversion Factor'!$F$4</f>
        <v>0</v>
      </c>
      <c r="AP6" s="175">
        <f>Commercial_2!AP6*'BTU Conversion Factor'!$F$4</f>
        <v>0</v>
      </c>
      <c r="AQ6" s="175">
        <f>Commercial_2!AQ6*'BTU Conversion Factor'!$F$4</f>
        <v>0</v>
      </c>
      <c r="AR6" s="175">
        <f>Commercial_2!AR6*'BTU Conversion Factor'!$F$4</f>
        <v>0</v>
      </c>
      <c r="AS6" s="175">
        <f>Commercial_2!AS6*'BTU Conversion Factor'!$F$4</f>
        <v>0</v>
      </c>
      <c r="AT6" s="175">
        <f>Commercial_2!AT6*'BTU Conversion Factor'!$F$4</f>
        <v>0</v>
      </c>
      <c r="AU6" s="175">
        <f>Commercial_2!AU6*'BTU Conversion Factor'!$F$4</f>
        <v>0</v>
      </c>
    </row>
    <row r="7" spans="1:47">
      <c r="B7" s="60" t="s">
        <v>667</v>
      </c>
      <c r="C7" s="175">
        <f>Commercial_2!C7*'BTU Conversion Factor'!$F$4</f>
        <v>0</v>
      </c>
      <c r="D7" s="175">
        <f>Commercial_2!D7*'BTU Conversion Factor'!$F$4</f>
        <v>0</v>
      </c>
      <c r="E7" s="175">
        <f>Commercial_2!E7*'BTU Conversion Factor'!$F$4</f>
        <v>0</v>
      </c>
      <c r="F7" s="175">
        <f>Commercial_2!F7*'BTU Conversion Factor'!$F$4</f>
        <v>0</v>
      </c>
      <c r="G7" s="175">
        <f>Commercial_2!G7*'BTU Conversion Factor'!$F$4</f>
        <v>0</v>
      </c>
      <c r="H7" s="175">
        <f>Commercial_2!H7*'BTU Conversion Factor'!$F$4</f>
        <v>0</v>
      </c>
      <c r="I7" s="175">
        <f>Commercial_2!I7*'BTU Conversion Factor'!$F$4</f>
        <v>0</v>
      </c>
      <c r="J7" s="175">
        <f>Commercial_2!J7*'BTU Conversion Factor'!$F$4</f>
        <v>0</v>
      </c>
      <c r="K7" s="175">
        <f>Commercial_2!K7*'BTU Conversion Factor'!$F$4</f>
        <v>0</v>
      </c>
      <c r="L7" s="175">
        <f>Commercial_2!L7*'BTU Conversion Factor'!$F$4</f>
        <v>0</v>
      </c>
      <c r="M7" s="175">
        <f>Commercial_2!M7*'BTU Conversion Factor'!$F$4</f>
        <v>0</v>
      </c>
      <c r="N7" s="175">
        <f>Commercial_2!N7*'BTU Conversion Factor'!$F$4</f>
        <v>0</v>
      </c>
      <c r="O7" s="175">
        <f>Commercial_2!O7*'BTU Conversion Factor'!$F$4</f>
        <v>0</v>
      </c>
      <c r="P7" s="175">
        <f>Commercial_2!P7*'BTU Conversion Factor'!$F$4</f>
        <v>0</v>
      </c>
      <c r="Q7" s="175">
        <f>Commercial_2!Q7*'BTU Conversion Factor'!$F$4</f>
        <v>0</v>
      </c>
      <c r="R7" s="175">
        <f>Commercial_2!R7*'BTU Conversion Factor'!$F$4</f>
        <v>0</v>
      </c>
      <c r="S7" s="175">
        <f>Commercial_2!S7*'BTU Conversion Factor'!$F$4</f>
        <v>0</v>
      </c>
      <c r="T7" s="175">
        <f>Commercial_2!T7*'BTU Conversion Factor'!$F$4</f>
        <v>0</v>
      </c>
      <c r="U7" s="175">
        <f>Commercial_2!U7*'BTU Conversion Factor'!$F$4</f>
        <v>0</v>
      </c>
      <c r="V7" s="175">
        <f>Commercial_2!V7*'BTU Conversion Factor'!$F$4</f>
        <v>0</v>
      </c>
      <c r="W7" s="175">
        <f>Commercial_2!W7*'BTU Conversion Factor'!$F$4</f>
        <v>0</v>
      </c>
      <c r="X7" s="175">
        <f>Commercial_2!X7*'BTU Conversion Factor'!$F$4</f>
        <v>0</v>
      </c>
      <c r="Y7" s="175">
        <f>Commercial_2!Y7*'BTU Conversion Factor'!$F$4</f>
        <v>0</v>
      </c>
      <c r="Z7" s="175">
        <f>Commercial_2!Z7*'BTU Conversion Factor'!$F$4</f>
        <v>0</v>
      </c>
      <c r="AA7" s="175">
        <f>Commercial_2!AA7*'BTU Conversion Factor'!$F$4</f>
        <v>0</v>
      </c>
      <c r="AB7" s="175">
        <f>Commercial_2!AB7*'BTU Conversion Factor'!$F$4</f>
        <v>0</v>
      </c>
      <c r="AC7" s="175">
        <f>Commercial_2!AC7*'BTU Conversion Factor'!$F$4</f>
        <v>0</v>
      </c>
      <c r="AD7" s="175">
        <f>Commercial_2!AD7*'BTU Conversion Factor'!$F$4</f>
        <v>0</v>
      </c>
      <c r="AE7" s="175">
        <f>Commercial_2!AE7*'BTU Conversion Factor'!$F$4</f>
        <v>0</v>
      </c>
      <c r="AF7" s="175">
        <f>Commercial_2!AF7*'BTU Conversion Factor'!$F$4</f>
        <v>0</v>
      </c>
      <c r="AG7" s="175">
        <f>Commercial_2!AG7*'BTU Conversion Factor'!$F$4</f>
        <v>0</v>
      </c>
      <c r="AH7" s="175">
        <f>Commercial_2!AH7*'BTU Conversion Factor'!$F$4</f>
        <v>0</v>
      </c>
      <c r="AI7" s="175">
        <f>Commercial_2!AI7*'BTU Conversion Factor'!$F$4</f>
        <v>0</v>
      </c>
      <c r="AJ7" s="175">
        <f>Commercial_2!AJ7*'BTU Conversion Factor'!$F$4</f>
        <v>0</v>
      </c>
      <c r="AK7" s="175">
        <f>Commercial_2!AK7*'BTU Conversion Factor'!$F$4</f>
        <v>0</v>
      </c>
      <c r="AL7" s="175">
        <f>Commercial_2!AL7*'BTU Conversion Factor'!$F$4</f>
        <v>0</v>
      </c>
      <c r="AM7" s="175">
        <f>Commercial_2!AM7*'BTU Conversion Factor'!$F$4</f>
        <v>0</v>
      </c>
      <c r="AN7" s="175">
        <f>Commercial_2!AN7*'BTU Conversion Factor'!$F$4</f>
        <v>0</v>
      </c>
      <c r="AO7" s="175">
        <f>Commercial_2!AO7*'BTU Conversion Factor'!$F$4</f>
        <v>0</v>
      </c>
      <c r="AP7" s="175">
        <f>Commercial_2!AP7*'BTU Conversion Factor'!$F$4</f>
        <v>0</v>
      </c>
      <c r="AQ7" s="175">
        <f>Commercial_2!AQ7*'BTU Conversion Factor'!$F$4</f>
        <v>0</v>
      </c>
      <c r="AR7" s="175">
        <f>Commercial_2!AR7*'BTU Conversion Factor'!$F$4</f>
        <v>0</v>
      </c>
      <c r="AS7" s="175">
        <f>Commercial_2!AS7*'BTU Conversion Factor'!$F$4</f>
        <v>0</v>
      </c>
      <c r="AT7" s="175">
        <f>Commercial_2!AT7*'BTU Conversion Factor'!$F$4</f>
        <v>0</v>
      </c>
      <c r="AU7" s="175">
        <f>Commercial_2!AU7*'BTU Conversion Factor'!$F$4</f>
        <v>0</v>
      </c>
    </row>
    <row r="8" spans="1:47">
      <c r="B8" s="60" t="s">
        <v>668</v>
      </c>
      <c r="C8" s="175">
        <f>Commercial_2!C8*'BTU Conversion Factor'!$F$4</f>
        <v>0</v>
      </c>
      <c r="D8" s="175">
        <f>Commercial_2!D8*'BTU Conversion Factor'!$F$4</f>
        <v>0</v>
      </c>
      <c r="E8" s="175">
        <f>Commercial_2!E8*'BTU Conversion Factor'!$F$4</f>
        <v>0</v>
      </c>
      <c r="F8" s="175">
        <f>Commercial_2!F8*'BTU Conversion Factor'!$F$4</f>
        <v>0</v>
      </c>
      <c r="G8" s="175">
        <f>Commercial_2!G8*'BTU Conversion Factor'!$F$4</f>
        <v>0</v>
      </c>
      <c r="H8" s="175">
        <f>Commercial_2!H8*'BTU Conversion Factor'!$F$4</f>
        <v>0</v>
      </c>
      <c r="I8" s="175">
        <f>Commercial_2!I8*'BTU Conversion Factor'!$F$4</f>
        <v>0</v>
      </c>
      <c r="J8" s="175">
        <f>Commercial_2!J8*'BTU Conversion Factor'!$F$4</f>
        <v>0</v>
      </c>
      <c r="K8" s="175">
        <f>Commercial_2!K8*'BTU Conversion Factor'!$F$4</f>
        <v>0</v>
      </c>
      <c r="L8" s="175">
        <f>Commercial_2!L8*'BTU Conversion Factor'!$F$4</f>
        <v>0</v>
      </c>
      <c r="M8" s="175">
        <f>Commercial_2!M8*'BTU Conversion Factor'!$F$4</f>
        <v>0</v>
      </c>
      <c r="N8" s="175">
        <f>Commercial_2!N8*'BTU Conversion Factor'!$F$4</f>
        <v>0</v>
      </c>
      <c r="O8" s="175">
        <f>Commercial_2!O8*'BTU Conversion Factor'!$F$4</f>
        <v>0</v>
      </c>
      <c r="P8" s="175">
        <f>Commercial_2!P8*'BTU Conversion Factor'!$F$4</f>
        <v>0</v>
      </c>
      <c r="Q8" s="175">
        <f>Commercial_2!Q8*'BTU Conversion Factor'!$F$4</f>
        <v>0</v>
      </c>
      <c r="R8" s="175">
        <f>Commercial_2!R8*'BTU Conversion Factor'!$F$4</f>
        <v>0</v>
      </c>
      <c r="S8" s="175">
        <f>Commercial_2!S8*'BTU Conversion Factor'!$F$4</f>
        <v>0</v>
      </c>
      <c r="T8" s="175">
        <f>Commercial_2!T8*'BTU Conversion Factor'!$F$4</f>
        <v>0</v>
      </c>
      <c r="U8" s="175">
        <f>Commercial_2!U8*'BTU Conversion Factor'!$F$4</f>
        <v>0</v>
      </c>
      <c r="V8" s="175">
        <f>Commercial_2!V8*'BTU Conversion Factor'!$F$4</f>
        <v>0</v>
      </c>
      <c r="W8" s="175">
        <f>Commercial_2!W8*'BTU Conversion Factor'!$F$4</f>
        <v>0</v>
      </c>
      <c r="X8" s="175">
        <f>Commercial_2!X8*'BTU Conversion Factor'!$F$4</f>
        <v>0</v>
      </c>
      <c r="Y8" s="175">
        <f>Commercial_2!Y8*'BTU Conversion Factor'!$F$4</f>
        <v>0</v>
      </c>
      <c r="Z8" s="175">
        <f>Commercial_2!Z8*'BTU Conversion Factor'!$F$4</f>
        <v>0</v>
      </c>
      <c r="AA8" s="175">
        <f>Commercial_2!AA8*'BTU Conversion Factor'!$F$4</f>
        <v>0</v>
      </c>
      <c r="AB8" s="175">
        <f>Commercial_2!AB8*'BTU Conversion Factor'!$F$4</f>
        <v>0</v>
      </c>
      <c r="AC8" s="175">
        <f>Commercial_2!AC8*'BTU Conversion Factor'!$F$4</f>
        <v>0</v>
      </c>
      <c r="AD8" s="175">
        <f>Commercial_2!AD8*'BTU Conversion Factor'!$F$4</f>
        <v>0</v>
      </c>
      <c r="AE8" s="175">
        <f>Commercial_2!AE8*'BTU Conversion Factor'!$F$4</f>
        <v>0</v>
      </c>
      <c r="AF8" s="175">
        <f>Commercial_2!AF8*'BTU Conversion Factor'!$F$4</f>
        <v>0</v>
      </c>
      <c r="AG8" s="175">
        <f>Commercial_2!AG8*'BTU Conversion Factor'!$F$4</f>
        <v>0</v>
      </c>
      <c r="AH8" s="175">
        <f>Commercial_2!AH8*'BTU Conversion Factor'!$F$4</f>
        <v>0</v>
      </c>
      <c r="AI8" s="175">
        <f>Commercial_2!AI8*'BTU Conversion Factor'!$F$4</f>
        <v>0</v>
      </c>
      <c r="AJ8" s="175">
        <f>Commercial_2!AJ8*'BTU Conversion Factor'!$F$4</f>
        <v>0</v>
      </c>
      <c r="AK8" s="175">
        <f>Commercial_2!AK8*'BTU Conversion Factor'!$F$4</f>
        <v>0</v>
      </c>
      <c r="AL8" s="175">
        <f>Commercial_2!AL8*'BTU Conversion Factor'!$F$4</f>
        <v>0</v>
      </c>
      <c r="AM8" s="175">
        <f>Commercial_2!AM8*'BTU Conversion Factor'!$F$4</f>
        <v>0</v>
      </c>
      <c r="AN8" s="175">
        <f>Commercial_2!AN8*'BTU Conversion Factor'!$F$4</f>
        <v>0</v>
      </c>
      <c r="AO8" s="175">
        <f>Commercial_2!AO8*'BTU Conversion Factor'!$F$4</f>
        <v>0</v>
      </c>
      <c r="AP8" s="175">
        <f>Commercial_2!AP8*'BTU Conversion Factor'!$F$4</f>
        <v>0</v>
      </c>
      <c r="AQ8" s="175">
        <f>Commercial_2!AQ8*'BTU Conversion Factor'!$F$4</f>
        <v>0</v>
      </c>
      <c r="AR8" s="175">
        <f>Commercial_2!AR8*'BTU Conversion Factor'!$F$4</f>
        <v>0</v>
      </c>
      <c r="AS8" s="175">
        <f>Commercial_2!AS8*'BTU Conversion Factor'!$F$4</f>
        <v>0</v>
      </c>
      <c r="AT8" s="175">
        <f>Commercial_2!AT8*'BTU Conversion Factor'!$F$4</f>
        <v>0</v>
      </c>
      <c r="AU8" s="175">
        <f>Commercial_2!AU8*'BTU Conversion Factor'!$F$4</f>
        <v>0</v>
      </c>
    </row>
    <row r="9" spans="1:47">
      <c r="B9" s="60" t="s">
        <v>669</v>
      </c>
      <c r="C9" s="175">
        <f>Commercial_2!C9*'BTU Conversion Factor'!$F$4</f>
        <v>0</v>
      </c>
      <c r="D9" s="175">
        <f>Commercial_2!D9*'BTU Conversion Factor'!$F$4</f>
        <v>0</v>
      </c>
      <c r="E9" s="175">
        <f>Commercial_2!E9*'BTU Conversion Factor'!$F$4</f>
        <v>0</v>
      </c>
      <c r="F9" s="175">
        <f>Commercial_2!F9*'BTU Conversion Factor'!$F$4</f>
        <v>0</v>
      </c>
      <c r="G9" s="175">
        <f>Commercial_2!G9*'BTU Conversion Factor'!$F$4</f>
        <v>0</v>
      </c>
      <c r="H9" s="175">
        <f>Commercial_2!H9*'BTU Conversion Factor'!$F$4</f>
        <v>0</v>
      </c>
      <c r="I9" s="175">
        <f>Commercial_2!I9*'BTU Conversion Factor'!$F$4</f>
        <v>0</v>
      </c>
      <c r="J9" s="175">
        <f>Commercial_2!J9*'BTU Conversion Factor'!$F$4</f>
        <v>0</v>
      </c>
      <c r="K9" s="175">
        <f>Commercial_2!K9*'BTU Conversion Factor'!$F$4</f>
        <v>0</v>
      </c>
      <c r="L9" s="175">
        <f>Commercial_2!L9*'BTU Conversion Factor'!$F$4</f>
        <v>0</v>
      </c>
      <c r="M9" s="175">
        <f>Commercial_2!M9*'BTU Conversion Factor'!$F$4</f>
        <v>0</v>
      </c>
      <c r="N9" s="175">
        <f>Commercial_2!N9*'BTU Conversion Factor'!$F$4</f>
        <v>0</v>
      </c>
      <c r="O9" s="175">
        <f>Commercial_2!O9*'BTU Conversion Factor'!$F$4</f>
        <v>0</v>
      </c>
      <c r="P9" s="175">
        <f>Commercial_2!P9*'BTU Conversion Factor'!$F$4</f>
        <v>0</v>
      </c>
      <c r="Q9" s="175">
        <f>Commercial_2!Q9*'BTU Conversion Factor'!$F$4</f>
        <v>0</v>
      </c>
      <c r="R9" s="175">
        <f>Commercial_2!R9*'BTU Conversion Factor'!$F$4</f>
        <v>0</v>
      </c>
      <c r="S9" s="175">
        <f>Commercial_2!S9*'BTU Conversion Factor'!$F$4</f>
        <v>0</v>
      </c>
      <c r="T9" s="175">
        <f>Commercial_2!T9*'BTU Conversion Factor'!$F$4</f>
        <v>0</v>
      </c>
      <c r="U9" s="175">
        <f>Commercial_2!U9*'BTU Conversion Factor'!$F$4</f>
        <v>0</v>
      </c>
      <c r="V9" s="175">
        <f>Commercial_2!V9*'BTU Conversion Factor'!$F$4</f>
        <v>0</v>
      </c>
      <c r="W9" s="175">
        <f>Commercial_2!W9*'BTU Conversion Factor'!$F$4</f>
        <v>0</v>
      </c>
      <c r="X9" s="175">
        <f>Commercial_2!X9*'BTU Conversion Factor'!$F$4</f>
        <v>0</v>
      </c>
      <c r="Y9" s="175">
        <f>Commercial_2!Y9*'BTU Conversion Factor'!$F$4</f>
        <v>0</v>
      </c>
      <c r="Z9" s="175">
        <f>Commercial_2!Z9*'BTU Conversion Factor'!$F$4</f>
        <v>0</v>
      </c>
      <c r="AA9" s="175">
        <f>Commercial_2!AA9*'BTU Conversion Factor'!$F$4</f>
        <v>0</v>
      </c>
      <c r="AB9" s="175">
        <f>Commercial_2!AB9*'BTU Conversion Factor'!$F$4</f>
        <v>0</v>
      </c>
      <c r="AC9" s="175">
        <f>Commercial_2!AC9*'BTU Conversion Factor'!$F$4</f>
        <v>0</v>
      </c>
      <c r="AD9" s="175">
        <f>Commercial_2!AD9*'BTU Conversion Factor'!$F$4</f>
        <v>0</v>
      </c>
      <c r="AE9" s="175">
        <f>Commercial_2!AE9*'BTU Conversion Factor'!$F$4</f>
        <v>0</v>
      </c>
      <c r="AF9" s="175">
        <f>Commercial_2!AF9*'BTU Conversion Factor'!$F$4</f>
        <v>0</v>
      </c>
      <c r="AG9" s="175">
        <f>Commercial_2!AG9*'BTU Conversion Factor'!$F$4</f>
        <v>0</v>
      </c>
      <c r="AH9" s="175">
        <f>Commercial_2!AH9*'BTU Conversion Factor'!$F$4</f>
        <v>0</v>
      </c>
      <c r="AI9" s="175">
        <f>Commercial_2!AI9*'BTU Conversion Factor'!$F$4</f>
        <v>0</v>
      </c>
      <c r="AJ9" s="175">
        <f>Commercial_2!AJ9*'BTU Conversion Factor'!$F$4</f>
        <v>0</v>
      </c>
      <c r="AK9" s="175">
        <f>Commercial_2!AK9*'BTU Conversion Factor'!$F$4</f>
        <v>0</v>
      </c>
      <c r="AL9" s="175">
        <f>Commercial_2!AL9*'BTU Conversion Factor'!$F$4</f>
        <v>0</v>
      </c>
      <c r="AM9" s="175">
        <f>Commercial_2!AM9*'BTU Conversion Factor'!$F$4</f>
        <v>0</v>
      </c>
      <c r="AN9" s="175">
        <f>Commercial_2!AN9*'BTU Conversion Factor'!$F$4</f>
        <v>0</v>
      </c>
      <c r="AO9" s="175">
        <f>Commercial_2!AO9*'BTU Conversion Factor'!$F$4</f>
        <v>0</v>
      </c>
      <c r="AP9" s="175">
        <f>Commercial_2!AP9*'BTU Conversion Factor'!$F$4</f>
        <v>0</v>
      </c>
      <c r="AQ9" s="175">
        <f>Commercial_2!AQ9*'BTU Conversion Factor'!$F$4</f>
        <v>0</v>
      </c>
      <c r="AR9" s="175">
        <f>Commercial_2!AR9*'BTU Conversion Factor'!$F$4</f>
        <v>0</v>
      </c>
      <c r="AS9" s="175">
        <f>Commercial_2!AS9*'BTU Conversion Factor'!$F$4</f>
        <v>0</v>
      </c>
      <c r="AT9" s="175">
        <f>Commercial_2!AT9*'BTU Conversion Factor'!$F$4</f>
        <v>0</v>
      </c>
      <c r="AU9" s="175">
        <f>Commercial_2!AU9*'BTU Conversion Factor'!$F$4</f>
        <v>0</v>
      </c>
    </row>
    <row r="10" spans="1:47">
      <c r="B10" s="60" t="s">
        <v>670</v>
      </c>
      <c r="C10" s="175">
        <f>Commercial_2!C10*'BTU Conversion Factor'!$F$4</f>
        <v>0</v>
      </c>
      <c r="D10" s="175">
        <f>Commercial_2!D10*'BTU Conversion Factor'!$F$4</f>
        <v>0</v>
      </c>
      <c r="E10" s="175">
        <f>Commercial_2!E10*'BTU Conversion Factor'!$F$4</f>
        <v>0</v>
      </c>
      <c r="F10" s="175">
        <f>Commercial_2!F10*'BTU Conversion Factor'!$F$4</f>
        <v>0</v>
      </c>
      <c r="G10" s="175">
        <f>Commercial_2!G10*'BTU Conversion Factor'!$F$4</f>
        <v>0</v>
      </c>
      <c r="H10" s="175">
        <f>Commercial_2!H10*'BTU Conversion Factor'!$F$4</f>
        <v>0</v>
      </c>
      <c r="I10" s="175">
        <f>Commercial_2!I10*'BTU Conversion Factor'!$F$4</f>
        <v>0</v>
      </c>
      <c r="J10" s="175">
        <f>Commercial_2!J10*'BTU Conversion Factor'!$F$4</f>
        <v>0</v>
      </c>
      <c r="K10" s="175">
        <f>Commercial_2!K10*'BTU Conversion Factor'!$F$4</f>
        <v>0</v>
      </c>
      <c r="L10" s="175">
        <f>Commercial_2!L10*'BTU Conversion Factor'!$F$4</f>
        <v>0</v>
      </c>
      <c r="M10" s="175">
        <f>Commercial_2!M10*'BTU Conversion Factor'!$F$4</f>
        <v>0</v>
      </c>
      <c r="N10" s="175">
        <f>Commercial_2!N10*'BTU Conversion Factor'!$F$4</f>
        <v>0</v>
      </c>
      <c r="O10" s="175">
        <f>Commercial_2!O10*'BTU Conversion Factor'!$F$4</f>
        <v>0</v>
      </c>
      <c r="P10" s="175">
        <f>Commercial_2!P10*'BTU Conversion Factor'!$F$4</f>
        <v>0</v>
      </c>
      <c r="Q10" s="175">
        <f>Commercial_2!Q10*'BTU Conversion Factor'!$F$4</f>
        <v>0</v>
      </c>
      <c r="R10" s="175">
        <f>Commercial_2!R10*'BTU Conversion Factor'!$F$4</f>
        <v>0</v>
      </c>
      <c r="S10" s="175">
        <f>Commercial_2!S10*'BTU Conversion Factor'!$F$4</f>
        <v>0</v>
      </c>
      <c r="T10" s="175">
        <f>Commercial_2!T10*'BTU Conversion Factor'!$F$4</f>
        <v>0</v>
      </c>
      <c r="U10" s="175">
        <f>Commercial_2!U10*'BTU Conversion Factor'!$F$4</f>
        <v>0</v>
      </c>
      <c r="V10" s="175">
        <f>Commercial_2!V10*'BTU Conversion Factor'!$F$4</f>
        <v>0</v>
      </c>
      <c r="W10" s="175">
        <f>Commercial_2!W10*'BTU Conversion Factor'!$F$4</f>
        <v>0</v>
      </c>
      <c r="X10" s="175">
        <f>Commercial_2!X10*'BTU Conversion Factor'!$F$4</f>
        <v>0</v>
      </c>
      <c r="Y10" s="175">
        <f>Commercial_2!Y10*'BTU Conversion Factor'!$F$4</f>
        <v>0</v>
      </c>
      <c r="Z10" s="175">
        <f>Commercial_2!Z10*'BTU Conversion Factor'!$F$4</f>
        <v>0</v>
      </c>
      <c r="AA10" s="175">
        <f>Commercial_2!AA10*'BTU Conversion Factor'!$F$4</f>
        <v>0</v>
      </c>
      <c r="AB10" s="175">
        <f>Commercial_2!AB10*'BTU Conversion Factor'!$F$4</f>
        <v>0</v>
      </c>
      <c r="AC10" s="175">
        <f>Commercial_2!AC10*'BTU Conversion Factor'!$F$4</f>
        <v>0</v>
      </c>
      <c r="AD10" s="175">
        <f>Commercial_2!AD10*'BTU Conversion Factor'!$F$4</f>
        <v>0</v>
      </c>
      <c r="AE10" s="175">
        <f>Commercial_2!AE10*'BTU Conversion Factor'!$F$4</f>
        <v>0</v>
      </c>
      <c r="AF10" s="175">
        <f>Commercial_2!AF10*'BTU Conversion Factor'!$F$4</f>
        <v>0</v>
      </c>
      <c r="AG10" s="175">
        <f>Commercial_2!AG10*'BTU Conversion Factor'!$F$4</f>
        <v>0</v>
      </c>
      <c r="AH10" s="175">
        <f>Commercial_2!AH10*'BTU Conversion Factor'!$F$4</f>
        <v>0</v>
      </c>
      <c r="AI10" s="175">
        <f>Commercial_2!AI10*'BTU Conversion Factor'!$F$4</f>
        <v>0</v>
      </c>
      <c r="AJ10" s="175">
        <f>Commercial_2!AJ10*'BTU Conversion Factor'!$F$4</f>
        <v>0</v>
      </c>
      <c r="AK10" s="175">
        <f>Commercial_2!AK10*'BTU Conversion Factor'!$F$4</f>
        <v>0</v>
      </c>
      <c r="AL10" s="175">
        <f>Commercial_2!AL10*'BTU Conversion Factor'!$F$4</f>
        <v>0</v>
      </c>
      <c r="AM10" s="175">
        <f>Commercial_2!AM10*'BTU Conversion Factor'!$F$4</f>
        <v>0</v>
      </c>
      <c r="AN10" s="175">
        <f>Commercial_2!AN10*'BTU Conversion Factor'!$F$4</f>
        <v>0</v>
      </c>
      <c r="AO10" s="175">
        <f>Commercial_2!AO10*'BTU Conversion Factor'!$F$4</f>
        <v>0</v>
      </c>
      <c r="AP10" s="175">
        <f>Commercial_2!AP10*'BTU Conversion Factor'!$F$4</f>
        <v>0</v>
      </c>
      <c r="AQ10" s="175">
        <f>Commercial_2!AQ10*'BTU Conversion Factor'!$F$4</f>
        <v>0</v>
      </c>
      <c r="AR10" s="175">
        <f>Commercial_2!AR10*'BTU Conversion Factor'!$F$4</f>
        <v>0</v>
      </c>
      <c r="AS10" s="175">
        <f>Commercial_2!AS10*'BTU Conversion Factor'!$F$4</f>
        <v>0</v>
      </c>
      <c r="AT10" s="175">
        <f>Commercial_2!AT10*'BTU Conversion Factor'!$F$4</f>
        <v>0</v>
      </c>
      <c r="AU10" s="175">
        <f>Commercial_2!AU10*'BTU Conversion Factor'!$F$4</f>
        <v>0</v>
      </c>
    </row>
    <row r="12" spans="1:47" s="64" customFormat="1">
      <c r="A12" s="124" t="s">
        <v>87</v>
      </c>
    </row>
    <row r="13" spans="1:47" s="60" customFormat="1">
      <c r="B13" s="60" t="s">
        <v>0</v>
      </c>
      <c r="C13" s="60">
        <v>2006</v>
      </c>
      <c r="D13" s="60">
        <v>2007</v>
      </c>
      <c r="E13" s="60">
        <v>2008</v>
      </c>
      <c r="F13" s="60">
        <v>2009</v>
      </c>
      <c r="G13" s="60">
        <v>2010</v>
      </c>
      <c r="H13" s="60">
        <v>2011</v>
      </c>
      <c r="I13" s="60">
        <v>2012</v>
      </c>
      <c r="J13" s="60">
        <v>2013</v>
      </c>
      <c r="K13" s="60">
        <v>2014</v>
      </c>
      <c r="L13" s="60">
        <v>2015</v>
      </c>
      <c r="M13" s="60">
        <v>2016</v>
      </c>
      <c r="N13" s="60">
        <v>2017</v>
      </c>
      <c r="O13" s="60">
        <v>2018</v>
      </c>
      <c r="P13" s="60">
        <v>2019</v>
      </c>
      <c r="Q13" s="60">
        <v>2020</v>
      </c>
      <c r="R13" s="60">
        <v>2021</v>
      </c>
      <c r="S13" s="60">
        <v>2022</v>
      </c>
      <c r="T13" s="60">
        <v>2023</v>
      </c>
      <c r="U13" s="60">
        <v>2024</v>
      </c>
      <c r="V13" s="60">
        <v>2025</v>
      </c>
      <c r="W13" s="60">
        <v>2026</v>
      </c>
      <c r="X13" s="60">
        <v>2027</v>
      </c>
      <c r="Y13" s="60">
        <v>2028</v>
      </c>
      <c r="Z13" s="60">
        <v>2029</v>
      </c>
      <c r="AA13" s="60">
        <v>2030</v>
      </c>
      <c r="AB13" s="60">
        <v>2031</v>
      </c>
      <c r="AC13" s="60">
        <v>2032</v>
      </c>
      <c r="AD13" s="60">
        <v>2033</v>
      </c>
      <c r="AE13" s="60">
        <v>2034</v>
      </c>
      <c r="AF13" s="60">
        <v>2035</v>
      </c>
      <c r="AG13" s="60">
        <v>2036</v>
      </c>
      <c r="AH13" s="60">
        <v>2037</v>
      </c>
      <c r="AI13" s="60">
        <v>2038</v>
      </c>
      <c r="AJ13" s="60">
        <v>2039</v>
      </c>
      <c r="AK13" s="60">
        <v>2040</v>
      </c>
      <c r="AL13" s="60">
        <v>2041</v>
      </c>
      <c r="AM13" s="60">
        <v>2042</v>
      </c>
      <c r="AN13" s="60">
        <v>2043</v>
      </c>
      <c r="AO13" s="60">
        <v>2044</v>
      </c>
      <c r="AP13" s="60">
        <v>2045</v>
      </c>
      <c r="AQ13" s="60">
        <v>2046</v>
      </c>
      <c r="AR13" s="60">
        <v>2047</v>
      </c>
      <c r="AS13" s="60">
        <v>2048</v>
      </c>
      <c r="AT13" s="60">
        <v>2049</v>
      </c>
      <c r="AU13" s="60">
        <v>2050</v>
      </c>
    </row>
    <row r="14" spans="1:47">
      <c r="B14" s="60" t="s">
        <v>665</v>
      </c>
      <c r="C14" s="175">
        <f>Commercial_2!C14*'BTU Conversion Factor'!$F$4</f>
        <v>29187131358000</v>
      </c>
      <c r="D14" s="175">
        <f>Commercial_2!D14*'BTU Conversion Factor'!$F$4</f>
        <v>29147527534999.984</v>
      </c>
      <c r="E14" s="175">
        <f>Commercial_2!E14*'BTU Conversion Factor'!$F$4</f>
        <v>29107923711999.992</v>
      </c>
      <c r="F14" s="175">
        <f>Commercial_2!F14*'BTU Conversion Factor'!$F$4</f>
        <v>29068319888999.992</v>
      </c>
      <c r="G14" s="175">
        <f>Commercial_2!G14*'BTU Conversion Factor'!$F$4</f>
        <v>29028716065999.988</v>
      </c>
      <c r="H14" s="175">
        <f>Commercial_2!H14*'BTU Conversion Factor'!$F$4</f>
        <v>28989112242999.984</v>
      </c>
      <c r="I14" s="175">
        <f>Commercial_2!I14*'BTU Conversion Factor'!$F$4</f>
        <v>28949508419999.996</v>
      </c>
      <c r="J14" s="175">
        <f>Commercial_2!J14*'BTU Conversion Factor'!$F$4</f>
        <v>28854823200000</v>
      </c>
      <c r="K14" s="175">
        <f>Commercial_2!K14*'BTU Conversion Factor'!$F$4</f>
        <v>30153659886000</v>
      </c>
      <c r="L14" s="175">
        <f>Commercial_2!L14*'BTU Conversion Factor'!$F$4</f>
        <v>28501265365999.996</v>
      </c>
      <c r="M14" s="175">
        <f>Commercial_2!M14*'BTU Conversion Factor'!$F$4</f>
        <v>28552939422000</v>
      </c>
      <c r="N14" s="175">
        <f>Commercial_2!N14*'BTU Conversion Factor'!$F$4</f>
        <v>30912323886176.07</v>
      </c>
      <c r="O14" s="175">
        <f>Commercial_2!O14*'BTU Conversion Factor'!$F$4</f>
        <v>31146463997666.734</v>
      </c>
      <c r="P14" s="175">
        <f>Commercial_2!P14*'BTU Conversion Factor'!$F$4</f>
        <v>31381636362620.555</v>
      </c>
      <c r="Q14" s="175">
        <f>Commercial_2!Q14*'BTU Conversion Factor'!$F$4</f>
        <v>31617842596174.594</v>
      </c>
      <c r="R14" s="175">
        <f>Commercial_2!R14*'BTU Conversion Factor'!$F$4</f>
        <v>31987620549427.703</v>
      </c>
      <c r="S14" s="175">
        <f>Commercial_2!S14*'BTU Conversion Factor'!$F$4</f>
        <v>32359477251767.145</v>
      </c>
      <c r="T14" s="175">
        <f>Commercial_2!T14*'BTU Conversion Factor'!$F$4</f>
        <v>32733416218490.828</v>
      </c>
      <c r="U14" s="175">
        <f>Commercial_2!U14*'BTU Conversion Factor'!$F$4</f>
        <v>33109440964896.813</v>
      </c>
      <c r="V14" s="175">
        <f>Commercial_2!V14*'BTU Conversion Factor'!$F$4</f>
        <v>33487555006283.117</v>
      </c>
      <c r="W14" s="175">
        <f>Commercial_2!W14*'BTU Conversion Factor'!$F$4</f>
        <v>33867761857947.805</v>
      </c>
      <c r="X14" s="175">
        <f>Commercial_2!X14*'BTU Conversion Factor'!$F$4</f>
        <v>34250065035188.789</v>
      </c>
      <c r="Y14" s="175">
        <f>Commercial_2!Y14*'BTU Conversion Factor'!$F$4</f>
        <v>34634468053304.133</v>
      </c>
      <c r="Z14" s="175">
        <f>Commercial_2!Z14*'BTU Conversion Factor'!$F$4</f>
        <v>35020974427591.855</v>
      </c>
      <c r="AA14" s="175">
        <f>Commercial_2!AA14*'BTU Conversion Factor'!$F$4</f>
        <v>35409587673350.031</v>
      </c>
      <c r="AB14" s="175">
        <f>Commercial_2!AB14*'BTU Conversion Factor'!$F$4</f>
        <v>35800311305876.555</v>
      </c>
      <c r="AC14" s="175">
        <f>Commercial_2!AC14*'BTU Conversion Factor'!$F$4</f>
        <v>36193148840469.484</v>
      </c>
      <c r="AD14" s="175">
        <f>Commercial_2!AD14*'BTU Conversion Factor'!$F$4</f>
        <v>36588103792426.883</v>
      </c>
      <c r="AE14" s="175">
        <f>Commercial_2!AE14*'BTU Conversion Factor'!$F$4</f>
        <v>36985179677046.758</v>
      </c>
      <c r="AF14" s="175">
        <f>Commercial_2!AF14*'BTU Conversion Factor'!$F$4</f>
        <v>37384380009627.07</v>
      </c>
      <c r="AG14" s="175">
        <f>Commercial_2!AG14*'BTU Conversion Factor'!$F$4</f>
        <v>37785708305465.766</v>
      </c>
      <c r="AH14" s="175">
        <f>Commercial_2!AH14*'BTU Conversion Factor'!$F$4</f>
        <v>38189168079861.031</v>
      </c>
      <c r="AI14" s="175">
        <f>Commercial_2!AI14*'BTU Conversion Factor'!$F$4</f>
        <v>38594762848110.883</v>
      </c>
      <c r="AJ14" s="175">
        <f>Commercial_2!AJ14*'BTU Conversion Factor'!$F$4</f>
        <v>39002496125513.188</v>
      </c>
      <c r="AK14" s="175">
        <f>Commercial_2!AK14*'BTU Conversion Factor'!$F$4</f>
        <v>39412371427366.039</v>
      </c>
      <c r="AL14" s="175">
        <f>Commercial_2!AL14*'BTU Conversion Factor'!$F$4</f>
        <v>39824392268967.445</v>
      </c>
      <c r="AM14" s="175">
        <f>Commercial_2!AM14*'BTU Conversion Factor'!$F$4</f>
        <v>40238562165615.484</v>
      </c>
      <c r="AN14" s="175">
        <f>Commercial_2!AN14*'BTU Conversion Factor'!$F$4</f>
        <v>40654884632608.031</v>
      </c>
      <c r="AO14" s="175">
        <f>Commercial_2!AO14*'BTU Conversion Factor'!$F$4</f>
        <v>41073363185243.195</v>
      </c>
      <c r="AP14" s="175">
        <f>Commercial_2!AP14*'BTU Conversion Factor'!$F$4</f>
        <v>41494001338818.969</v>
      </c>
      <c r="AQ14" s="175">
        <f>Commercial_2!AQ14*'BTU Conversion Factor'!$F$4</f>
        <v>41916802608633.414</v>
      </c>
      <c r="AR14" s="175">
        <f>Commercial_2!AR14*'BTU Conversion Factor'!$F$4</f>
        <v>42341770509984.477</v>
      </c>
      <c r="AS14" s="175">
        <f>Commercial_2!AS14*'BTU Conversion Factor'!$F$4</f>
        <v>42768908558170.172</v>
      </c>
      <c r="AT14" s="175">
        <f>Commercial_2!AT14*'BTU Conversion Factor'!$F$4</f>
        <v>43198220268488.539</v>
      </c>
      <c r="AU14" s="175">
        <f>Commercial_2!AU14*'BTU Conversion Factor'!$F$4</f>
        <v>43629709156237.609</v>
      </c>
    </row>
    <row r="15" spans="1:47">
      <c r="B15" s="60" t="s">
        <v>666</v>
      </c>
      <c r="C15" s="175">
        <f>Commercial_2!C15*'BTU Conversion Factor'!$F$4</f>
        <v>0</v>
      </c>
      <c r="D15" s="175">
        <f>Commercial_2!D15*'BTU Conversion Factor'!$F$4</f>
        <v>0</v>
      </c>
      <c r="E15" s="175">
        <f>Commercial_2!E15*'BTU Conversion Factor'!$F$4</f>
        <v>0</v>
      </c>
      <c r="F15" s="175">
        <f>Commercial_2!F15*'BTU Conversion Factor'!$F$4</f>
        <v>0</v>
      </c>
      <c r="G15" s="175">
        <f>Commercial_2!G15*'BTU Conversion Factor'!$F$4</f>
        <v>0</v>
      </c>
      <c r="H15" s="175">
        <f>Commercial_2!H15*'BTU Conversion Factor'!$F$4</f>
        <v>0</v>
      </c>
      <c r="I15" s="175">
        <f>Commercial_2!I15*'BTU Conversion Factor'!$F$4</f>
        <v>0</v>
      </c>
      <c r="J15" s="175">
        <f>Commercial_2!J15*'BTU Conversion Factor'!$F$4</f>
        <v>0</v>
      </c>
      <c r="K15" s="175">
        <f>Commercial_2!K15*'BTU Conversion Factor'!$F$4</f>
        <v>0</v>
      </c>
      <c r="L15" s="175">
        <f>Commercial_2!L15*'BTU Conversion Factor'!$F$4</f>
        <v>0</v>
      </c>
      <c r="M15" s="175">
        <f>Commercial_2!M15*'BTU Conversion Factor'!$F$4</f>
        <v>0</v>
      </c>
      <c r="N15" s="175">
        <f>Commercial_2!N15*'BTU Conversion Factor'!$F$4</f>
        <v>0</v>
      </c>
      <c r="O15" s="175">
        <f>Commercial_2!O15*'BTU Conversion Factor'!$F$4</f>
        <v>0</v>
      </c>
      <c r="P15" s="175">
        <f>Commercial_2!P15*'BTU Conversion Factor'!$F$4</f>
        <v>0</v>
      </c>
      <c r="Q15" s="175">
        <f>Commercial_2!Q15*'BTU Conversion Factor'!$F$4</f>
        <v>0</v>
      </c>
      <c r="R15" s="175">
        <f>Commercial_2!R15*'BTU Conversion Factor'!$F$4</f>
        <v>0</v>
      </c>
      <c r="S15" s="175">
        <f>Commercial_2!S15*'BTU Conversion Factor'!$F$4</f>
        <v>0</v>
      </c>
      <c r="T15" s="175">
        <f>Commercial_2!T15*'BTU Conversion Factor'!$F$4</f>
        <v>0</v>
      </c>
      <c r="U15" s="175">
        <f>Commercial_2!U15*'BTU Conversion Factor'!$F$4</f>
        <v>0</v>
      </c>
      <c r="V15" s="175">
        <f>Commercial_2!V15*'BTU Conversion Factor'!$F$4</f>
        <v>0</v>
      </c>
      <c r="W15" s="175">
        <f>Commercial_2!W15*'BTU Conversion Factor'!$F$4</f>
        <v>0</v>
      </c>
      <c r="X15" s="175">
        <f>Commercial_2!X15*'BTU Conversion Factor'!$F$4</f>
        <v>0</v>
      </c>
      <c r="Y15" s="175">
        <f>Commercial_2!Y15*'BTU Conversion Factor'!$F$4</f>
        <v>0</v>
      </c>
      <c r="Z15" s="175">
        <f>Commercial_2!Z15*'BTU Conversion Factor'!$F$4</f>
        <v>0</v>
      </c>
      <c r="AA15" s="175">
        <f>Commercial_2!AA15*'BTU Conversion Factor'!$F$4</f>
        <v>0</v>
      </c>
      <c r="AB15" s="175">
        <f>Commercial_2!AB15*'BTU Conversion Factor'!$F$4</f>
        <v>0</v>
      </c>
      <c r="AC15" s="175">
        <f>Commercial_2!AC15*'BTU Conversion Factor'!$F$4</f>
        <v>0</v>
      </c>
      <c r="AD15" s="175">
        <f>Commercial_2!AD15*'BTU Conversion Factor'!$F$4</f>
        <v>0</v>
      </c>
      <c r="AE15" s="175">
        <f>Commercial_2!AE15*'BTU Conversion Factor'!$F$4</f>
        <v>0</v>
      </c>
      <c r="AF15" s="175">
        <f>Commercial_2!AF15*'BTU Conversion Factor'!$F$4</f>
        <v>0</v>
      </c>
      <c r="AG15" s="175">
        <f>Commercial_2!AG15*'BTU Conversion Factor'!$F$4</f>
        <v>0</v>
      </c>
      <c r="AH15" s="175">
        <f>Commercial_2!AH15*'BTU Conversion Factor'!$F$4</f>
        <v>0</v>
      </c>
      <c r="AI15" s="175">
        <f>Commercial_2!AI15*'BTU Conversion Factor'!$F$4</f>
        <v>0</v>
      </c>
      <c r="AJ15" s="175">
        <f>Commercial_2!AJ15*'BTU Conversion Factor'!$F$4</f>
        <v>0</v>
      </c>
      <c r="AK15" s="175">
        <f>Commercial_2!AK15*'BTU Conversion Factor'!$F$4</f>
        <v>0</v>
      </c>
      <c r="AL15" s="175">
        <f>Commercial_2!AL15*'BTU Conversion Factor'!$F$4</f>
        <v>0</v>
      </c>
      <c r="AM15" s="175">
        <f>Commercial_2!AM15*'BTU Conversion Factor'!$F$4</f>
        <v>0</v>
      </c>
      <c r="AN15" s="175">
        <f>Commercial_2!AN15*'BTU Conversion Factor'!$F$4</f>
        <v>0</v>
      </c>
      <c r="AO15" s="175">
        <f>Commercial_2!AO15*'BTU Conversion Factor'!$F$4</f>
        <v>0</v>
      </c>
      <c r="AP15" s="175">
        <f>Commercial_2!AP15*'BTU Conversion Factor'!$F$4</f>
        <v>0</v>
      </c>
      <c r="AQ15" s="175">
        <f>Commercial_2!AQ15*'BTU Conversion Factor'!$F$4</f>
        <v>0</v>
      </c>
      <c r="AR15" s="175">
        <f>Commercial_2!AR15*'BTU Conversion Factor'!$F$4</f>
        <v>0</v>
      </c>
      <c r="AS15" s="175">
        <f>Commercial_2!AS15*'BTU Conversion Factor'!$F$4</f>
        <v>0</v>
      </c>
      <c r="AT15" s="175">
        <f>Commercial_2!AT15*'BTU Conversion Factor'!$F$4</f>
        <v>0</v>
      </c>
      <c r="AU15" s="175">
        <f>Commercial_2!AU15*'BTU Conversion Factor'!$F$4</f>
        <v>0</v>
      </c>
    </row>
    <row r="16" spans="1:47">
      <c r="B16" s="60" t="s">
        <v>667</v>
      </c>
      <c r="C16" s="175">
        <f>Commercial_2!C16*'BTU Conversion Factor'!$F$4</f>
        <v>0</v>
      </c>
      <c r="D16" s="175">
        <f>Commercial_2!D16*'BTU Conversion Factor'!$F$4</f>
        <v>0</v>
      </c>
      <c r="E16" s="175">
        <f>Commercial_2!E16*'BTU Conversion Factor'!$F$4</f>
        <v>0</v>
      </c>
      <c r="F16" s="175">
        <f>Commercial_2!F16*'BTU Conversion Factor'!$F$4</f>
        <v>0</v>
      </c>
      <c r="G16" s="175">
        <f>Commercial_2!G16*'BTU Conversion Factor'!$F$4</f>
        <v>0</v>
      </c>
      <c r="H16" s="175">
        <f>Commercial_2!H16*'BTU Conversion Factor'!$F$4</f>
        <v>0</v>
      </c>
      <c r="I16" s="175">
        <f>Commercial_2!I16*'BTU Conversion Factor'!$F$4</f>
        <v>0</v>
      </c>
      <c r="J16" s="175">
        <f>Commercial_2!J16*'BTU Conversion Factor'!$F$4</f>
        <v>0</v>
      </c>
      <c r="K16" s="175">
        <f>Commercial_2!K16*'BTU Conversion Factor'!$F$4</f>
        <v>0</v>
      </c>
      <c r="L16" s="175">
        <f>Commercial_2!L16*'BTU Conversion Factor'!$F$4</f>
        <v>0</v>
      </c>
      <c r="M16" s="175">
        <f>Commercial_2!M16*'BTU Conversion Factor'!$F$4</f>
        <v>0</v>
      </c>
      <c r="N16" s="175">
        <f>Commercial_2!N16*'BTU Conversion Factor'!$F$4</f>
        <v>0</v>
      </c>
      <c r="O16" s="175">
        <f>Commercial_2!O16*'BTU Conversion Factor'!$F$4</f>
        <v>0</v>
      </c>
      <c r="P16" s="175">
        <f>Commercial_2!P16*'BTU Conversion Factor'!$F$4</f>
        <v>0</v>
      </c>
      <c r="Q16" s="175">
        <f>Commercial_2!Q16*'BTU Conversion Factor'!$F$4</f>
        <v>0</v>
      </c>
      <c r="R16" s="175">
        <f>Commercial_2!R16*'BTU Conversion Factor'!$F$4</f>
        <v>0</v>
      </c>
      <c r="S16" s="175">
        <f>Commercial_2!S16*'BTU Conversion Factor'!$F$4</f>
        <v>0</v>
      </c>
      <c r="T16" s="175">
        <f>Commercial_2!T16*'BTU Conversion Factor'!$F$4</f>
        <v>0</v>
      </c>
      <c r="U16" s="175">
        <f>Commercial_2!U16*'BTU Conversion Factor'!$F$4</f>
        <v>0</v>
      </c>
      <c r="V16" s="175">
        <f>Commercial_2!V16*'BTU Conversion Factor'!$F$4</f>
        <v>0</v>
      </c>
      <c r="W16" s="175">
        <f>Commercial_2!W16*'BTU Conversion Factor'!$F$4</f>
        <v>0</v>
      </c>
      <c r="X16" s="175">
        <f>Commercial_2!X16*'BTU Conversion Factor'!$F$4</f>
        <v>0</v>
      </c>
      <c r="Y16" s="175">
        <f>Commercial_2!Y16*'BTU Conversion Factor'!$F$4</f>
        <v>0</v>
      </c>
      <c r="Z16" s="175">
        <f>Commercial_2!Z16*'BTU Conversion Factor'!$F$4</f>
        <v>0</v>
      </c>
      <c r="AA16" s="175">
        <f>Commercial_2!AA16*'BTU Conversion Factor'!$F$4</f>
        <v>0</v>
      </c>
      <c r="AB16" s="175">
        <f>Commercial_2!AB16*'BTU Conversion Factor'!$F$4</f>
        <v>0</v>
      </c>
      <c r="AC16" s="175">
        <f>Commercial_2!AC16*'BTU Conversion Factor'!$F$4</f>
        <v>0</v>
      </c>
      <c r="AD16" s="175">
        <f>Commercial_2!AD16*'BTU Conversion Factor'!$F$4</f>
        <v>0</v>
      </c>
      <c r="AE16" s="175">
        <f>Commercial_2!AE16*'BTU Conversion Factor'!$F$4</f>
        <v>0</v>
      </c>
      <c r="AF16" s="175">
        <f>Commercial_2!AF16*'BTU Conversion Factor'!$F$4</f>
        <v>0</v>
      </c>
      <c r="AG16" s="175">
        <f>Commercial_2!AG16*'BTU Conversion Factor'!$F$4</f>
        <v>0</v>
      </c>
      <c r="AH16" s="175">
        <f>Commercial_2!AH16*'BTU Conversion Factor'!$F$4</f>
        <v>0</v>
      </c>
      <c r="AI16" s="175">
        <f>Commercial_2!AI16*'BTU Conversion Factor'!$F$4</f>
        <v>0</v>
      </c>
      <c r="AJ16" s="175">
        <f>Commercial_2!AJ16*'BTU Conversion Factor'!$F$4</f>
        <v>0</v>
      </c>
      <c r="AK16" s="175">
        <f>Commercial_2!AK16*'BTU Conversion Factor'!$F$4</f>
        <v>0</v>
      </c>
      <c r="AL16" s="175">
        <f>Commercial_2!AL16*'BTU Conversion Factor'!$F$4</f>
        <v>0</v>
      </c>
      <c r="AM16" s="175">
        <f>Commercial_2!AM16*'BTU Conversion Factor'!$F$4</f>
        <v>0</v>
      </c>
      <c r="AN16" s="175">
        <f>Commercial_2!AN16*'BTU Conversion Factor'!$F$4</f>
        <v>0</v>
      </c>
      <c r="AO16" s="175">
        <f>Commercial_2!AO16*'BTU Conversion Factor'!$F$4</f>
        <v>0</v>
      </c>
      <c r="AP16" s="175">
        <f>Commercial_2!AP16*'BTU Conversion Factor'!$F$4</f>
        <v>0</v>
      </c>
      <c r="AQ16" s="175">
        <f>Commercial_2!AQ16*'BTU Conversion Factor'!$F$4</f>
        <v>0</v>
      </c>
      <c r="AR16" s="175">
        <f>Commercial_2!AR16*'BTU Conversion Factor'!$F$4</f>
        <v>0</v>
      </c>
      <c r="AS16" s="175">
        <f>Commercial_2!AS16*'BTU Conversion Factor'!$F$4</f>
        <v>0</v>
      </c>
      <c r="AT16" s="175">
        <f>Commercial_2!AT16*'BTU Conversion Factor'!$F$4</f>
        <v>0</v>
      </c>
      <c r="AU16" s="175">
        <f>Commercial_2!AU16*'BTU Conversion Factor'!$F$4</f>
        <v>0</v>
      </c>
    </row>
    <row r="17" spans="1:47">
      <c r="B17" s="60" t="s">
        <v>668</v>
      </c>
      <c r="C17" s="175">
        <f>Commercial_2!C17*'BTU Conversion Factor'!$F$4</f>
        <v>0</v>
      </c>
      <c r="D17" s="175">
        <f>Commercial_2!D17*'BTU Conversion Factor'!$F$4</f>
        <v>0</v>
      </c>
      <c r="E17" s="175">
        <f>Commercial_2!E17*'BTU Conversion Factor'!$F$4</f>
        <v>0</v>
      </c>
      <c r="F17" s="175">
        <f>Commercial_2!F17*'BTU Conversion Factor'!$F$4</f>
        <v>0</v>
      </c>
      <c r="G17" s="175">
        <f>Commercial_2!G17*'BTU Conversion Factor'!$F$4</f>
        <v>0</v>
      </c>
      <c r="H17" s="175">
        <f>Commercial_2!H17*'BTU Conversion Factor'!$F$4</f>
        <v>0</v>
      </c>
      <c r="I17" s="175">
        <f>Commercial_2!I17*'BTU Conversion Factor'!$F$4</f>
        <v>0</v>
      </c>
      <c r="J17" s="175">
        <f>Commercial_2!J17*'BTU Conversion Factor'!$F$4</f>
        <v>0</v>
      </c>
      <c r="K17" s="175">
        <f>Commercial_2!K17*'BTU Conversion Factor'!$F$4</f>
        <v>0</v>
      </c>
      <c r="L17" s="175">
        <f>Commercial_2!L17*'BTU Conversion Factor'!$F$4</f>
        <v>0</v>
      </c>
      <c r="M17" s="175">
        <f>Commercial_2!M17*'BTU Conversion Factor'!$F$4</f>
        <v>0</v>
      </c>
      <c r="N17" s="175">
        <f>Commercial_2!N17*'BTU Conversion Factor'!$F$4</f>
        <v>0</v>
      </c>
      <c r="O17" s="175">
        <f>Commercial_2!O17*'BTU Conversion Factor'!$F$4</f>
        <v>0</v>
      </c>
      <c r="P17" s="175">
        <f>Commercial_2!P17*'BTU Conversion Factor'!$F$4</f>
        <v>0</v>
      </c>
      <c r="Q17" s="175">
        <f>Commercial_2!Q17*'BTU Conversion Factor'!$F$4</f>
        <v>0</v>
      </c>
      <c r="R17" s="175">
        <f>Commercial_2!R17*'BTU Conversion Factor'!$F$4</f>
        <v>0</v>
      </c>
      <c r="S17" s="175">
        <f>Commercial_2!S17*'BTU Conversion Factor'!$F$4</f>
        <v>0</v>
      </c>
      <c r="T17" s="175">
        <f>Commercial_2!T17*'BTU Conversion Factor'!$F$4</f>
        <v>0</v>
      </c>
      <c r="U17" s="175">
        <f>Commercial_2!U17*'BTU Conversion Factor'!$F$4</f>
        <v>0</v>
      </c>
      <c r="V17" s="175">
        <f>Commercial_2!V17*'BTU Conversion Factor'!$F$4</f>
        <v>0</v>
      </c>
      <c r="W17" s="175">
        <f>Commercial_2!W17*'BTU Conversion Factor'!$F$4</f>
        <v>0</v>
      </c>
      <c r="X17" s="175">
        <f>Commercial_2!X17*'BTU Conversion Factor'!$F$4</f>
        <v>0</v>
      </c>
      <c r="Y17" s="175">
        <f>Commercial_2!Y17*'BTU Conversion Factor'!$F$4</f>
        <v>0</v>
      </c>
      <c r="Z17" s="175">
        <f>Commercial_2!Z17*'BTU Conversion Factor'!$F$4</f>
        <v>0</v>
      </c>
      <c r="AA17" s="175">
        <f>Commercial_2!AA17*'BTU Conversion Factor'!$F$4</f>
        <v>0</v>
      </c>
      <c r="AB17" s="175">
        <f>Commercial_2!AB17*'BTU Conversion Factor'!$F$4</f>
        <v>0</v>
      </c>
      <c r="AC17" s="175">
        <f>Commercial_2!AC17*'BTU Conversion Factor'!$F$4</f>
        <v>0</v>
      </c>
      <c r="AD17" s="175">
        <f>Commercial_2!AD17*'BTU Conversion Factor'!$F$4</f>
        <v>0</v>
      </c>
      <c r="AE17" s="175">
        <f>Commercial_2!AE17*'BTU Conversion Factor'!$F$4</f>
        <v>0</v>
      </c>
      <c r="AF17" s="175">
        <f>Commercial_2!AF17*'BTU Conversion Factor'!$F$4</f>
        <v>0</v>
      </c>
      <c r="AG17" s="175">
        <f>Commercial_2!AG17*'BTU Conversion Factor'!$F$4</f>
        <v>0</v>
      </c>
      <c r="AH17" s="175">
        <f>Commercial_2!AH17*'BTU Conversion Factor'!$F$4</f>
        <v>0</v>
      </c>
      <c r="AI17" s="175">
        <f>Commercial_2!AI17*'BTU Conversion Factor'!$F$4</f>
        <v>0</v>
      </c>
      <c r="AJ17" s="175">
        <f>Commercial_2!AJ17*'BTU Conversion Factor'!$F$4</f>
        <v>0</v>
      </c>
      <c r="AK17" s="175">
        <f>Commercial_2!AK17*'BTU Conversion Factor'!$F$4</f>
        <v>0</v>
      </c>
      <c r="AL17" s="175">
        <f>Commercial_2!AL17*'BTU Conversion Factor'!$F$4</f>
        <v>0</v>
      </c>
      <c r="AM17" s="175">
        <f>Commercial_2!AM17*'BTU Conversion Factor'!$F$4</f>
        <v>0</v>
      </c>
      <c r="AN17" s="175">
        <f>Commercial_2!AN17*'BTU Conversion Factor'!$F$4</f>
        <v>0</v>
      </c>
      <c r="AO17" s="175">
        <f>Commercial_2!AO17*'BTU Conversion Factor'!$F$4</f>
        <v>0</v>
      </c>
      <c r="AP17" s="175">
        <f>Commercial_2!AP17*'BTU Conversion Factor'!$F$4</f>
        <v>0</v>
      </c>
      <c r="AQ17" s="175">
        <f>Commercial_2!AQ17*'BTU Conversion Factor'!$F$4</f>
        <v>0</v>
      </c>
      <c r="AR17" s="175">
        <f>Commercial_2!AR17*'BTU Conversion Factor'!$F$4</f>
        <v>0</v>
      </c>
      <c r="AS17" s="175">
        <f>Commercial_2!AS17*'BTU Conversion Factor'!$F$4</f>
        <v>0</v>
      </c>
      <c r="AT17" s="175">
        <f>Commercial_2!AT17*'BTU Conversion Factor'!$F$4</f>
        <v>0</v>
      </c>
      <c r="AU17" s="175">
        <f>Commercial_2!AU17*'BTU Conversion Factor'!$F$4</f>
        <v>0</v>
      </c>
    </row>
    <row r="18" spans="1:47">
      <c r="B18" s="60" t="s">
        <v>669</v>
      </c>
      <c r="C18" s="175">
        <f>Commercial_2!C18*'BTU Conversion Factor'!$F$4</f>
        <v>0</v>
      </c>
      <c r="D18" s="175">
        <f>Commercial_2!D18*'BTU Conversion Factor'!$F$4</f>
        <v>0</v>
      </c>
      <c r="E18" s="175">
        <f>Commercial_2!E18*'BTU Conversion Factor'!$F$4</f>
        <v>0</v>
      </c>
      <c r="F18" s="175">
        <f>Commercial_2!F18*'BTU Conversion Factor'!$F$4</f>
        <v>0</v>
      </c>
      <c r="G18" s="175">
        <f>Commercial_2!G18*'BTU Conversion Factor'!$F$4</f>
        <v>0</v>
      </c>
      <c r="H18" s="175">
        <f>Commercial_2!H18*'BTU Conversion Factor'!$F$4</f>
        <v>0</v>
      </c>
      <c r="I18" s="175">
        <f>Commercial_2!I18*'BTU Conversion Factor'!$F$4</f>
        <v>0</v>
      </c>
      <c r="J18" s="175">
        <f>Commercial_2!J18*'BTU Conversion Factor'!$F$4</f>
        <v>0</v>
      </c>
      <c r="K18" s="175">
        <f>Commercial_2!K18*'BTU Conversion Factor'!$F$4</f>
        <v>0</v>
      </c>
      <c r="L18" s="175">
        <f>Commercial_2!L18*'BTU Conversion Factor'!$F$4</f>
        <v>0</v>
      </c>
      <c r="M18" s="175">
        <f>Commercial_2!M18*'BTU Conversion Factor'!$F$4</f>
        <v>0</v>
      </c>
      <c r="N18" s="175">
        <f>Commercial_2!N18*'BTU Conversion Factor'!$F$4</f>
        <v>0</v>
      </c>
      <c r="O18" s="175">
        <f>Commercial_2!O18*'BTU Conversion Factor'!$F$4</f>
        <v>0</v>
      </c>
      <c r="P18" s="175">
        <f>Commercial_2!P18*'BTU Conversion Factor'!$F$4</f>
        <v>0</v>
      </c>
      <c r="Q18" s="175">
        <f>Commercial_2!Q18*'BTU Conversion Factor'!$F$4</f>
        <v>0</v>
      </c>
      <c r="R18" s="175">
        <f>Commercial_2!R18*'BTU Conversion Factor'!$F$4</f>
        <v>0</v>
      </c>
      <c r="S18" s="175">
        <f>Commercial_2!S18*'BTU Conversion Factor'!$F$4</f>
        <v>0</v>
      </c>
      <c r="T18" s="175">
        <f>Commercial_2!T18*'BTU Conversion Factor'!$F$4</f>
        <v>0</v>
      </c>
      <c r="U18" s="175">
        <f>Commercial_2!U18*'BTU Conversion Factor'!$F$4</f>
        <v>0</v>
      </c>
      <c r="V18" s="175">
        <f>Commercial_2!V18*'BTU Conversion Factor'!$F$4</f>
        <v>0</v>
      </c>
      <c r="W18" s="175">
        <f>Commercial_2!W18*'BTU Conversion Factor'!$F$4</f>
        <v>0</v>
      </c>
      <c r="X18" s="175">
        <f>Commercial_2!X18*'BTU Conversion Factor'!$F$4</f>
        <v>0</v>
      </c>
      <c r="Y18" s="175">
        <f>Commercial_2!Y18*'BTU Conversion Factor'!$F$4</f>
        <v>0</v>
      </c>
      <c r="Z18" s="175">
        <f>Commercial_2!Z18*'BTU Conversion Factor'!$F$4</f>
        <v>0</v>
      </c>
      <c r="AA18" s="175">
        <f>Commercial_2!AA18*'BTU Conversion Factor'!$F$4</f>
        <v>0</v>
      </c>
      <c r="AB18" s="175">
        <f>Commercial_2!AB18*'BTU Conversion Factor'!$F$4</f>
        <v>0</v>
      </c>
      <c r="AC18" s="175">
        <f>Commercial_2!AC18*'BTU Conversion Factor'!$F$4</f>
        <v>0</v>
      </c>
      <c r="AD18" s="175">
        <f>Commercial_2!AD18*'BTU Conversion Factor'!$F$4</f>
        <v>0</v>
      </c>
      <c r="AE18" s="175">
        <f>Commercial_2!AE18*'BTU Conversion Factor'!$F$4</f>
        <v>0</v>
      </c>
      <c r="AF18" s="175">
        <f>Commercial_2!AF18*'BTU Conversion Factor'!$F$4</f>
        <v>0</v>
      </c>
      <c r="AG18" s="175">
        <f>Commercial_2!AG18*'BTU Conversion Factor'!$F$4</f>
        <v>0</v>
      </c>
      <c r="AH18" s="175">
        <f>Commercial_2!AH18*'BTU Conversion Factor'!$F$4</f>
        <v>0</v>
      </c>
      <c r="AI18" s="175">
        <f>Commercial_2!AI18*'BTU Conversion Factor'!$F$4</f>
        <v>0</v>
      </c>
      <c r="AJ18" s="175">
        <f>Commercial_2!AJ18*'BTU Conversion Factor'!$F$4</f>
        <v>0</v>
      </c>
      <c r="AK18" s="175">
        <f>Commercial_2!AK18*'BTU Conversion Factor'!$F$4</f>
        <v>0</v>
      </c>
      <c r="AL18" s="175">
        <f>Commercial_2!AL18*'BTU Conversion Factor'!$F$4</f>
        <v>0</v>
      </c>
      <c r="AM18" s="175">
        <f>Commercial_2!AM18*'BTU Conversion Factor'!$F$4</f>
        <v>0</v>
      </c>
      <c r="AN18" s="175">
        <f>Commercial_2!AN18*'BTU Conversion Factor'!$F$4</f>
        <v>0</v>
      </c>
      <c r="AO18" s="175">
        <f>Commercial_2!AO18*'BTU Conversion Factor'!$F$4</f>
        <v>0</v>
      </c>
      <c r="AP18" s="175">
        <f>Commercial_2!AP18*'BTU Conversion Factor'!$F$4</f>
        <v>0</v>
      </c>
      <c r="AQ18" s="175">
        <f>Commercial_2!AQ18*'BTU Conversion Factor'!$F$4</f>
        <v>0</v>
      </c>
      <c r="AR18" s="175">
        <f>Commercial_2!AR18*'BTU Conversion Factor'!$F$4</f>
        <v>0</v>
      </c>
      <c r="AS18" s="175">
        <f>Commercial_2!AS18*'BTU Conversion Factor'!$F$4</f>
        <v>0</v>
      </c>
      <c r="AT18" s="175">
        <f>Commercial_2!AT18*'BTU Conversion Factor'!$F$4</f>
        <v>0</v>
      </c>
      <c r="AU18" s="175">
        <f>Commercial_2!AU18*'BTU Conversion Factor'!$F$4</f>
        <v>0</v>
      </c>
    </row>
    <row r="19" spans="1:47">
      <c r="B19" s="60" t="s">
        <v>670</v>
      </c>
      <c r="C19" s="175">
        <f>Commercial_2!C19*'BTU Conversion Factor'!$F$4</f>
        <v>0</v>
      </c>
      <c r="D19" s="175">
        <f>Commercial_2!D19*'BTU Conversion Factor'!$F$4</f>
        <v>0</v>
      </c>
      <c r="E19" s="175">
        <f>Commercial_2!E19*'BTU Conversion Factor'!$F$4</f>
        <v>0</v>
      </c>
      <c r="F19" s="175">
        <f>Commercial_2!F19*'BTU Conversion Factor'!$F$4</f>
        <v>0</v>
      </c>
      <c r="G19" s="175">
        <f>Commercial_2!G19*'BTU Conversion Factor'!$F$4</f>
        <v>0</v>
      </c>
      <c r="H19" s="175">
        <f>Commercial_2!H19*'BTU Conversion Factor'!$F$4</f>
        <v>0</v>
      </c>
      <c r="I19" s="175">
        <f>Commercial_2!I19*'BTU Conversion Factor'!$F$4</f>
        <v>0</v>
      </c>
      <c r="J19" s="175">
        <f>Commercial_2!J19*'BTU Conversion Factor'!$F$4</f>
        <v>0</v>
      </c>
      <c r="K19" s="175">
        <f>Commercial_2!K19*'BTU Conversion Factor'!$F$4</f>
        <v>0</v>
      </c>
      <c r="L19" s="175">
        <f>Commercial_2!L19*'BTU Conversion Factor'!$F$4</f>
        <v>0</v>
      </c>
      <c r="M19" s="175">
        <f>Commercial_2!M19*'BTU Conversion Factor'!$F$4</f>
        <v>0</v>
      </c>
      <c r="N19" s="175">
        <f>Commercial_2!N19*'BTU Conversion Factor'!$F$4</f>
        <v>0</v>
      </c>
      <c r="O19" s="175">
        <f>Commercial_2!O19*'BTU Conversion Factor'!$F$4</f>
        <v>0</v>
      </c>
      <c r="P19" s="175">
        <f>Commercial_2!P19*'BTU Conversion Factor'!$F$4</f>
        <v>0</v>
      </c>
      <c r="Q19" s="175">
        <f>Commercial_2!Q19*'BTU Conversion Factor'!$F$4</f>
        <v>0</v>
      </c>
      <c r="R19" s="175">
        <f>Commercial_2!R19*'BTU Conversion Factor'!$F$4</f>
        <v>0</v>
      </c>
      <c r="S19" s="175">
        <f>Commercial_2!S19*'BTU Conversion Factor'!$F$4</f>
        <v>0</v>
      </c>
      <c r="T19" s="175">
        <f>Commercial_2!T19*'BTU Conversion Factor'!$F$4</f>
        <v>0</v>
      </c>
      <c r="U19" s="175">
        <f>Commercial_2!U19*'BTU Conversion Factor'!$F$4</f>
        <v>0</v>
      </c>
      <c r="V19" s="175">
        <f>Commercial_2!V19*'BTU Conversion Factor'!$F$4</f>
        <v>0</v>
      </c>
      <c r="W19" s="175">
        <f>Commercial_2!W19*'BTU Conversion Factor'!$F$4</f>
        <v>0</v>
      </c>
      <c r="X19" s="175">
        <f>Commercial_2!X19*'BTU Conversion Factor'!$F$4</f>
        <v>0</v>
      </c>
      <c r="Y19" s="175">
        <f>Commercial_2!Y19*'BTU Conversion Factor'!$F$4</f>
        <v>0</v>
      </c>
      <c r="Z19" s="175">
        <f>Commercial_2!Z19*'BTU Conversion Factor'!$F$4</f>
        <v>0</v>
      </c>
      <c r="AA19" s="175">
        <f>Commercial_2!AA19*'BTU Conversion Factor'!$F$4</f>
        <v>0</v>
      </c>
      <c r="AB19" s="175">
        <f>Commercial_2!AB19*'BTU Conversion Factor'!$F$4</f>
        <v>0</v>
      </c>
      <c r="AC19" s="175">
        <f>Commercial_2!AC19*'BTU Conversion Factor'!$F$4</f>
        <v>0</v>
      </c>
      <c r="AD19" s="175">
        <f>Commercial_2!AD19*'BTU Conversion Factor'!$F$4</f>
        <v>0</v>
      </c>
      <c r="AE19" s="175">
        <f>Commercial_2!AE19*'BTU Conversion Factor'!$F$4</f>
        <v>0</v>
      </c>
      <c r="AF19" s="175">
        <f>Commercial_2!AF19*'BTU Conversion Factor'!$F$4</f>
        <v>0</v>
      </c>
      <c r="AG19" s="175">
        <f>Commercial_2!AG19*'BTU Conversion Factor'!$F$4</f>
        <v>0</v>
      </c>
      <c r="AH19" s="175">
        <f>Commercial_2!AH19*'BTU Conversion Factor'!$F$4</f>
        <v>0</v>
      </c>
      <c r="AI19" s="175">
        <f>Commercial_2!AI19*'BTU Conversion Factor'!$F$4</f>
        <v>0</v>
      </c>
      <c r="AJ19" s="175">
        <f>Commercial_2!AJ19*'BTU Conversion Factor'!$F$4</f>
        <v>0</v>
      </c>
      <c r="AK19" s="175">
        <f>Commercial_2!AK19*'BTU Conversion Factor'!$F$4</f>
        <v>0</v>
      </c>
      <c r="AL19" s="175">
        <f>Commercial_2!AL19*'BTU Conversion Factor'!$F$4</f>
        <v>0</v>
      </c>
      <c r="AM19" s="175">
        <f>Commercial_2!AM19*'BTU Conversion Factor'!$F$4</f>
        <v>0</v>
      </c>
      <c r="AN19" s="175">
        <f>Commercial_2!AN19*'BTU Conversion Factor'!$F$4</f>
        <v>0</v>
      </c>
      <c r="AO19" s="175">
        <f>Commercial_2!AO19*'BTU Conversion Factor'!$F$4</f>
        <v>0</v>
      </c>
      <c r="AP19" s="175">
        <f>Commercial_2!AP19*'BTU Conversion Factor'!$F$4</f>
        <v>0</v>
      </c>
      <c r="AQ19" s="175">
        <f>Commercial_2!AQ19*'BTU Conversion Factor'!$F$4</f>
        <v>0</v>
      </c>
      <c r="AR19" s="175">
        <f>Commercial_2!AR19*'BTU Conversion Factor'!$F$4</f>
        <v>0</v>
      </c>
      <c r="AS19" s="175">
        <f>Commercial_2!AS19*'BTU Conversion Factor'!$F$4</f>
        <v>0</v>
      </c>
      <c r="AT19" s="175">
        <f>Commercial_2!AT19*'BTU Conversion Factor'!$F$4</f>
        <v>0</v>
      </c>
      <c r="AU19" s="175">
        <f>Commercial_2!AU19*'BTU Conversion Factor'!$F$4</f>
        <v>0</v>
      </c>
    </row>
    <row r="21" spans="1:47" s="64" customFormat="1">
      <c r="A21" s="124" t="s">
        <v>88</v>
      </c>
    </row>
    <row r="22" spans="1:47" s="60" customFormat="1">
      <c r="B22" s="60" t="s">
        <v>1</v>
      </c>
      <c r="C22" s="60">
        <v>2006</v>
      </c>
      <c r="D22" s="60">
        <v>2007</v>
      </c>
      <c r="E22" s="60">
        <v>2008</v>
      </c>
      <c r="F22" s="60">
        <v>2009</v>
      </c>
      <c r="G22" s="60">
        <v>2010</v>
      </c>
      <c r="H22" s="60">
        <v>2011</v>
      </c>
      <c r="I22" s="60">
        <v>2012</v>
      </c>
      <c r="J22" s="60">
        <v>2013</v>
      </c>
      <c r="K22" s="60">
        <v>2014</v>
      </c>
      <c r="L22" s="60">
        <v>2015</v>
      </c>
      <c r="M22" s="60">
        <v>2016</v>
      </c>
      <c r="N22" s="60">
        <v>2017</v>
      </c>
      <c r="O22" s="60">
        <v>2018</v>
      </c>
      <c r="P22" s="60">
        <v>2019</v>
      </c>
      <c r="Q22" s="60">
        <v>2020</v>
      </c>
      <c r="R22" s="60">
        <v>2021</v>
      </c>
      <c r="S22" s="60">
        <v>2022</v>
      </c>
      <c r="T22" s="60">
        <v>2023</v>
      </c>
      <c r="U22" s="60">
        <v>2024</v>
      </c>
      <c r="V22" s="60">
        <v>2025</v>
      </c>
      <c r="W22" s="60">
        <v>2026</v>
      </c>
      <c r="X22" s="60">
        <v>2027</v>
      </c>
      <c r="Y22" s="60">
        <v>2028</v>
      </c>
      <c r="Z22" s="60">
        <v>2029</v>
      </c>
      <c r="AA22" s="60">
        <v>2030</v>
      </c>
      <c r="AB22" s="60">
        <v>2031</v>
      </c>
      <c r="AC22" s="60">
        <v>2032</v>
      </c>
      <c r="AD22" s="60">
        <v>2033</v>
      </c>
      <c r="AE22" s="60">
        <v>2034</v>
      </c>
      <c r="AF22" s="60">
        <v>2035</v>
      </c>
      <c r="AG22" s="60">
        <v>2036</v>
      </c>
      <c r="AH22" s="60">
        <v>2037</v>
      </c>
      <c r="AI22" s="60">
        <v>2038</v>
      </c>
      <c r="AJ22" s="60">
        <v>2039</v>
      </c>
      <c r="AK22" s="60">
        <v>2040</v>
      </c>
      <c r="AL22" s="60">
        <v>2041</v>
      </c>
      <c r="AM22" s="60">
        <v>2042</v>
      </c>
      <c r="AN22" s="60">
        <v>2043</v>
      </c>
      <c r="AO22" s="60">
        <v>2044</v>
      </c>
      <c r="AP22" s="60">
        <v>2045</v>
      </c>
      <c r="AQ22" s="60">
        <v>2046</v>
      </c>
      <c r="AR22" s="60">
        <v>2047</v>
      </c>
      <c r="AS22" s="60">
        <v>2048</v>
      </c>
      <c r="AT22" s="60">
        <v>2049</v>
      </c>
      <c r="AU22" s="60">
        <v>2050</v>
      </c>
    </row>
    <row r="23" spans="1:47">
      <c r="B23" s="60" t="s">
        <v>665</v>
      </c>
      <c r="C23" s="175">
        <f>Commercial_2!C23*'BTU Conversion Factor'!$F$4</f>
        <v>0</v>
      </c>
      <c r="D23" s="175">
        <f>Commercial_2!D23*'BTU Conversion Factor'!$F$4</f>
        <v>0</v>
      </c>
      <c r="E23" s="175">
        <f>Commercial_2!E23*'BTU Conversion Factor'!$F$4</f>
        <v>0</v>
      </c>
      <c r="F23" s="175">
        <f>Commercial_2!F23*'BTU Conversion Factor'!$F$4</f>
        <v>0</v>
      </c>
      <c r="G23" s="175">
        <f>Commercial_2!G23*'BTU Conversion Factor'!$F$4</f>
        <v>0</v>
      </c>
      <c r="H23" s="175">
        <f>Commercial_2!H23*'BTU Conversion Factor'!$F$4</f>
        <v>0</v>
      </c>
      <c r="I23" s="175">
        <f>Commercial_2!I23*'BTU Conversion Factor'!$F$4</f>
        <v>0</v>
      </c>
      <c r="J23" s="175">
        <f>Commercial_2!J23*'BTU Conversion Factor'!$F$4</f>
        <v>0</v>
      </c>
      <c r="K23" s="175">
        <f>Commercial_2!K23*'BTU Conversion Factor'!$F$4</f>
        <v>0</v>
      </c>
      <c r="L23" s="175">
        <f>Commercial_2!L23*'BTU Conversion Factor'!$F$4</f>
        <v>0</v>
      </c>
      <c r="M23" s="175">
        <f>Commercial_2!M23*'BTU Conversion Factor'!$F$4</f>
        <v>0</v>
      </c>
      <c r="N23" s="175">
        <f>Commercial_2!N23*'BTU Conversion Factor'!$F$4</f>
        <v>0</v>
      </c>
      <c r="O23" s="175">
        <f>Commercial_2!O23*'BTU Conversion Factor'!$F$4</f>
        <v>0</v>
      </c>
      <c r="P23" s="175">
        <f>Commercial_2!P23*'BTU Conversion Factor'!$F$4</f>
        <v>0</v>
      </c>
      <c r="Q23" s="175">
        <f>Commercial_2!Q23*'BTU Conversion Factor'!$F$4</f>
        <v>0</v>
      </c>
      <c r="R23" s="175">
        <f>Commercial_2!R23*'BTU Conversion Factor'!$F$4</f>
        <v>0</v>
      </c>
      <c r="S23" s="175">
        <f>Commercial_2!S23*'BTU Conversion Factor'!$F$4</f>
        <v>0</v>
      </c>
      <c r="T23" s="175">
        <f>Commercial_2!T23*'BTU Conversion Factor'!$F$4</f>
        <v>0</v>
      </c>
      <c r="U23" s="175">
        <f>Commercial_2!U23*'BTU Conversion Factor'!$F$4</f>
        <v>0</v>
      </c>
      <c r="V23" s="175">
        <f>Commercial_2!V23*'BTU Conversion Factor'!$F$4</f>
        <v>0</v>
      </c>
      <c r="W23" s="175">
        <f>Commercial_2!W23*'BTU Conversion Factor'!$F$4</f>
        <v>0</v>
      </c>
      <c r="X23" s="175">
        <f>Commercial_2!X23*'BTU Conversion Factor'!$F$4</f>
        <v>0</v>
      </c>
      <c r="Y23" s="175">
        <f>Commercial_2!Y23*'BTU Conversion Factor'!$F$4</f>
        <v>0</v>
      </c>
      <c r="Z23" s="175">
        <f>Commercial_2!Z23*'BTU Conversion Factor'!$F$4</f>
        <v>0</v>
      </c>
      <c r="AA23" s="175">
        <f>Commercial_2!AA23*'BTU Conversion Factor'!$F$4</f>
        <v>0</v>
      </c>
      <c r="AB23" s="175">
        <f>Commercial_2!AB23*'BTU Conversion Factor'!$F$4</f>
        <v>0</v>
      </c>
      <c r="AC23" s="175">
        <f>Commercial_2!AC23*'BTU Conversion Factor'!$F$4</f>
        <v>0</v>
      </c>
      <c r="AD23" s="175">
        <f>Commercial_2!AD23*'BTU Conversion Factor'!$F$4</f>
        <v>0</v>
      </c>
      <c r="AE23" s="175">
        <f>Commercial_2!AE23*'BTU Conversion Factor'!$F$4</f>
        <v>0</v>
      </c>
      <c r="AF23" s="175">
        <f>Commercial_2!AF23*'BTU Conversion Factor'!$F$4</f>
        <v>0</v>
      </c>
      <c r="AG23" s="175">
        <f>Commercial_2!AG23*'BTU Conversion Factor'!$F$4</f>
        <v>0</v>
      </c>
      <c r="AH23" s="175">
        <f>Commercial_2!AH23*'BTU Conversion Factor'!$F$4</f>
        <v>0</v>
      </c>
      <c r="AI23" s="175">
        <f>Commercial_2!AI23*'BTU Conversion Factor'!$F$4</f>
        <v>0</v>
      </c>
      <c r="AJ23" s="175">
        <f>Commercial_2!AJ23*'BTU Conversion Factor'!$F$4</f>
        <v>0</v>
      </c>
      <c r="AK23" s="175">
        <f>Commercial_2!AK23*'BTU Conversion Factor'!$F$4</f>
        <v>0</v>
      </c>
      <c r="AL23" s="175">
        <f>Commercial_2!AL23*'BTU Conversion Factor'!$F$4</f>
        <v>0</v>
      </c>
      <c r="AM23" s="175">
        <f>Commercial_2!AM23*'BTU Conversion Factor'!$F$4</f>
        <v>0</v>
      </c>
      <c r="AN23" s="175">
        <f>Commercial_2!AN23*'BTU Conversion Factor'!$F$4</f>
        <v>0</v>
      </c>
      <c r="AO23" s="175">
        <f>Commercial_2!AO23*'BTU Conversion Factor'!$F$4</f>
        <v>0</v>
      </c>
      <c r="AP23" s="175">
        <f>Commercial_2!AP23*'BTU Conversion Factor'!$F$4</f>
        <v>0</v>
      </c>
      <c r="AQ23" s="175">
        <f>Commercial_2!AQ23*'BTU Conversion Factor'!$F$4</f>
        <v>0</v>
      </c>
      <c r="AR23" s="175">
        <f>Commercial_2!AR23*'BTU Conversion Factor'!$F$4</f>
        <v>0</v>
      </c>
      <c r="AS23" s="175">
        <f>Commercial_2!AS23*'BTU Conversion Factor'!$F$4</f>
        <v>0</v>
      </c>
      <c r="AT23" s="175">
        <f>Commercial_2!AT23*'BTU Conversion Factor'!$F$4</f>
        <v>0</v>
      </c>
      <c r="AU23" s="175">
        <f>Commercial_2!AU23*'BTU Conversion Factor'!$F$4</f>
        <v>0</v>
      </c>
    </row>
    <row r="24" spans="1:47">
      <c r="B24" s="60" t="s">
        <v>666</v>
      </c>
      <c r="C24" s="175">
        <f>Commercial_2!C24*'BTU Conversion Factor'!$F$4</f>
        <v>0</v>
      </c>
      <c r="D24" s="175">
        <f>Commercial_2!D24*'BTU Conversion Factor'!$F$4</f>
        <v>0</v>
      </c>
      <c r="E24" s="175">
        <f>Commercial_2!E24*'BTU Conversion Factor'!$F$4</f>
        <v>0</v>
      </c>
      <c r="F24" s="175">
        <f>Commercial_2!F24*'BTU Conversion Factor'!$F$4</f>
        <v>0</v>
      </c>
      <c r="G24" s="175">
        <f>Commercial_2!G24*'BTU Conversion Factor'!$F$4</f>
        <v>0</v>
      </c>
      <c r="H24" s="175">
        <f>Commercial_2!H24*'BTU Conversion Factor'!$F$4</f>
        <v>0</v>
      </c>
      <c r="I24" s="175">
        <f>Commercial_2!I24*'BTU Conversion Factor'!$F$4</f>
        <v>0</v>
      </c>
      <c r="J24" s="175">
        <f>Commercial_2!J24*'BTU Conversion Factor'!$F$4</f>
        <v>0</v>
      </c>
      <c r="K24" s="175">
        <f>Commercial_2!K24*'BTU Conversion Factor'!$F$4</f>
        <v>0</v>
      </c>
      <c r="L24" s="175">
        <f>Commercial_2!L24*'BTU Conversion Factor'!$F$4</f>
        <v>0</v>
      </c>
      <c r="M24" s="175">
        <f>Commercial_2!M24*'BTU Conversion Factor'!$F$4</f>
        <v>0</v>
      </c>
      <c r="N24" s="175">
        <f>Commercial_2!N24*'BTU Conversion Factor'!$F$4</f>
        <v>0</v>
      </c>
      <c r="O24" s="175">
        <f>Commercial_2!O24*'BTU Conversion Factor'!$F$4</f>
        <v>0</v>
      </c>
      <c r="P24" s="175">
        <f>Commercial_2!P24*'BTU Conversion Factor'!$F$4</f>
        <v>0</v>
      </c>
      <c r="Q24" s="175">
        <f>Commercial_2!Q24*'BTU Conversion Factor'!$F$4</f>
        <v>0</v>
      </c>
      <c r="R24" s="175">
        <f>Commercial_2!R24*'BTU Conversion Factor'!$F$4</f>
        <v>0</v>
      </c>
      <c r="S24" s="175">
        <f>Commercial_2!S24*'BTU Conversion Factor'!$F$4</f>
        <v>0</v>
      </c>
      <c r="T24" s="175">
        <f>Commercial_2!T24*'BTU Conversion Factor'!$F$4</f>
        <v>0</v>
      </c>
      <c r="U24" s="175">
        <f>Commercial_2!U24*'BTU Conversion Factor'!$F$4</f>
        <v>0</v>
      </c>
      <c r="V24" s="175">
        <f>Commercial_2!V24*'BTU Conversion Factor'!$F$4</f>
        <v>0</v>
      </c>
      <c r="W24" s="175">
        <f>Commercial_2!W24*'BTU Conversion Factor'!$F$4</f>
        <v>0</v>
      </c>
      <c r="X24" s="175">
        <f>Commercial_2!X24*'BTU Conversion Factor'!$F$4</f>
        <v>0</v>
      </c>
      <c r="Y24" s="175">
        <f>Commercial_2!Y24*'BTU Conversion Factor'!$F$4</f>
        <v>0</v>
      </c>
      <c r="Z24" s="175">
        <f>Commercial_2!Z24*'BTU Conversion Factor'!$F$4</f>
        <v>0</v>
      </c>
      <c r="AA24" s="175">
        <f>Commercial_2!AA24*'BTU Conversion Factor'!$F$4</f>
        <v>0</v>
      </c>
      <c r="AB24" s="175">
        <f>Commercial_2!AB24*'BTU Conversion Factor'!$F$4</f>
        <v>0</v>
      </c>
      <c r="AC24" s="175">
        <f>Commercial_2!AC24*'BTU Conversion Factor'!$F$4</f>
        <v>0</v>
      </c>
      <c r="AD24" s="175">
        <f>Commercial_2!AD24*'BTU Conversion Factor'!$F$4</f>
        <v>0</v>
      </c>
      <c r="AE24" s="175">
        <f>Commercial_2!AE24*'BTU Conversion Factor'!$F$4</f>
        <v>0</v>
      </c>
      <c r="AF24" s="175">
        <f>Commercial_2!AF24*'BTU Conversion Factor'!$F$4</f>
        <v>0</v>
      </c>
      <c r="AG24" s="175">
        <f>Commercial_2!AG24*'BTU Conversion Factor'!$F$4</f>
        <v>0</v>
      </c>
      <c r="AH24" s="175">
        <f>Commercial_2!AH24*'BTU Conversion Factor'!$F$4</f>
        <v>0</v>
      </c>
      <c r="AI24" s="175">
        <f>Commercial_2!AI24*'BTU Conversion Factor'!$F$4</f>
        <v>0</v>
      </c>
      <c r="AJ24" s="175">
        <f>Commercial_2!AJ24*'BTU Conversion Factor'!$F$4</f>
        <v>0</v>
      </c>
      <c r="AK24" s="175">
        <f>Commercial_2!AK24*'BTU Conversion Factor'!$F$4</f>
        <v>0</v>
      </c>
      <c r="AL24" s="175">
        <f>Commercial_2!AL24*'BTU Conversion Factor'!$F$4</f>
        <v>0</v>
      </c>
      <c r="AM24" s="175">
        <f>Commercial_2!AM24*'BTU Conversion Factor'!$F$4</f>
        <v>0</v>
      </c>
      <c r="AN24" s="175">
        <f>Commercial_2!AN24*'BTU Conversion Factor'!$F$4</f>
        <v>0</v>
      </c>
      <c r="AO24" s="175">
        <f>Commercial_2!AO24*'BTU Conversion Factor'!$F$4</f>
        <v>0</v>
      </c>
      <c r="AP24" s="175">
        <f>Commercial_2!AP24*'BTU Conversion Factor'!$F$4</f>
        <v>0</v>
      </c>
      <c r="AQ24" s="175">
        <f>Commercial_2!AQ24*'BTU Conversion Factor'!$F$4</f>
        <v>0</v>
      </c>
      <c r="AR24" s="175">
        <f>Commercial_2!AR24*'BTU Conversion Factor'!$F$4</f>
        <v>0</v>
      </c>
      <c r="AS24" s="175">
        <f>Commercial_2!AS24*'BTU Conversion Factor'!$F$4</f>
        <v>0</v>
      </c>
      <c r="AT24" s="175">
        <f>Commercial_2!AT24*'BTU Conversion Factor'!$F$4</f>
        <v>0</v>
      </c>
      <c r="AU24" s="175">
        <f>Commercial_2!AU24*'BTU Conversion Factor'!$F$4</f>
        <v>0</v>
      </c>
    </row>
    <row r="25" spans="1:47">
      <c r="B25" s="60" t="s">
        <v>667</v>
      </c>
      <c r="C25" s="175">
        <f>Commercial_2!C25*'BTU Conversion Factor'!$F$4</f>
        <v>0</v>
      </c>
      <c r="D25" s="175">
        <f>Commercial_2!D25*'BTU Conversion Factor'!$F$4</f>
        <v>0</v>
      </c>
      <c r="E25" s="175">
        <f>Commercial_2!E25*'BTU Conversion Factor'!$F$4</f>
        <v>0</v>
      </c>
      <c r="F25" s="175">
        <f>Commercial_2!F25*'BTU Conversion Factor'!$F$4</f>
        <v>0</v>
      </c>
      <c r="G25" s="175">
        <f>Commercial_2!G25*'BTU Conversion Factor'!$F$4</f>
        <v>0</v>
      </c>
      <c r="H25" s="175">
        <f>Commercial_2!H25*'BTU Conversion Factor'!$F$4</f>
        <v>0</v>
      </c>
      <c r="I25" s="175">
        <f>Commercial_2!I25*'BTU Conversion Factor'!$F$4</f>
        <v>0</v>
      </c>
      <c r="J25" s="175">
        <f>Commercial_2!J25*'BTU Conversion Factor'!$F$4</f>
        <v>0</v>
      </c>
      <c r="K25" s="175">
        <f>Commercial_2!K25*'BTU Conversion Factor'!$F$4</f>
        <v>0</v>
      </c>
      <c r="L25" s="175">
        <f>Commercial_2!L25*'BTU Conversion Factor'!$F$4</f>
        <v>0</v>
      </c>
      <c r="M25" s="175">
        <f>Commercial_2!M25*'BTU Conversion Factor'!$F$4</f>
        <v>0</v>
      </c>
      <c r="N25" s="175">
        <f>Commercial_2!N25*'BTU Conversion Factor'!$F$4</f>
        <v>0</v>
      </c>
      <c r="O25" s="175">
        <f>Commercial_2!O25*'BTU Conversion Factor'!$F$4</f>
        <v>0</v>
      </c>
      <c r="P25" s="175">
        <f>Commercial_2!P25*'BTU Conversion Factor'!$F$4</f>
        <v>0</v>
      </c>
      <c r="Q25" s="175">
        <f>Commercial_2!Q25*'BTU Conversion Factor'!$F$4</f>
        <v>0</v>
      </c>
      <c r="R25" s="175">
        <f>Commercial_2!R25*'BTU Conversion Factor'!$F$4</f>
        <v>0</v>
      </c>
      <c r="S25" s="175">
        <f>Commercial_2!S25*'BTU Conversion Factor'!$F$4</f>
        <v>0</v>
      </c>
      <c r="T25" s="175">
        <f>Commercial_2!T25*'BTU Conversion Factor'!$F$4</f>
        <v>0</v>
      </c>
      <c r="U25" s="175">
        <f>Commercial_2!U25*'BTU Conversion Factor'!$F$4</f>
        <v>0</v>
      </c>
      <c r="V25" s="175">
        <f>Commercial_2!V25*'BTU Conversion Factor'!$F$4</f>
        <v>0</v>
      </c>
      <c r="W25" s="175">
        <f>Commercial_2!W25*'BTU Conversion Factor'!$F$4</f>
        <v>0</v>
      </c>
      <c r="X25" s="175">
        <f>Commercial_2!X25*'BTU Conversion Factor'!$F$4</f>
        <v>0</v>
      </c>
      <c r="Y25" s="175">
        <f>Commercial_2!Y25*'BTU Conversion Factor'!$F$4</f>
        <v>0</v>
      </c>
      <c r="Z25" s="175">
        <f>Commercial_2!Z25*'BTU Conversion Factor'!$F$4</f>
        <v>0</v>
      </c>
      <c r="AA25" s="175">
        <f>Commercial_2!AA25*'BTU Conversion Factor'!$F$4</f>
        <v>0</v>
      </c>
      <c r="AB25" s="175">
        <f>Commercial_2!AB25*'BTU Conversion Factor'!$F$4</f>
        <v>0</v>
      </c>
      <c r="AC25" s="175">
        <f>Commercial_2!AC25*'BTU Conversion Factor'!$F$4</f>
        <v>0</v>
      </c>
      <c r="AD25" s="175">
        <f>Commercial_2!AD25*'BTU Conversion Factor'!$F$4</f>
        <v>0</v>
      </c>
      <c r="AE25" s="175">
        <f>Commercial_2!AE25*'BTU Conversion Factor'!$F$4</f>
        <v>0</v>
      </c>
      <c r="AF25" s="175">
        <f>Commercial_2!AF25*'BTU Conversion Factor'!$F$4</f>
        <v>0</v>
      </c>
      <c r="AG25" s="175">
        <f>Commercial_2!AG25*'BTU Conversion Factor'!$F$4</f>
        <v>0</v>
      </c>
      <c r="AH25" s="175">
        <f>Commercial_2!AH25*'BTU Conversion Factor'!$F$4</f>
        <v>0</v>
      </c>
      <c r="AI25" s="175">
        <f>Commercial_2!AI25*'BTU Conversion Factor'!$F$4</f>
        <v>0</v>
      </c>
      <c r="AJ25" s="175">
        <f>Commercial_2!AJ25*'BTU Conversion Factor'!$F$4</f>
        <v>0</v>
      </c>
      <c r="AK25" s="175">
        <f>Commercial_2!AK25*'BTU Conversion Factor'!$F$4</f>
        <v>0</v>
      </c>
      <c r="AL25" s="175">
        <f>Commercial_2!AL25*'BTU Conversion Factor'!$F$4</f>
        <v>0</v>
      </c>
      <c r="AM25" s="175">
        <f>Commercial_2!AM25*'BTU Conversion Factor'!$F$4</f>
        <v>0</v>
      </c>
      <c r="AN25" s="175">
        <f>Commercial_2!AN25*'BTU Conversion Factor'!$F$4</f>
        <v>0</v>
      </c>
      <c r="AO25" s="175">
        <f>Commercial_2!AO25*'BTU Conversion Factor'!$F$4</f>
        <v>0</v>
      </c>
      <c r="AP25" s="175">
        <f>Commercial_2!AP25*'BTU Conversion Factor'!$F$4</f>
        <v>0</v>
      </c>
      <c r="AQ25" s="175">
        <f>Commercial_2!AQ25*'BTU Conversion Factor'!$F$4</f>
        <v>0</v>
      </c>
      <c r="AR25" s="175">
        <f>Commercial_2!AR25*'BTU Conversion Factor'!$F$4</f>
        <v>0</v>
      </c>
      <c r="AS25" s="175">
        <f>Commercial_2!AS25*'BTU Conversion Factor'!$F$4</f>
        <v>0</v>
      </c>
      <c r="AT25" s="175">
        <f>Commercial_2!AT25*'BTU Conversion Factor'!$F$4</f>
        <v>0</v>
      </c>
      <c r="AU25" s="175">
        <f>Commercial_2!AU25*'BTU Conversion Factor'!$F$4</f>
        <v>0</v>
      </c>
    </row>
    <row r="26" spans="1:47">
      <c r="B26" s="60" t="s">
        <v>668</v>
      </c>
      <c r="C26" s="175">
        <f>Commercial_2!C26*'BTU Conversion Factor'!$F$4</f>
        <v>0</v>
      </c>
      <c r="D26" s="175">
        <f>Commercial_2!D26*'BTU Conversion Factor'!$F$4</f>
        <v>0</v>
      </c>
      <c r="E26" s="175">
        <f>Commercial_2!E26*'BTU Conversion Factor'!$F$4</f>
        <v>0</v>
      </c>
      <c r="F26" s="175">
        <f>Commercial_2!F26*'BTU Conversion Factor'!$F$4</f>
        <v>0</v>
      </c>
      <c r="G26" s="175">
        <f>Commercial_2!G26*'BTU Conversion Factor'!$F$4</f>
        <v>0</v>
      </c>
      <c r="H26" s="175">
        <f>Commercial_2!H26*'BTU Conversion Factor'!$F$4</f>
        <v>0</v>
      </c>
      <c r="I26" s="175">
        <f>Commercial_2!I26*'BTU Conversion Factor'!$F$4</f>
        <v>0</v>
      </c>
      <c r="J26" s="175">
        <f>Commercial_2!J26*'BTU Conversion Factor'!$F$4</f>
        <v>0</v>
      </c>
      <c r="K26" s="175">
        <f>Commercial_2!K26*'BTU Conversion Factor'!$F$4</f>
        <v>0</v>
      </c>
      <c r="L26" s="175">
        <f>Commercial_2!L26*'BTU Conversion Factor'!$F$4</f>
        <v>0</v>
      </c>
      <c r="M26" s="175">
        <f>Commercial_2!M26*'BTU Conversion Factor'!$F$4</f>
        <v>0</v>
      </c>
      <c r="N26" s="175">
        <f>Commercial_2!N26*'BTU Conversion Factor'!$F$4</f>
        <v>0</v>
      </c>
      <c r="O26" s="175">
        <f>Commercial_2!O26*'BTU Conversion Factor'!$F$4</f>
        <v>0</v>
      </c>
      <c r="P26" s="175">
        <f>Commercial_2!P26*'BTU Conversion Factor'!$F$4</f>
        <v>0</v>
      </c>
      <c r="Q26" s="175">
        <f>Commercial_2!Q26*'BTU Conversion Factor'!$F$4</f>
        <v>0</v>
      </c>
      <c r="R26" s="175">
        <f>Commercial_2!R26*'BTU Conversion Factor'!$F$4</f>
        <v>0</v>
      </c>
      <c r="S26" s="175">
        <f>Commercial_2!S26*'BTU Conversion Factor'!$F$4</f>
        <v>0</v>
      </c>
      <c r="T26" s="175">
        <f>Commercial_2!T26*'BTU Conversion Factor'!$F$4</f>
        <v>0</v>
      </c>
      <c r="U26" s="175">
        <f>Commercial_2!U26*'BTU Conversion Factor'!$F$4</f>
        <v>0</v>
      </c>
      <c r="V26" s="175">
        <f>Commercial_2!V26*'BTU Conversion Factor'!$F$4</f>
        <v>0</v>
      </c>
      <c r="W26" s="175">
        <f>Commercial_2!W26*'BTU Conversion Factor'!$F$4</f>
        <v>0</v>
      </c>
      <c r="X26" s="175">
        <f>Commercial_2!X26*'BTU Conversion Factor'!$F$4</f>
        <v>0</v>
      </c>
      <c r="Y26" s="175">
        <f>Commercial_2!Y26*'BTU Conversion Factor'!$F$4</f>
        <v>0</v>
      </c>
      <c r="Z26" s="175">
        <f>Commercial_2!Z26*'BTU Conversion Factor'!$F$4</f>
        <v>0</v>
      </c>
      <c r="AA26" s="175">
        <f>Commercial_2!AA26*'BTU Conversion Factor'!$F$4</f>
        <v>0</v>
      </c>
      <c r="AB26" s="175">
        <f>Commercial_2!AB26*'BTU Conversion Factor'!$F$4</f>
        <v>0</v>
      </c>
      <c r="AC26" s="175">
        <f>Commercial_2!AC26*'BTU Conversion Factor'!$F$4</f>
        <v>0</v>
      </c>
      <c r="AD26" s="175">
        <f>Commercial_2!AD26*'BTU Conversion Factor'!$F$4</f>
        <v>0</v>
      </c>
      <c r="AE26" s="175">
        <f>Commercial_2!AE26*'BTU Conversion Factor'!$F$4</f>
        <v>0</v>
      </c>
      <c r="AF26" s="175">
        <f>Commercial_2!AF26*'BTU Conversion Factor'!$F$4</f>
        <v>0</v>
      </c>
      <c r="AG26" s="175">
        <f>Commercial_2!AG26*'BTU Conversion Factor'!$F$4</f>
        <v>0</v>
      </c>
      <c r="AH26" s="175">
        <f>Commercial_2!AH26*'BTU Conversion Factor'!$F$4</f>
        <v>0</v>
      </c>
      <c r="AI26" s="175">
        <f>Commercial_2!AI26*'BTU Conversion Factor'!$F$4</f>
        <v>0</v>
      </c>
      <c r="AJ26" s="175">
        <f>Commercial_2!AJ26*'BTU Conversion Factor'!$F$4</f>
        <v>0</v>
      </c>
      <c r="AK26" s="175">
        <f>Commercial_2!AK26*'BTU Conversion Factor'!$F$4</f>
        <v>0</v>
      </c>
      <c r="AL26" s="175">
        <f>Commercial_2!AL26*'BTU Conversion Factor'!$F$4</f>
        <v>0</v>
      </c>
      <c r="AM26" s="175">
        <f>Commercial_2!AM26*'BTU Conversion Factor'!$F$4</f>
        <v>0</v>
      </c>
      <c r="AN26" s="175">
        <f>Commercial_2!AN26*'BTU Conversion Factor'!$F$4</f>
        <v>0</v>
      </c>
      <c r="AO26" s="175">
        <f>Commercial_2!AO26*'BTU Conversion Factor'!$F$4</f>
        <v>0</v>
      </c>
      <c r="AP26" s="175">
        <f>Commercial_2!AP26*'BTU Conversion Factor'!$F$4</f>
        <v>0</v>
      </c>
      <c r="AQ26" s="175">
        <f>Commercial_2!AQ26*'BTU Conversion Factor'!$F$4</f>
        <v>0</v>
      </c>
      <c r="AR26" s="175">
        <f>Commercial_2!AR26*'BTU Conversion Factor'!$F$4</f>
        <v>0</v>
      </c>
      <c r="AS26" s="175">
        <f>Commercial_2!AS26*'BTU Conversion Factor'!$F$4</f>
        <v>0</v>
      </c>
      <c r="AT26" s="175">
        <f>Commercial_2!AT26*'BTU Conversion Factor'!$F$4</f>
        <v>0</v>
      </c>
      <c r="AU26" s="175">
        <f>Commercial_2!AU26*'BTU Conversion Factor'!$F$4</f>
        <v>0</v>
      </c>
    </row>
    <row r="27" spans="1:47">
      <c r="B27" s="60" t="s">
        <v>669</v>
      </c>
      <c r="C27" s="175">
        <f>Commercial_2!C27*'BTU Conversion Factor'!$F$4</f>
        <v>0</v>
      </c>
      <c r="D27" s="175">
        <f>Commercial_2!D27*'BTU Conversion Factor'!$F$4</f>
        <v>0</v>
      </c>
      <c r="E27" s="175">
        <f>Commercial_2!E27*'BTU Conversion Factor'!$F$4</f>
        <v>0</v>
      </c>
      <c r="F27" s="175">
        <f>Commercial_2!F27*'BTU Conversion Factor'!$F$4</f>
        <v>0</v>
      </c>
      <c r="G27" s="175">
        <f>Commercial_2!G27*'BTU Conversion Factor'!$F$4</f>
        <v>0</v>
      </c>
      <c r="H27" s="175">
        <f>Commercial_2!H27*'BTU Conversion Factor'!$F$4</f>
        <v>0</v>
      </c>
      <c r="I27" s="175">
        <f>Commercial_2!I27*'BTU Conversion Factor'!$F$4</f>
        <v>0</v>
      </c>
      <c r="J27" s="175">
        <f>Commercial_2!J27*'BTU Conversion Factor'!$F$4</f>
        <v>0</v>
      </c>
      <c r="K27" s="175">
        <f>Commercial_2!K27*'BTU Conversion Factor'!$F$4</f>
        <v>0</v>
      </c>
      <c r="L27" s="175">
        <f>Commercial_2!L27*'BTU Conversion Factor'!$F$4</f>
        <v>0</v>
      </c>
      <c r="M27" s="175">
        <f>Commercial_2!M27*'BTU Conversion Factor'!$F$4</f>
        <v>0</v>
      </c>
      <c r="N27" s="175">
        <f>Commercial_2!N27*'BTU Conversion Factor'!$F$4</f>
        <v>0</v>
      </c>
      <c r="O27" s="175">
        <f>Commercial_2!O27*'BTU Conversion Factor'!$F$4</f>
        <v>0</v>
      </c>
      <c r="P27" s="175">
        <f>Commercial_2!P27*'BTU Conversion Factor'!$F$4</f>
        <v>0</v>
      </c>
      <c r="Q27" s="175">
        <f>Commercial_2!Q27*'BTU Conversion Factor'!$F$4</f>
        <v>0</v>
      </c>
      <c r="R27" s="175">
        <f>Commercial_2!R27*'BTU Conversion Factor'!$F$4</f>
        <v>0</v>
      </c>
      <c r="S27" s="175">
        <f>Commercial_2!S27*'BTU Conversion Factor'!$F$4</f>
        <v>0</v>
      </c>
      <c r="T27" s="175">
        <f>Commercial_2!T27*'BTU Conversion Factor'!$F$4</f>
        <v>0</v>
      </c>
      <c r="U27" s="175">
        <f>Commercial_2!U27*'BTU Conversion Factor'!$F$4</f>
        <v>0</v>
      </c>
      <c r="V27" s="175">
        <f>Commercial_2!V27*'BTU Conversion Factor'!$F$4</f>
        <v>0</v>
      </c>
      <c r="W27" s="175">
        <f>Commercial_2!W27*'BTU Conversion Factor'!$F$4</f>
        <v>0</v>
      </c>
      <c r="X27" s="175">
        <f>Commercial_2!X27*'BTU Conversion Factor'!$F$4</f>
        <v>0</v>
      </c>
      <c r="Y27" s="175">
        <f>Commercial_2!Y27*'BTU Conversion Factor'!$F$4</f>
        <v>0</v>
      </c>
      <c r="Z27" s="175">
        <f>Commercial_2!Z27*'BTU Conversion Factor'!$F$4</f>
        <v>0</v>
      </c>
      <c r="AA27" s="175">
        <f>Commercial_2!AA27*'BTU Conversion Factor'!$F$4</f>
        <v>0</v>
      </c>
      <c r="AB27" s="175">
        <f>Commercial_2!AB27*'BTU Conversion Factor'!$F$4</f>
        <v>0</v>
      </c>
      <c r="AC27" s="175">
        <f>Commercial_2!AC27*'BTU Conversion Factor'!$F$4</f>
        <v>0</v>
      </c>
      <c r="AD27" s="175">
        <f>Commercial_2!AD27*'BTU Conversion Factor'!$F$4</f>
        <v>0</v>
      </c>
      <c r="AE27" s="175">
        <f>Commercial_2!AE27*'BTU Conversion Factor'!$F$4</f>
        <v>0</v>
      </c>
      <c r="AF27" s="175">
        <f>Commercial_2!AF27*'BTU Conversion Factor'!$F$4</f>
        <v>0</v>
      </c>
      <c r="AG27" s="175">
        <f>Commercial_2!AG27*'BTU Conversion Factor'!$F$4</f>
        <v>0</v>
      </c>
      <c r="AH27" s="175">
        <f>Commercial_2!AH27*'BTU Conversion Factor'!$F$4</f>
        <v>0</v>
      </c>
      <c r="AI27" s="175">
        <f>Commercial_2!AI27*'BTU Conversion Factor'!$F$4</f>
        <v>0</v>
      </c>
      <c r="AJ27" s="175">
        <f>Commercial_2!AJ27*'BTU Conversion Factor'!$F$4</f>
        <v>0</v>
      </c>
      <c r="AK27" s="175">
        <f>Commercial_2!AK27*'BTU Conversion Factor'!$F$4</f>
        <v>0</v>
      </c>
      <c r="AL27" s="175">
        <f>Commercial_2!AL27*'BTU Conversion Factor'!$F$4</f>
        <v>0</v>
      </c>
      <c r="AM27" s="175">
        <f>Commercial_2!AM27*'BTU Conversion Factor'!$F$4</f>
        <v>0</v>
      </c>
      <c r="AN27" s="175">
        <f>Commercial_2!AN27*'BTU Conversion Factor'!$F$4</f>
        <v>0</v>
      </c>
      <c r="AO27" s="175">
        <f>Commercial_2!AO27*'BTU Conversion Factor'!$F$4</f>
        <v>0</v>
      </c>
      <c r="AP27" s="175">
        <f>Commercial_2!AP27*'BTU Conversion Factor'!$F$4</f>
        <v>0</v>
      </c>
      <c r="AQ27" s="175">
        <f>Commercial_2!AQ27*'BTU Conversion Factor'!$F$4</f>
        <v>0</v>
      </c>
      <c r="AR27" s="175">
        <f>Commercial_2!AR27*'BTU Conversion Factor'!$F$4</f>
        <v>0</v>
      </c>
      <c r="AS27" s="175">
        <f>Commercial_2!AS27*'BTU Conversion Factor'!$F$4</f>
        <v>0</v>
      </c>
      <c r="AT27" s="175">
        <f>Commercial_2!AT27*'BTU Conversion Factor'!$F$4</f>
        <v>0</v>
      </c>
      <c r="AU27" s="175">
        <f>Commercial_2!AU27*'BTU Conversion Factor'!$F$4</f>
        <v>0</v>
      </c>
    </row>
    <row r="28" spans="1:47">
      <c r="B28" s="60" t="s">
        <v>670</v>
      </c>
      <c r="C28" s="175">
        <f>Commercial_2!C28*'BTU Conversion Factor'!$F$4</f>
        <v>0</v>
      </c>
      <c r="D28" s="175">
        <f>Commercial_2!D28*'BTU Conversion Factor'!$F$4</f>
        <v>0</v>
      </c>
      <c r="E28" s="175">
        <f>Commercial_2!E28*'BTU Conversion Factor'!$F$4</f>
        <v>0</v>
      </c>
      <c r="F28" s="175">
        <f>Commercial_2!F28*'BTU Conversion Factor'!$F$4</f>
        <v>0</v>
      </c>
      <c r="G28" s="175">
        <f>Commercial_2!G28*'BTU Conversion Factor'!$F$4</f>
        <v>0</v>
      </c>
      <c r="H28" s="175">
        <f>Commercial_2!H28*'BTU Conversion Factor'!$F$4</f>
        <v>0</v>
      </c>
      <c r="I28" s="175">
        <f>Commercial_2!I28*'BTU Conversion Factor'!$F$4</f>
        <v>0</v>
      </c>
      <c r="J28" s="175">
        <f>Commercial_2!J28*'BTU Conversion Factor'!$F$4</f>
        <v>0</v>
      </c>
      <c r="K28" s="175">
        <f>Commercial_2!K28*'BTU Conversion Factor'!$F$4</f>
        <v>0</v>
      </c>
      <c r="L28" s="175">
        <f>Commercial_2!L28*'BTU Conversion Factor'!$F$4</f>
        <v>0</v>
      </c>
      <c r="M28" s="175">
        <f>Commercial_2!M28*'BTU Conversion Factor'!$F$4</f>
        <v>0</v>
      </c>
      <c r="N28" s="175">
        <f>Commercial_2!N28*'BTU Conversion Factor'!$F$4</f>
        <v>0</v>
      </c>
      <c r="O28" s="175">
        <f>Commercial_2!O28*'BTU Conversion Factor'!$F$4</f>
        <v>0</v>
      </c>
      <c r="P28" s="175">
        <f>Commercial_2!P28*'BTU Conversion Factor'!$F$4</f>
        <v>0</v>
      </c>
      <c r="Q28" s="175">
        <f>Commercial_2!Q28*'BTU Conversion Factor'!$F$4</f>
        <v>0</v>
      </c>
      <c r="R28" s="175">
        <f>Commercial_2!R28*'BTU Conversion Factor'!$F$4</f>
        <v>0</v>
      </c>
      <c r="S28" s="175">
        <f>Commercial_2!S28*'BTU Conversion Factor'!$F$4</f>
        <v>0</v>
      </c>
      <c r="T28" s="175">
        <f>Commercial_2!T28*'BTU Conversion Factor'!$F$4</f>
        <v>0</v>
      </c>
      <c r="U28" s="175">
        <f>Commercial_2!U28*'BTU Conversion Factor'!$F$4</f>
        <v>0</v>
      </c>
      <c r="V28" s="175">
        <f>Commercial_2!V28*'BTU Conversion Factor'!$F$4</f>
        <v>0</v>
      </c>
      <c r="W28" s="175">
        <f>Commercial_2!W28*'BTU Conversion Factor'!$F$4</f>
        <v>0</v>
      </c>
      <c r="X28" s="175">
        <f>Commercial_2!X28*'BTU Conversion Factor'!$F$4</f>
        <v>0</v>
      </c>
      <c r="Y28" s="175">
        <f>Commercial_2!Y28*'BTU Conversion Factor'!$F$4</f>
        <v>0</v>
      </c>
      <c r="Z28" s="175">
        <f>Commercial_2!Z28*'BTU Conversion Factor'!$F$4</f>
        <v>0</v>
      </c>
      <c r="AA28" s="175">
        <f>Commercial_2!AA28*'BTU Conversion Factor'!$F$4</f>
        <v>0</v>
      </c>
      <c r="AB28" s="175">
        <f>Commercial_2!AB28*'BTU Conversion Factor'!$F$4</f>
        <v>0</v>
      </c>
      <c r="AC28" s="175">
        <f>Commercial_2!AC28*'BTU Conversion Factor'!$F$4</f>
        <v>0</v>
      </c>
      <c r="AD28" s="175">
        <f>Commercial_2!AD28*'BTU Conversion Factor'!$F$4</f>
        <v>0</v>
      </c>
      <c r="AE28" s="175">
        <f>Commercial_2!AE28*'BTU Conversion Factor'!$F$4</f>
        <v>0</v>
      </c>
      <c r="AF28" s="175">
        <f>Commercial_2!AF28*'BTU Conversion Factor'!$F$4</f>
        <v>0</v>
      </c>
      <c r="AG28" s="175">
        <f>Commercial_2!AG28*'BTU Conversion Factor'!$F$4</f>
        <v>0</v>
      </c>
      <c r="AH28" s="175">
        <f>Commercial_2!AH28*'BTU Conversion Factor'!$F$4</f>
        <v>0</v>
      </c>
      <c r="AI28" s="175">
        <f>Commercial_2!AI28*'BTU Conversion Factor'!$F$4</f>
        <v>0</v>
      </c>
      <c r="AJ28" s="175">
        <f>Commercial_2!AJ28*'BTU Conversion Factor'!$F$4</f>
        <v>0</v>
      </c>
      <c r="AK28" s="175">
        <f>Commercial_2!AK28*'BTU Conversion Factor'!$F$4</f>
        <v>0</v>
      </c>
      <c r="AL28" s="175">
        <f>Commercial_2!AL28*'BTU Conversion Factor'!$F$4</f>
        <v>0</v>
      </c>
      <c r="AM28" s="175">
        <f>Commercial_2!AM28*'BTU Conversion Factor'!$F$4</f>
        <v>0</v>
      </c>
      <c r="AN28" s="175">
        <f>Commercial_2!AN28*'BTU Conversion Factor'!$F$4</f>
        <v>0</v>
      </c>
      <c r="AO28" s="175">
        <f>Commercial_2!AO28*'BTU Conversion Factor'!$F$4</f>
        <v>0</v>
      </c>
      <c r="AP28" s="175">
        <f>Commercial_2!AP28*'BTU Conversion Factor'!$F$4</f>
        <v>0</v>
      </c>
      <c r="AQ28" s="175">
        <f>Commercial_2!AQ28*'BTU Conversion Factor'!$F$4</f>
        <v>0</v>
      </c>
      <c r="AR28" s="175">
        <f>Commercial_2!AR28*'BTU Conversion Factor'!$F$4</f>
        <v>0</v>
      </c>
      <c r="AS28" s="175">
        <f>Commercial_2!AS28*'BTU Conversion Factor'!$F$4</f>
        <v>0</v>
      </c>
      <c r="AT28" s="175">
        <f>Commercial_2!AT28*'BTU Conversion Factor'!$F$4</f>
        <v>0</v>
      </c>
      <c r="AU28" s="175">
        <f>Commercial_2!AU28*'BTU Conversion Factor'!$F$4</f>
        <v>0</v>
      </c>
    </row>
    <row r="30" spans="1:47" s="64" customFormat="1">
      <c r="A30" s="124" t="s">
        <v>89</v>
      </c>
    </row>
    <row r="31" spans="1:47" s="60" customFormat="1">
      <c r="B31" s="60" t="s">
        <v>0</v>
      </c>
      <c r="C31" s="60">
        <v>2006</v>
      </c>
      <c r="D31" s="60">
        <v>2007</v>
      </c>
      <c r="E31" s="60">
        <v>2008</v>
      </c>
      <c r="F31" s="60">
        <v>2009</v>
      </c>
      <c r="G31" s="60">
        <v>2010</v>
      </c>
      <c r="H31" s="60">
        <v>2011</v>
      </c>
      <c r="I31" s="60">
        <v>2012</v>
      </c>
      <c r="J31" s="60">
        <v>2013</v>
      </c>
      <c r="K31" s="60">
        <v>2014</v>
      </c>
      <c r="L31" s="60">
        <v>2015</v>
      </c>
      <c r="M31" s="60">
        <v>2016</v>
      </c>
      <c r="N31" s="60">
        <v>2017</v>
      </c>
      <c r="O31" s="60">
        <v>2018</v>
      </c>
      <c r="P31" s="60">
        <v>2019</v>
      </c>
      <c r="Q31" s="60">
        <v>2020</v>
      </c>
      <c r="R31" s="60">
        <v>2021</v>
      </c>
      <c r="S31" s="60">
        <v>2022</v>
      </c>
      <c r="T31" s="60">
        <v>2023</v>
      </c>
      <c r="U31" s="60">
        <v>2024</v>
      </c>
      <c r="V31" s="60">
        <v>2025</v>
      </c>
      <c r="W31" s="60">
        <v>2026</v>
      </c>
      <c r="X31" s="60">
        <v>2027</v>
      </c>
      <c r="Y31" s="60">
        <v>2028</v>
      </c>
      <c r="Z31" s="60">
        <v>2029</v>
      </c>
      <c r="AA31" s="60">
        <v>2030</v>
      </c>
      <c r="AB31" s="60">
        <v>2031</v>
      </c>
      <c r="AC31" s="60">
        <v>2032</v>
      </c>
      <c r="AD31" s="60">
        <v>2033</v>
      </c>
      <c r="AE31" s="60">
        <v>2034</v>
      </c>
      <c r="AF31" s="60">
        <v>2035</v>
      </c>
      <c r="AG31" s="60">
        <v>2036</v>
      </c>
      <c r="AH31" s="60">
        <v>2037</v>
      </c>
      <c r="AI31" s="60">
        <v>2038</v>
      </c>
      <c r="AJ31" s="60">
        <v>2039</v>
      </c>
      <c r="AK31" s="60">
        <v>2040</v>
      </c>
      <c r="AL31" s="60">
        <v>2041</v>
      </c>
      <c r="AM31" s="60">
        <v>2042</v>
      </c>
      <c r="AN31" s="60">
        <v>2043</v>
      </c>
      <c r="AO31" s="60">
        <v>2044</v>
      </c>
      <c r="AP31" s="60">
        <v>2045</v>
      </c>
      <c r="AQ31" s="60">
        <v>2046</v>
      </c>
      <c r="AR31" s="60">
        <v>2047</v>
      </c>
      <c r="AS31" s="60">
        <v>2048</v>
      </c>
      <c r="AT31" s="60">
        <v>2049</v>
      </c>
      <c r="AU31" s="60">
        <v>2050</v>
      </c>
    </row>
    <row r="32" spans="1:47">
      <c r="B32" s="60" t="s">
        <v>665</v>
      </c>
      <c r="C32" s="175">
        <f>Commercial_2!C32*'BTU Conversion Factor'!$F$4</f>
        <v>15035794942000</v>
      </c>
      <c r="D32" s="175">
        <f>Commercial_2!D32*'BTU Conversion Factor'!$F$4</f>
        <v>16068102369666.75</v>
      </c>
      <c r="E32" s="175">
        <f>Commercial_2!E32*'BTU Conversion Factor'!$F$4</f>
        <v>17100409797333.375</v>
      </c>
      <c r="F32" s="175">
        <f>Commercial_2!F32*'BTU Conversion Factor'!$F$4</f>
        <v>18132717225000</v>
      </c>
      <c r="G32" s="175">
        <f>Commercial_2!G32*'BTU Conversion Factor'!$F$4</f>
        <v>19165024652666.625</v>
      </c>
      <c r="H32" s="175">
        <f>Commercial_2!H32*'BTU Conversion Factor'!$F$4</f>
        <v>20197332080333.25</v>
      </c>
      <c r="I32" s="175">
        <f>Commercial_2!I32*'BTU Conversion Factor'!$F$4</f>
        <v>21229639508000.004</v>
      </c>
      <c r="J32" s="175">
        <f>Commercial_2!J32*'BTU Conversion Factor'!$F$4</f>
        <v>21160203680000.004</v>
      </c>
      <c r="K32" s="175">
        <f>Commercial_2!K32*'BTU Conversion Factor'!$F$4</f>
        <v>21399371532000.004</v>
      </c>
      <c r="L32" s="175">
        <f>Commercial_2!L32*'BTU Conversion Factor'!$F$4</f>
        <v>20638847334000.004</v>
      </c>
      <c r="M32" s="175">
        <f>Commercial_2!M32*'BTU Conversion Factor'!$F$4</f>
        <v>20676266478000</v>
      </c>
      <c r="N32" s="175">
        <f>Commercial_2!N32*'BTU Conversion Factor'!$F$4</f>
        <v>21867238761925.234</v>
      </c>
      <c r="O32" s="175">
        <f>Commercial_2!O32*'BTU Conversion Factor'!$F$4</f>
        <v>21962250254765.02</v>
      </c>
      <c r="P32" s="175">
        <f>Commercial_2!P32*'BTU Conversion Factor'!$F$4</f>
        <v>22057380190979.324</v>
      </c>
      <c r="Q32" s="175">
        <f>Commercial_2!Q32*'BTU Conversion Factor'!$F$4</f>
        <v>22152628570568.215</v>
      </c>
      <c r="R32" s="175">
        <f>Commercial_2!R32*'BTU Conversion Factor'!$F$4</f>
        <v>22340560383727.324</v>
      </c>
      <c r="S32" s="175">
        <f>Commercial_2!S32*'BTU Conversion Factor'!$F$4</f>
        <v>22528749985407.52</v>
      </c>
      <c r="T32" s="175">
        <f>Commercial_2!T32*'BTU Conversion Factor'!$F$4</f>
        <v>22717197375608.797</v>
      </c>
      <c r="U32" s="175">
        <f>Commercial_2!U32*'BTU Conversion Factor'!$F$4</f>
        <v>22905902554331.16</v>
      </c>
      <c r="V32" s="175">
        <f>Commercial_2!V32*'BTU Conversion Factor'!$F$4</f>
        <v>23094865521574.605</v>
      </c>
      <c r="W32" s="175">
        <f>Commercial_2!W32*'BTU Conversion Factor'!$F$4</f>
        <v>23284086277339.129</v>
      </c>
      <c r="X32" s="175">
        <f>Commercial_2!X32*'BTU Conversion Factor'!$F$4</f>
        <v>23473564821624.734</v>
      </c>
      <c r="Y32" s="175">
        <f>Commercial_2!Y32*'BTU Conversion Factor'!$F$4</f>
        <v>23663301154431.43</v>
      </c>
      <c r="Z32" s="175">
        <f>Commercial_2!Z32*'BTU Conversion Factor'!$F$4</f>
        <v>23853295275759.195</v>
      </c>
      <c r="AA32" s="175">
        <f>Commercial_2!AA32*'BTU Conversion Factor'!$F$4</f>
        <v>24043547185608.059</v>
      </c>
      <c r="AB32" s="175">
        <f>Commercial_2!AB32*'BTU Conversion Factor'!$F$4</f>
        <v>24234056883977.996</v>
      </c>
      <c r="AC32" s="175">
        <f>Commercial_2!AC32*'BTU Conversion Factor'!$F$4</f>
        <v>24424824370869.012</v>
      </c>
      <c r="AD32" s="175">
        <f>Commercial_2!AD32*'BTU Conversion Factor'!$F$4</f>
        <v>24615849646281.121</v>
      </c>
      <c r="AE32" s="175">
        <f>Commercial_2!AE32*'BTU Conversion Factor'!$F$4</f>
        <v>24807132710214.305</v>
      </c>
      <c r="AF32" s="175">
        <f>Commercial_2!AF32*'BTU Conversion Factor'!$F$4</f>
        <v>24998673562668.574</v>
      </c>
      <c r="AG32" s="175">
        <f>Commercial_2!AG32*'BTU Conversion Factor'!$F$4</f>
        <v>25190472203643.871</v>
      </c>
      <c r="AH32" s="175">
        <f>Commercial_2!AH32*'BTU Conversion Factor'!$F$4</f>
        <v>25382528633140.305</v>
      </c>
      <c r="AI32" s="175">
        <f>Commercial_2!AI32*'BTU Conversion Factor'!$F$4</f>
        <v>25574842851157.828</v>
      </c>
      <c r="AJ32" s="175">
        <f>Commercial_2!AJ32*'BTU Conversion Factor'!$F$4</f>
        <v>25767414857696.426</v>
      </c>
      <c r="AK32" s="175">
        <f>Commercial_2!AK32*'BTU Conversion Factor'!$F$4</f>
        <v>25960244652756.105</v>
      </c>
      <c r="AL32" s="175">
        <f>Commercial_2!AL32*'BTU Conversion Factor'!$F$4</f>
        <v>26153332236336.875</v>
      </c>
      <c r="AM32" s="175">
        <f>Commercial_2!AM32*'BTU Conversion Factor'!$F$4</f>
        <v>26346677608438.723</v>
      </c>
      <c r="AN32" s="175">
        <f>Commercial_2!AN32*'BTU Conversion Factor'!$F$4</f>
        <v>26540280769061.648</v>
      </c>
      <c r="AO32" s="175">
        <f>Commercial_2!AO32*'BTU Conversion Factor'!$F$4</f>
        <v>26734141718205.664</v>
      </c>
      <c r="AP32" s="175">
        <f>Commercial_2!AP32*'BTU Conversion Factor'!$F$4</f>
        <v>26928260455870.758</v>
      </c>
      <c r="AQ32" s="175">
        <f>Commercial_2!AQ32*'BTU Conversion Factor'!$F$4</f>
        <v>27122636982056.93</v>
      </c>
      <c r="AR32" s="175">
        <f>Commercial_2!AR32*'BTU Conversion Factor'!$F$4</f>
        <v>27317271296764.199</v>
      </c>
      <c r="AS32" s="175">
        <f>Commercial_2!AS32*'BTU Conversion Factor'!$F$4</f>
        <v>27512163399992.543</v>
      </c>
      <c r="AT32" s="175">
        <f>Commercial_2!AT32*'BTU Conversion Factor'!$F$4</f>
        <v>27707313291741.961</v>
      </c>
      <c r="AU32" s="175">
        <f>Commercial_2!AU32*'BTU Conversion Factor'!$F$4</f>
        <v>27902720972012.477</v>
      </c>
    </row>
    <row r="33" spans="1:47">
      <c r="B33" s="60" t="s">
        <v>666</v>
      </c>
      <c r="C33" s="175">
        <f>Commercial_2!C33*'BTU Conversion Factor'!$F$4</f>
        <v>2338563150507.4595</v>
      </c>
      <c r="D33" s="175">
        <f>Commercial_2!D33*'BTU Conversion Factor'!$F$4</f>
        <v>2325474142089.5498</v>
      </c>
      <c r="E33" s="175">
        <f>Commercial_2!E33*'BTU Conversion Factor'!$F$4</f>
        <v>2312385133671.6411</v>
      </c>
      <c r="F33" s="175">
        <f>Commercial_2!F33*'BTU Conversion Factor'!$F$4</f>
        <v>2299296125253.729</v>
      </c>
      <c r="G33" s="175">
        <f>Commercial_2!G33*'BTU Conversion Factor'!$F$4</f>
        <v>2286207116835.8203</v>
      </c>
      <c r="H33" s="175">
        <f>Commercial_2!H33*'BTU Conversion Factor'!$F$4</f>
        <v>2273118108417.9121</v>
      </c>
      <c r="I33" s="175">
        <f>Commercial_2!I33*'BTU Conversion Factor'!$F$4</f>
        <v>2260029100000</v>
      </c>
      <c r="J33" s="175">
        <f>Commercial_2!J33*'BTU Conversion Factor'!$F$4</f>
        <v>2381821400000</v>
      </c>
      <c r="K33" s="175">
        <f>Commercial_2!K33*'BTU Conversion Factor'!$F$4</f>
        <v>2443428400000</v>
      </c>
      <c r="L33" s="175">
        <f>Commercial_2!L33*'BTU Conversion Factor'!$F$4</f>
        <v>2457645400000</v>
      </c>
      <c r="M33" s="175">
        <f>Commercial_2!M33*'BTU Conversion Factor'!$F$4</f>
        <v>2447219600000</v>
      </c>
      <c r="N33" s="175">
        <f>Commercial_2!N33*'BTU Conversion Factor'!$F$4</f>
        <v>2176175321922.7163</v>
      </c>
      <c r="O33" s="175">
        <f>Commercial_2!O33*'BTU Conversion Factor'!$F$4</f>
        <v>2135568427030.1653</v>
      </c>
      <c r="P33" s="175">
        <f>Commercial_2!P33*'BTU Conversion Factor'!$F$4</f>
        <v>2094615431367.8447</v>
      </c>
      <c r="Q33" s="175">
        <f>Commercial_2!Q33*'BTU Conversion Factor'!$F$4</f>
        <v>2053316334935.7078</v>
      </c>
      <c r="R33" s="175">
        <f>Commercial_2!R33*'BTU Conversion Factor'!$F$4</f>
        <v>2020040894911.8088</v>
      </c>
      <c r="S33" s="175">
        <f>Commercial_2!S33*'BTU Conversion Factor'!$F$4</f>
        <v>1986012176741.8767</v>
      </c>
      <c r="T33" s="175">
        <f>Commercial_2!T33*'BTU Conversion Factor'!$F$4</f>
        <v>1951230180425.9167</v>
      </c>
      <c r="U33" s="175">
        <f>Commercial_2!U33*'BTU Conversion Factor'!$F$4</f>
        <v>1915694905963.9504</v>
      </c>
      <c r="V33" s="175">
        <f>Commercial_2!V33*'BTU Conversion Factor'!$F$4</f>
        <v>1879406353355.9495</v>
      </c>
      <c r="W33" s="175">
        <f>Commercial_2!W33*'BTU Conversion Factor'!$F$4</f>
        <v>1842364522601.9417</v>
      </c>
      <c r="X33" s="175">
        <f>Commercial_2!X33*'BTU Conversion Factor'!$F$4</f>
        <v>1804569413701.9133</v>
      </c>
      <c r="Y33" s="175">
        <f>Commercial_2!Y33*'BTU Conversion Factor'!$F$4</f>
        <v>1766021026655.8503</v>
      </c>
      <c r="Z33" s="175">
        <f>Commercial_2!Z33*'BTU Conversion Factor'!$F$4</f>
        <v>1726719361463.7739</v>
      </c>
      <c r="AA33" s="175">
        <f>Commercial_2!AA33*'BTU Conversion Factor'!$F$4</f>
        <v>1686664418125.6775</v>
      </c>
      <c r="AB33" s="175">
        <f>Commercial_2!AB33*'BTU Conversion Factor'!$F$4</f>
        <v>1645856196641.5598</v>
      </c>
      <c r="AC33" s="175">
        <f>Commercial_2!AC33*'BTU Conversion Factor'!$F$4</f>
        <v>1604294697011.436</v>
      </c>
      <c r="AD33" s="175">
        <f>Commercial_2!AD33*'BTU Conversion Factor'!$F$4</f>
        <v>1561979919235.2629</v>
      </c>
      <c r="AE33" s="175">
        <f>Commercial_2!AE33*'BTU Conversion Factor'!$F$4</f>
        <v>1518911863313.0911</v>
      </c>
      <c r="AF33" s="175">
        <f>Commercial_2!AF33*'BTU Conversion Factor'!$F$4</f>
        <v>1475090529244.8838</v>
      </c>
      <c r="AG33" s="175">
        <f>Commercial_2!AG33*'BTU Conversion Factor'!$F$4</f>
        <v>1430515917030.6677</v>
      </c>
      <c r="AH33" s="175">
        <f>Commercial_2!AH33*'BTU Conversion Factor'!$F$4</f>
        <v>1385188026670.4343</v>
      </c>
      <c r="AI33" s="175">
        <f>Commercial_2!AI33*'BTU Conversion Factor'!$F$4</f>
        <v>1339106858164.1658</v>
      </c>
      <c r="AJ33" s="175">
        <f>Commercial_2!AJ33*'BTU Conversion Factor'!$F$4</f>
        <v>1292272411511.8911</v>
      </c>
      <c r="AK33" s="175">
        <f>Commercial_2!AK33*'BTU Conversion Factor'!$F$4</f>
        <v>1244684686713.5732</v>
      </c>
      <c r="AL33" s="175">
        <f>Commercial_2!AL33*'BTU Conversion Factor'!$F$4</f>
        <v>1196343683769.2654</v>
      </c>
      <c r="AM33" s="175">
        <f>Commercial_2!AM33*'BTU Conversion Factor'!$F$4</f>
        <v>1147249402678.9063</v>
      </c>
      <c r="AN33" s="175">
        <f>Commercial_2!AN33*'BTU Conversion Factor'!$F$4</f>
        <v>1097401843442.5574</v>
      </c>
      <c r="AO33" s="175">
        <f>Commercial_2!AO33*'BTU Conversion Factor'!$F$4</f>
        <v>1046801006060.1729</v>
      </c>
      <c r="AP33" s="175">
        <f>Commercial_2!AP33*'BTU Conversion Factor'!$F$4</f>
        <v>995446890531.76733</v>
      </c>
      <c r="AQ33" s="175">
        <f>Commercial_2!AQ33*'BTU Conversion Factor'!$F$4</f>
        <v>943339496857.34119</v>
      </c>
      <c r="AR33" s="175">
        <f>Commercial_2!AR33*'BTU Conversion Factor'!$F$4</f>
        <v>890478825036.88672</v>
      </c>
      <c r="AS33" s="175">
        <f>Commercial_2!AS33*'BTU Conversion Factor'!$F$4</f>
        <v>836864875070.42737</v>
      </c>
      <c r="AT33" s="175">
        <f>Commercial_2!AT33*'BTU Conversion Factor'!$F$4</f>
        <v>782497646957.94775</v>
      </c>
      <c r="AU33" s="175">
        <f>Commercial_2!AU33*'BTU Conversion Factor'!$F$4</f>
        <v>727377140699.4314</v>
      </c>
    </row>
    <row r="34" spans="1:47">
      <c r="B34" s="60" t="s">
        <v>667</v>
      </c>
      <c r="C34" s="175">
        <f>Commercial_2!C34*'BTU Conversion Factor'!$F$4</f>
        <v>12916107902985.08</v>
      </c>
      <c r="D34" s="175">
        <f>Commercial_2!D34*'BTU Conversion Factor'!$F$4</f>
        <v>13036247652487.588</v>
      </c>
      <c r="E34" s="175">
        <f>Commercial_2!E34*'BTU Conversion Factor'!$F$4</f>
        <v>13156387401990.07</v>
      </c>
      <c r="F34" s="175">
        <f>Commercial_2!F34*'BTU Conversion Factor'!$F$4</f>
        <v>13276527151492.553</v>
      </c>
      <c r="G34" s="175">
        <f>Commercial_2!G34*'BTU Conversion Factor'!$F$4</f>
        <v>13396666900995.035</v>
      </c>
      <c r="H34" s="175">
        <f>Commercial_2!H34*'BTU Conversion Factor'!$F$4</f>
        <v>13516806650497.545</v>
      </c>
      <c r="I34" s="175">
        <f>Commercial_2!I34*'BTU Conversion Factor'!$F$4</f>
        <v>13636946400000</v>
      </c>
      <c r="J34" s="175">
        <f>Commercial_2!J34*'BTU Conversion Factor'!$F$4</f>
        <v>13941190200000</v>
      </c>
      <c r="K34" s="175">
        <f>Commercial_2!K34*'BTU Conversion Factor'!$F$4</f>
        <v>14148758400000</v>
      </c>
      <c r="L34" s="175">
        <f>Commercial_2!L34*'BTU Conversion Factor'!$F$4</f>
        <v>14022701000000</v>
      </c>
      <c r="M34" s="175">
        <f>Commercial_2!M34*'BTU Conversion Factor'!$F$4</f>
        <v>14144967200000</v>
      </c>
      <c r="N34" s="175">
        <f>Commercial_2!N34*'BTU Conversion Factor'!$F$4</f>
        <v>14171939781191.246</v>
      </c>
      <c r="O34" s="175">
        <f>Commercial_2!O34*'BTU Conversion Factor'!$F$4</f>
        <v>14244295200946.854</v>
      </c>
      <c r="P34" s="175">
        <f>Commercial_2!P34*'BTU Conversion Factor'!$F$4</f>
        <v>14316804443266.789</v>
      </c>
      <c r="Q34" s="175">
        <f>Commercial_2!Q34*'BTU Conversion Factor'!$F$4</f>
        <v>14389467508151.096</v>
      </c>
      <c r="R34" s="175">
        <f>Commercial_2!R34*'BTU Conversion Factor'!$F$4</f>
        <v>14522456163420.008</v>
      </c>
      <c r="S34" s="175">
        <f>Commercial_2!S34*'BTU Conversion Factor'!$F$4</f>
        <v>14655779608976.045</v>
      </c>
      <c r="T34" s="175">
        <f>Commercial_2!T34*'BTU Conversion Factor'!$F$4</f>
        <v>14789437844819.207</v>
      </c>
      <c r="U34" s="175">
        <f>Commercial_2!U34*'BTU Conversion Factor'!$F$4</f>
        <v>14923430870949.486</v>
      </c>
      <c r="V34" s="175">
        <f>Commercial_2!V34*'BTU Conversion Factor'!$F$4</f>
        <v>15057758687366.881</v>
      </c>
      <c r="W34" s="175">
        <f>Commercial_2!W34*'BTU Conversion Factor'!$F$4</f>
        <v>15192421294071.4</v>
      </c>
      <c r="X34" s="175">
        <f>Commercial_2!X34*'BTU Conversion Factor'!$F$4</f>
        <v>15327418691063.035</v>
      </c>
      <c r="Y34" s="175">
        <f>Commercial_2!Y34*'BTU Conversion Factor'!$F$4</f>
        <v>15462750878341.791</v>
      </c>
      <c r="Z34" s="175">
        <f>Commercial_2!Z34*'BTU Conversion Factor'!$F$4</f>
        <v>15598417855907.676</v>
      </c>
      <c r="AA34" s="175">
        <f>Commercial_2!AA34*'BTU Conversion Factor'!$F$4</f>
        <v>15734419623760.676</v>
      </c>
      <c r="AB34" s="175">
        <f>Commercial_2!AB34*'BTU Conversion Factor'!$F$4</f>
        <v>15870756181900.793</v>
      </c>
      <c r="AC34" s="175">
        <f>Commercial_2!AC34*'BTU Conversion Factor'!$F$4</f>
        <v>16007427530328.029</v>
      </c>
      <c r="AD34" s="175">
        <f>Commercial_2!AD34*'BTU Conversion Factor'!$F$4</f>
        <v>16144433669042.389</v>
      </c>
      <c r="AE34" s="175">
        <f>Commercial_2!AE34*'BTU Conversion Factor'!$F$4</f>
        <v>16281774598043.877</v>
      </c>
      <c r="AF34" s="175">
        <f>Commercial_2!AF34*'BTU Conversion Factor'!$F$4</f>
        <v>16419450317332.473</v>
      </c>
      <c r="AG34" s="175">
        <f>Commercial_2!AG34*'BTU Conversion Factor'!$F$4</f>
        <v>16557460826908.158</v>
      </c>
      <c r="AH34" s="175">
        <f>Commercial_2!AH34*'BTU Conversion Factor'!$F$4</f>
        <v>16695806126770.996</v>
      </c>
      <c r="AI34" s="175">
        <f>Commercial_2!AI34*'BTU Conversion Factor'!$F$4</f>
        <v>16834486216920.959</v>
      </c>
      <c r="AJ34" s="175">
        <f>Commercial_2!AJ34*'BTU Conversion Factor'!$F$4</f>
        <v>16973501097358.037</v>
      </c>
      <c r="AK34" s="175">
        <f>Commercial_2!AK34*'BTU Conversion Factor'!$F$4</f>
        <v>17112850768082.244</v>
      </c>
      <c r="AL34" s="175">
        <f>Commercial_2!AL34*'BTU Conversion Factor'!$F$4</f>
        <v>17252535229093.566</v>
      </c>
      <c r="AM34" s="175">
        <f>Commercial_2!AM34*'BTU Conversion Factor'!$F$4</f>
        <v>17392554480392.008</v>
      </c>
      <c r="AN34" s="175">
        <f>Commercial_2!AN34*'BTU Conversion Factor'!$F$4</f>
        <v>17532908521977.566</v>
      </c>
      <c r="AO34" s="175">
        <f>Commercial_2!AO34*'BTU Conversion Factor'!$F$4</f>
        <v>17673597353850.25</v>
      </c>
      <c r="AP34" s="175">
        <f>Commercial_2!AP34*'BTU Conversion Factor'!$F$4</f>
        <v>17814620976010.051</v>
      </c>
      <c r="AQ34" s="175">
        <f>Commercial_2!AQ34*'BTU Conversion Factor'!$F$4</f>
        <v>17955979388456.98</v>
      </c>
      <c r="AR34" s="175">
        <f>Commercial_2!AR34*'BTU Conversion Factor'!$F$4</f>
        <v>18097672591191.023</v>
      </c>
      <c r="AS34" s="175">
        <f>Commercial_2!AS34*'BTU Conversion Factor'!$F$4</f>
        <v>18239700584212.184</v>
      </c>
      <c r="AT34" s="175">
        <f>Commercial_2!AT34*'BTU Conversion Factor'!$F$4</f>
        <v>18382063367520.465</v>
      </c>
      <c r="AU34" s="175">
        <f>Commercial_2!AU34*'BTU Conversion Factor'!$F$4</f>
        <v>18524760941115.871</v>
      </c>
    </row>
    <row r="35" spans="1:47">
      <c r="B35" s="60" t="s">
        <v>668</v>
      </c>
      <c r="C35" s="175">
        <f>Commercial_2!C35*'BTU Conversion Factor'!$F$4</f>
        <v>2338563150507.4595</v>
      </c>
      <c r="D35" s="175">
        <f>Commercial_2!D35*'BTU Conversion Factor'!$F$4</f>
        <v>2325474142089.5498</v>
      </c>
      <c r="E35" s="175">
        <f>Commercial_2!E35*'BTU Conversion Factor'!$F$4</f>
        <v>2312385133671.6411</v>
      </c>
      <c r="F35" s="175">
        <f>Commercial_2!F35*'BTU Conversion Factor'!$F$4</f>
        <v>2299296125253.729</v>
      </c>
      <c r="G35" s="175">
        <f>Commercial_2!G35*'BTU Conversion Factor'!$F$4</f>
        <v>2286207116835.8203</v>
      </c>
      <c r="H35" s="175">
        <f>Commercial_2!H35*'BTU Conversion Factor'!$F$4</f>
        <v>2273118108417.9121</v>
      </c>
      <c r="I35" s="175">
        <f>Commercial_2!I35*'BTU Conversion Factor'!$F$4</f>
        <v>2260029100000</v>
      </c>
      <c r="J35" s="175">
        <f>Commercial_2!J35*'BTU Conversion Factor'!$F$4</f>
        <v>2381821400000</v>
      </c>
      <c r="K35" s="175">
        <f>Commercial_2!K35*'BTU Conversion Factor'!$F$4</f>
        <v>2443428400000</v>
      </c>
      <c r="L35" s="175">
        <f>Commercial_2!L35*'BTU Conversion Factor'!$F$4</f>
        <v>2457645400000</v>
      </c>
      <c r="M35" s="175">
        <f>Commercial_2!M35*'BTU Conversion Factor'!$F$4</f>
        <v>2447219600000</v>
      </c>
      <c r="N35" s="175">
        <f>Commercial_2!N35*'BTU Conversion Factor'!$F$4</f>
        <v>2176175321922.7163</v>
      </c>
      <c r="O35" s="175">
        <f>Commercial_2!O35*'BTU Conversion Factor'!$F$4</f>
        <v>2135568427030.1653</v>
      </c>
      <c r="P35" s="175">
        <f>Commercial_2!P35*'BTU Conversion Factor'!$F$4</f>
        <v>2094615431367.8447</v>
      </c>
      <c r="Q35" s="175">
        <f>Commercial_2!Q35*'BTU Conversion Factor'!$F$4</f>
        <v>2053316334935.7078</v>
      </c>
      <c r="R35" s="175">
        <f>Commercial_2!R35*'BTU Conversion Factor'!$F$4</f>
        <v>2020040894911.8088</v>
      </c>
      <c r="S35" s="175">
        <f>Commercial_2!S35*'BTU Conversion Factor'!$F$4</f>
        <v>1986012176741.8767</v>
      </c>
      <c r="T35" s="175">
        <f>Commercial_2!T35*'BTU Conversion Factor'!$F$4</f>
        <v>1951230180425.9167</v>
      </c>
      <c r="U35" s="175">
        <f>Commercial_2!U35*'BTU Conversion Factor'!$F$4</f>
        <v>1915694905963.9504</v>
      </c>
      <c r="V35" s="175">
        <f>Commercial_2!V35*'BTU Conversion Factor'!$F$4</f>
        <v>1879406353355.9495</v>
      </c>
      <c r="W35" s="175">
        <f>Commercial_2!W35*'BTU Conversion Factor'!$F$4</f>
        <v>1842364522601.9417</v>
      </c>
      <c r="X35" s="175">
        <f>Commercial_2!X35*'BTU Conversion Factor'!$F$4</f>
        <v>1804569413701.9133</v>
      </c>
      <c r="Y35" s="175">
        <f>Commercial_2!Y35*'BTU Conversion Factor'!$F$4</f>
        <v>1766021026655.8503</v>
      </c>
      <c r="Z35" s="175">
        <f>Commercial_2!Z35*'BTU Conversion Factor'!$F$4</f>
        <v>1726719361463.7739</v>
      </c>
      <c r="AA35" s="175">
        <f>Commercial_2!AA35*'BTU Conversion Factor'!$F$4</f>
        <v>1686664418125.6775</v>
      </c>
      <c r="AB35" s="175">
        <f>Commercial_2!AB35*'BTU Conversion Factor'!$F$4</f>
        <v>1645856196641.5598</v>
      </c>
      <c r="AC35" s="175">
        <f>Commercial_2!AC35*'BTU Conversion Factor'!$F$4</f>
        <v>1604294697011.436</v>
      </c>
      <c r="AD35" s="175">
        <f>Commercial_2!AD35*'BTU Conversion Factor'!$F$4</f>
        <v>1561979919235.2629</v>
      </c>
      <c r="AE35" s="175">
        <f>Commercial_2!AE35*'BTU Conversion Factor'!$F$4</f>
        <v>1518911863313.0911</v>
      </c>
      <c r="AF35" s="175">
        <f>Commercial_2!AF35*'BTU Conversion Factor'!$F$4</f>
        <v>1475090529244.8838</v>
      </c>
      <c r="AG35" s="175">
        <f>Commercial_2!AG35*'BTU Conversion Factor'!$F$4</f>
        <v>1430515917030.6677</v>
      </c>
      <c r="AH35" s="175">
        <f>Commercial_2!AH35*'BTU Conversion Factor'!$F$4</f>
        <v>1385188026670.4343</v>
      </c>
      <c r="AI35" s="175">
        <f>Commercial_2!AI35*'BTU Conversion Factor'!$F$4</f>
        <v>1339106858164.1658</v>
      </c>
      <c r="AJ35" s="175">
        <f>Commercial_2!AJ35*'BTU Conversion Factor'!$F$4</f>
        <v>1292272411511.8911</v>
      </c>
      <c r="AK35" s="175">
        <f>Commercial_2!AK35*'BTU Conversion Factor'!$F$4</f>
        <v>1244684686713.5732</v>
      </c>
      <c r="AL35" s="175">
        <f>Commercial_2!AL35*'BTU Conversion Factor'!$F$4</f>
        <v>1196343683769.2654</v>
      </c>
      <c r="AM35" s="175">
        <f>Commercial_2!AM35*'BTU Conversion Factor'!$F$4</f>
        <v>1147249402678.9063</v>
      </c>
      <c r="AN35" s="175">
        <f>Commercial_2!AN35*'BTU Conversion Factor'!$F$4</f>
        <v>1097401843442.5574</v>
      </c>
      <c r="AO35" s="175">
        <f>Commercial_2!AO35*'BTU Conversion Factor'!$F$4</f>
        <v>1046801006060.1729</v>
      </c>
      <c r="AP35" s="175">
        <f>Commercial_2!AP35*'BTU Conversion Factor'!$F$4</f>
        <v>995446890531.76733</v>
      </c>
      <c r="AQ35" s="175">
        <f>Commercial_2!AQ35*'BTU Conversion Factor'!$F$4</f>
        <v>943339496857.34119</v>
      </c>
      <c r="AR35" s="175">
        <f>Commercial_2!AR35*'BTU Conversion Factor'!$F$4</f>
        <v>890478825036.88672</v>
      </c>
      <c r="AS35" s="175">
        <f>Commercial_2!AS35*'BTU Conversion Factor'!$F$4</f>
        <v>836864875070.42737</v>
      </c>
      <c r="AT35" s="175">
        <f>Commercial_2!AT35*'BTU Conversion Factor'!$F$4</f>
        <v>782497646957.94775</v>
      </c>
      <c r="AU35" s="175">
        <f>Commercial_2!AU35*'BTU Conversion Factor'!$F$4</f>
        <v>727377140699.4314</v>
      </c>
    </row>
    <row r="36" spans="1:47">
      <c r="B36" s="60" t="s">
        <v>669</v>
      </c>
      <c r="C36" s="175">
        <f>Commercial_2!C36*'BTU Conversion Factor'!$F$4</f>
        <v>0</v>
      </c>
      <c r="D36" s="175">
        <f>Commercial_2!D36*'BTU Conversion Factor'!$F$4</f>
        <v>0</v>
      </c>
      <c r="E36" s="175">
        <f>Commercial_2!E36*'BTU Conversion Factor'!$F$4</f>
        <v>0</v>
      </c>
      <c r="F36" s="175">
        <f>Commercial_2!F36*'BTU Conversion Factor'!$F$4</f>
        <v>0</v>
      </c>
      <c r="G36" s="175">
        <f>Commercial_2!G36*'BTU Conversion Factor'!$F$4</f>
        <v>0</v>
      </c>
      <c r="H36" s="175">
        <f>Commercial_2!H36*'BTU Conversion Factor'!$F$4</f>
        <v>0</v>
      </c>
      <c r="I36" s="175">
        <f>Commercial_2!I36*'BTU Conversion Factor'!$F$4</f>
        <v>0</v>
      </c>
      <c r="J36" s="175">
        <f>Commercial_2!J36*'BTU Conversion Factor'!$F$4</f>
        <v>0</v>
      </c>
      <c r="K36" s="175">
        <f>Commercial_2!K36*'BTU Conversion Factor'!$F$4</f>
        <v>0</v>
      </c>
      <c r="L36" s="175">
        <f>Commercial_2!L36*'BTU Conversion Factor'!$F$4</f>
        <v>0</v>
      </c>
      <c r="M36" s="175">
        <f>Commercial_2!M36*'BTU Conversion Factor'!$F$4</f>
        <v>0</v>
      </c>
      <c r="N36" s="175">
        <f>Commercial_2!N36*'BTU Conversion Factor'!$F$4</f>
        <v>0</v>
      </c>
      <c r="O36" s="175">
        <f>Commercial_2!O36*'BTU Conversion Factor'!$F$4</f>
        <v>0</v>
      </c>
      <c r="P36" s="175">
        <f>Commercial_2!P36*'BTU Conversion Factor'!$F$4</f>
        <v>0</v>
      </c>
      <c r="Q36" s="175">
        <f>Commercial_2!Q36*'BTU Conversion Factor'!$F$4</f>
        <v>0</v>
      </c>
      <c r="R36" s="175">
        <f>Commercial_2!R36*'BTU Conversion Factor'!$F$4</f>
        <v>0</v>
      </c>
      <c r="S36" s="175">
        <f>Commercial_2!S36*'BTU Conversion Factor'!$F$4</f>
        <v>0</v>
      </c>
      <c r="T36" s="175">
        <f>Commercial_2!T36*'BTU Conversion Factor'!$F$4</f>
        <v>0</v>
      </c>
      <c r="U36" s="175">
        <f>Commercial_2!U36*'BTU Conversion Factor'!$F$4</f>
        <v>0</v>
      </c>
      <c r="V36" s="175">
        <f>Commercial_2!V36*'BTU Conversion Factor'!$F$4</f>
        <v>0</v>
      </c>
      <c r="W36" s="175">
        <f>Commercial_2!W36*'BTU Conversion Factor'!$F$4</f>
        <v>0</v>
      </c>
      <c r="X36" s="175">
        <f>Commercial_2!X36*'BTU Conversion Factor'!$F$4</f>
        <v>0</v>
      </c>
      <c r="Y36" s="175">
        <f>Commercial_2!Y36*'BTU Conversion Factor'!$F$4</f>
        <v>0</v>
      </c>
      <c r="Z36" s="175">
        <f>Commercial_2!Z36*'BTU Conversion Factor'!$F$4</f>
        <v>0</v>
      </c>
      <c r="AA36" s="175">
        <f>Commercial_2!AA36*'BTU Conversion Factor'!$F$4</f>
        <v>0</v>
      </c>
      <c r="AB36" s="175">
        <f>Commercial_2!AB36*'BTU Conversion Factor'!$F$4</f>
        <v>0</v>
      </c>
      <c r="AC36" s="175">
        <f>Commercial_2!AC36*'BTU Conversion Factor'!$F$4</f>
        <v>0</v>
      </c>
      <c r="AD36" s="175">
        <f>Commercial_2!AD36*'BTU Conversion Factor'!$F$4</f>
        <v>0</v>
      </c>
      <c r="AE36" s="175">
        <f>Commercial_2!AE36*'BTU Conversion Factor'!$F$4</f>
        <v>0</v>
      </c>
      <c r="AF36" s="175">
        <f>Commercial_2!AF36*'BTU Conversion Factor'!$F$4</f>
        <v>0</v>
      </c>
      <c r="AG36" s="175">
        <f>Commercial_2!AG36*'BTU Conversion Factor'!$F$4</f>
        <v>0</v>
      </c>
      <c r="AH36" s="175">
        <f>Commercial_2!AH36*'BTU Conversion Factor'!$F$4</f>
        <v>0</v>
      </c>
      <c r="AI36" s="175">
        <f>Commercial_2!AI36*'BTU Conversion Factor'!$F$4</f>
        <v>0</v>
      </c>
      <c r="AJ36" s="175">
        <f>Commercial_2!AJ36*'BTU Conversion Factor'!$F$4</f>
        <v>0</v>
      </c>
      <c r="AK36" s="175">
        <f>Commercial_2!AK36*'BTU Conversion Factor'!$F$4</f>
        <v>0</v>
      </c>
      <c r="AL36" s="175">
        <f>Commercial_2!AL36*'BTU Conversion Factor'!$F$4</f>
        <v>0</v>
      </c>
      <c r="AM36" s="175">
        <f>Commercial_2!AM36*'BTU Conversion Factor'!$F$4</f>
        <v>0</v>
      </c>
      <c r="AN36" s="175">
        <f>Commercial_2!AN36*'BTU Conversion Factor'!$F$4</f>
        <v>0</v>
      </c>
      <c r="AO36" s="175">
        <f>Commercial_2!AO36*'BTU Conversion Factor'!$F$4</f>
        <v>0</v>
      </c>
      <c r="AP36" s="175">
        <f>Commercial_2!AP36*'BTU Conversion Factor'!$F$4</f>
        <v>0</v>
      </c>
      <c r="AQ36" s="175">
        <f>Commercial_2!AQ36*'BTU Conversion Factor'!$F$4</f>
        <v>0</v>
      </c>
      <c r="AR36" s="175">
        <f>Commercial_2!AR36*'BTU Conversion Factor'!$F$4</f>
        <v>0</v>
      </c>
      <c r="AS36" s="175">
        <f>Commercial_2!AS36*'BTU Conversion Factor'!$F$4</f>
        <v>0</v>
      </c>
      <c r="AT36" s="175">
        <f>Commercial_2!AT36*'BTU Conversion Factor'!$F$4</f>
        <v>0</v>
      </c>
      <c r="AU36" s="175">
        <f>Commercial_2!AU36*'BTU Conversion Factor'!$F$4</f>
        <v>0</v>
      </c>
    </row>
    <row r="37" spans="1:47">
      <c r="B37" s="60" t="s">
        <v>670</v>
      </c>
      <c r="C37" s="175">
        <f>Commercial_2!C37*'BTU Conversion Factor'!$F$4</f>
        <v>0</v>
      </c>
      <c r="D37" s="175">
        <f>Commercial_2!D37*'BTU Conversion Factor'!$F$4</f>
        <v>0</v>
      </c>
      <c r="E37" s="175">
        <f>Commercial_2!E37*'BTU Conversion Factor'!$F$4</f>
        <v>0</v>
      </c>
      <c r="F37" s="175">
        <f>Commercial_2!F37*'BTU Conversion Factor'!$F$4</f>
        <v>0</v>
      </c>
      <c r="G37" s="175">
        <f>Commercial_2!G37*'BTU Conversion Factor'!$F$4</f>
        <v>0</v>
      </c>
      <c r="H37" s="175">
        <f>Commercial_2!H37*'BTU Conversion Factor'!$F$4</f>
        <v>0</v>
      </c>
      <c r="I37" s="175">
        <f>Commercial_2!I37*'BTU Conversion Factor'!$F$4</f>
        <v>0</v>
      </c>
      <c r="J37" s="175">
        <f>Commercial_2!J37*'BTU Conversion Factor'!$F$4</f>
        <v>0</v>
      </c>
      <c r="K37" s="175">
        <f>Commercial_2!K37*'BTU Conversion Factor'!$F$4</f>
        <v>0</v>
      </c>
      <c r="L37" s="175">
        <f>Commercial_2!L37*'BTU Conversion Factor'!$F$4</f>
        <v>0</v>
      </c>
      <c r="M37" s="175">
        <f>Commercial_2!M37*'BTU Conversion Factor'!$F$4</f>
        <v>0</v>
      </c>
      <c r="N37" s="175">
        <f>Commercial_2!N37*'BTU Conversion Factor'!$F$4</f>
        <v>0</v>
      </c>
      <c r="O37" s="175">
        <f>Commercial_2!O37*'BTU Conversion Factor'!$F$4</f>
        <v>0</v>
      </c>
      <c r="P37" s="175">
        <f>Commercial_2!P37*'BTU Conversion Factor'!$F$4</f>
        <v>0</v>
      </c>
      <c r="Q37" s="175">
        <f>Commercial_2!Q37*'BTU Conversion Factor'!$F$4</f>
        <v>0</v>
      </c>
      <c r="R37" s="175">
        <f>Commercial_2!R37*'BTU Conversion Factor'!$F$4</f>
        <v>0</v>
      </c>
      <c r="S37" s="175">
        <f>Commercial_2!S37*'BTU Conversion Factor'!$F$4</f>
        <v>0</v>
      </c>
      <c r="T37" s="175">
        <f>Commercial_2!T37*'BTU Conversion Factor'!$F$4</f>
        <v>0</v>
      </c>
      <c r="U37" s="175">
        <f>Commercial_2!U37*'BTU Conversion Factor'!$F$4</f>
        <v>0</v>
      </c>
      <c r="V37" s="175">
        <f>Commercial_2!V37*'BTU Conversion Factor'!$F$4</f>
        <v>0</v>
      </c>
      <c r="W37" s="175">
        <f>Commercial_2!W37*'BTU Conversion Factor'!$F$4</f>
        <v>0</v>
      </c>
      <c r="X37" s="175">
        <f>Commercial_2!X37*'BTU Conversion Factor'!$F$4</f>
        <v>0</v>
      </c>
      <c r="Y37" s="175">
        <f>Commercial_2!Y37*'BTU Conversion Factor'!$F$4</f>
        <v>0</v>
      </c>
      <c r="Z37" s="175">
        <f>Commercial_2!Z37*'BTU Conversion Factor'!$F$4</f>
        <v>0</v>
      </c>
      <c r="AA37" s="175">
        <f>Commercial_2!AA37*'BTU Conversion Factor'!$F$4</f>
        <v>0</v>
      </c>
      <c r="AB37" s="175">
        <f>Commercial_2!AB37*'BTU Conversion Factor'!$F$4</f>
        <v>0</v>
      </c>
      <c r="AC37" s="175">
        <f>Commercial_2!AC37*'BTU Conversion Factor'!$F$4</f>
        <v>0</v>
      </c>
      <c r="AD37" s="175">
        <f>Commercial_2!AD37*'BTU Conversion Factor'!$F$4</f>
        <v>0</v>
      </c>
      <c r="AE37" s="175">
        <f>Commercial_2!AE37*'BTU Conversion Factor'!$F$4</f>
        <v>0</v>
      </c>
      <c r="AF37" s="175">
        <f>Commercial_2!AF37*'BTU Conversion Factor'!$F$4</f>
        <v>0</v>
      </c>
      <c r="AG37" s="175">
        <f>Commercial_2!AG37*'BTU Conversion Factor'!$F$4</f>
        <v>0</v>
      </c>
      <c r="AH37" s="175">
        <f>Commercial_2!AH37*'BTU Conversion Factor'!$F$4</f>
        <v>0</v>
      </c>
      <c r="AI37" s="175">
        <f>Commercial_2!AI37*'BTU Conversion Factor'!$F$4</f>
        <v>0</v>
      </c>
      <c r="AJ37" s="175">
        <f>Commercial_2!AJ37*'BTU Conversion Factor'!$F$4</f>
        <v>0</v>
      </c>
      <c r="AK37" s="175">
        <f>Commercial_2!AK37*'BTU Conversion Factor'!$F$4</f>
        <v>0</v>
      </c>
      <c r="AL37" s="175">
        <f>Commercial_2!AL37*'BTU Conversion Factor'!$F$4</f>
        <v>0</v>
      </c>
      <c r="AM37" s="175">
        <f>Commercial_2!AM37*'BTU Conversion Factor'!$F$4</f>
        <v>0</v>
      </c>
      <c r="AN37" s="175">
        <f>Commercial_2!AN37*'BTU Conversion Factor'!$F$4</f>
        <v>0</v>
      </c>
      <c r="AO37" s="175">
        <f>Commercial_2!AO37*'BTU Conversion Factor'!$F$4</f>
        <v>0</v>
      </c>
      <c r="AP37" s="175">
        <f>Commercial_2!AP37*'BTU Conversion Factor'!$F$4</f>
        <v>0</v>
      </c>
      <c r="AQ37" s="175">
        <f>Commercial_2!AQ37*'BTU Conversion Factor'!$F$4</f>
        <v>0</v>
      </c>
      <c r="AR37" s="175">
        <f>Commercial_2!AR37*'BTU Conversion Factor'!$F$4</f>
        <v>0</v>
      </c>
      <c r="AS37" s="175">
        <f>Commercial_2!AS37*'BTU Conversion Factor'!$F$4</f>
        <v>0</v>
      </c>
      <c r="AT37" s="175">
        <f>Commercial_2!AT37*'BTU Conversion Factor'!$F$4</f>
        <v>0</v>
      </c>
      <c r="AU37" s="175">
        <f>Commercial_2!AU37*'BTU Conversion Factor'!$F$4</f>
        <v>0</v>
      </c>
    </row>
    <row r="39" spans="1:47" s="64" customFormat="1">
      <c r="A39" s="124" t="s">
        <v>33</v>
      </c>
    </row>
    <row r="40" spans="1:47" s="60" customFormat="1">
      <c r="B40" s="60" t="s">
        <v>0</v>
      </c>
      <c r="C40" s="60">
        <v>2006</v>
      </c>
      <c r="D40" s="60">
        <v>2007</v>
      </c>
      <c r="E40" s="60">
        <v>2008</v>
      </c>
      <c r="F40" s="60">
        <v>2009</v>
      </c>
      <c r="G40" s="60">
        <v>2010</v>
      </c>
      <c r="H40" s="60">
        <v>2011</v>
      </c>
      <c r="I40" s="60">
        <v>2012</v>
      </c>
      <c r="J40" s="60">
        <v>2013</v>
      </c>
      <c r="K40" s="60">
        <v>2014</v>
      </c>
      <c r="L40" s="60">
        <v>2015</v>
      </c>
      <c r="M40" s="60">
        <v>2016</v>
      </c>
      <c r="N40" s="60">
        <v>2017</v>
      </c>
      <c r="O40" s="60">
        <v>2018</v>
      </c>
      <c r="P40" s="60">
        <v>2019</v>
      </c>
      <c r="Q40" s="60">
        <v>2020</v>
      </c>
      <c r="R40" s="60">
        <v>2021</v>
      </c>
      <c r="S40" s="60">
        <v>2022</v>
      </c>
      <c r="T40" s="60">
        <v>2023</v>
      </c>
      <c r="U40" s="60">
        <v>2024</v>
      </c>
      <c r="V40" s="60">
        <v>2025</v>
      </c>
      <c r="W40" s="60">
        <v>2026</v>
      </c>
      <c r="X40" s="60">
        <v>2027</v>
      </c>
      <c r="Y40" s="60">
        <v>2028</v>
      </c>
      <c r="Z40" s="60">
        <v>2029</v>
      </c>
      <c r="AA40" s="60">
        <v>2030</v>
      </c>
      <c r="AB40" s="60">
        <v>2031</v>
      </c>
      <c r="AC40" s="60">
        <v>2032</v>
      </c>
      <c r="AD40" s="60">
        <v>2033</v>
      </c>
      <c r="AE40" s="60">
        <v>2034</v>
      </c>
      <c r="AF40" s="60">
        <v>2035</v>
      </c>
      <c r="AG40" s="60">
        <v>2036</v>
      </c>
      <c r="AH40" s="60">
        <v>2037</v>
      </c>
      <c r="AI40" s="60">
        <v>2038</v>
      </c>
      <c r="AJ40" s="60">
        <v>2039</v>
      </c>
      <c r="AK40" s="60">
        <v>2040</v>
      </c>
      <c r="AL40" s="60">
        <v>2041</v>
      </c>
      <c r="AM40" s="60">
        <v>2042</v>
      </c>
      <c r="AN40" s="60">
        <v>2043</v>
      </c>
      <c r="AO40" s="60">
        <v>2044</v>
      </c>
      <c r="AP40" s="60">
        <v>2045</v>
      </c>
      <c r="AQ40" s="60">
        <v>2046</v>
      </c>
      <c r="AR40" s="60">
        <v>2047</v>
      </c>
      <c r="AS40" s="60">
        <v>2048</v>
      </c>
      <c r="AT40" s="60">
        <v>2049</v>
      </c>
      <c r="AU40" s="60">
        <v>2050</v>
      </c>
    </row>
    <row r="41" spans="1:47">
      <c r="B41" s="60" t="s">
        <v>665</v>
      </c>
      <c r="C41" s="175">
        <f>Commercial_2!C41*'BTU Conversion Factor'!$F$4</f>
        <v>29187131358000</v>
      </c>
      <c r="D41" s="175">
        <f>Commercial_2!D41*'BTU Conversion Factor'!$F$4</f>
        <v>29630019342000.012</v>
      </c>
      <c r="E41" s="175">
        <f>Commercial_2!E41*'BTU Conversion Factor'!$F$4</f>
        <v>30072907326000.039</v>
      </c>
      <c r="F41" s="175">
        <f>Commercial_2!F41*'BTU Conversion Factor'!$F$4</f>
        <v>30515795309999.957</v>
      </c>
      <c r="G41" s="175">
        <f>Commercial_2!G41*'BTU Conversion Factor'!$F$4</f>
        <v>30958683293999.98</v>
      </c>
      <c r="H41" s="175">
        <f>Commercial_2!H41*'BTU Conversion Factor'!$F$4</f>
        <v>31401571278000.008</v>
      </c>
      <c r="I41" s="175">
        <f>Commercial_2!I41*'BTU Conversion Factor'!$F$4</f>
        <v>31844459262000</v>
      </c>
      <c r="J41" s="175">
        <f>Commercial_2!J41*'BTU Conversion Factor'!$F$4</f>
        <v>30778478080000.004</v>
      </c>
      <c r="K41" s="175">
        <f>Commercial_2!K41*'BTU Conversion Factor'!$F$4</f>
        <v>31126358592000</v>
      </c>
      <c r="L41" s="175">
        <f>Commercial_2!L41*'BTU Conversion Factor'!$F$4</f>
        <v>34398078889999.996</v>
      </c>
      <c r="M41" s="175">
        <f>Commercial_2!M41*'BTU Conversion Factor'!$F$4</f>
        <v>34460444130000</v>
      </c>
      <c r="N41" s="175">
        <f>Commercial_2!N41*'BTU Conversion Factor'!$F$4</f>
        <v>31806892744618.516</v>
      </c>
      <c r="O41" s="175">
        <f>Commercial_2!O41*'BTU Conversion Factor'!$F$4</f>
        <v>31945091279658.203</v>
      </c>
      <c r="P41" s="175">
        <f>Commercial_2!P41*'BTU Conversion Factor'!$F$4</f>
        <v>32083462095969.922</v>
      </c>
      <c r="Q41" s="175">
        <f>Commercial_2!Q41*'BTU Conversion Factor'!$F$4</f>
        <v>32222005193553.766</v>
      </c>
      <c r="R41" s="175">
        <f>Commercial_2!R41*'BTU Conversion Factor'!$F$4</f>
        <v>32495360558148.832</v>
      </c>
      <c r="S41" s="175">
        <f>Commercial_2!S41*'BTU Conversion Factor'!$F$4</f>
        <v>32769090887865.48</v>
      </c>
      <c r="T41" s="175">
        <f>Commercial_2!T41*'BTU Conversion Factor'!$F$4</f>
        <v>33043196182703.699</v>
      </c>
      <c r="U41" s="175">
        <f>Commercial_2!U41*'BTU Conversion Factor'!$F$4</f>
        <v>33317676442663.5</v>
      </c>
      <c r="V41" s="175">
        <f>Commercial_2!V41*'BTU Conversion Factor'!$F$4</f>
        <v>33592531667744.879</v>
      </c>
      <c r="W41" s="175">
        <f>Commercial_2!W41*'BTU Conversion Factor'!$F$4</f>
        <v>33867761857947.82</v>
      </c>
      <c r="X41" s="175">
        <f>Commercial_2!X41*'BTU Conversion Factor'!$F$4</f>
        <v>34143367013272.34</v>
      </c>
      <c r="Y41" s="175">
        <f>Commercial_2!Y41*'BTU Conversion Factor'!$F$4</f>
        <v>34419347133718.434</v>
      </c>
      <c r="Z41" s="175">
        <f>Commercial_2!Z41*'BTU Conversion Factor'!$F$4</f>
        <v>34695702219286.098</v>
      </c>
      <c r="AA41" s="175">
        <f>Commercial_2!AA41*'BTU Conversion Factor'!$F$4</f>
        <v>34972432269975.355</v>
      </c>
      <c r="AB41" s="175">
        <f>Commercial_2!AB41*'BTU Conversion Factor'!$F$4</f>
        <v>35249537285786.172</v>
      </c>
      <c r="AC41" s="175">
        <f>Commercial_2!AC41*'BTU Conversion Factor'!$F$4</f>
        <v>35527017266718.555</v>
      </c>
      <c r="AD41" s="175">
        <f>Commercial_2!AD41*'BTU Conversion Factor'!$F$4</f>
        <v>35804872212772.539</v>
      </c>
      <c r="AE41" s="175">
        <f>Commercial_2!AE41*'BTU Conversion Factor'!$F$4</f>
        <v>36083102123948.078</v>
      </c>
      <c r="AF41" s="175">
        <f>Commercial_2!AF41*'BTU Conversion Factor'!$F$4</f>
        <v>36361707000245.195</v>
      </c>
      <c r="AG41" s="175">
        <f>Commercial_2!AG41*'BTU Conversion Factor'!$F$4</f>
        <v>36640686841663.805</v>
      </c>
      <c r="AH41" s="175">
        <f>Commercial_2!AH41*'BTU Conversion Factor'!$F$4</f>
        <v>36920041648204.078</v>
      </c>
      <c r="AI41" s="175">
        <f>Commercial_2!AI41*'BTU Conversion Factor'!$F$4</f>
        <v>37199771419865.93</v>
      </c>
      <c r="AJ41" s="175">
        <f>Commercial_2!AJ41*'BTU Conversion Factor'!$F$4</f>
        <v>37479876156649.344</v>
      </c>
      <c r="AK41" s="175">
        <f>Commercial_2!AK41*'BTU Conversion Factor'!$F$4</f>
        <v>37760355858554.328</v>
      </c>
      <c r="AL41" s="175">
        <f>Commercial_2!AL41*'BTU Conversion Factor'!$F$4</f>
        <v>38041210525580.906</v>
      </c>
      <c r="AM41" s="175">
        <f>Commercial_2!AM41*'BTU Conversion Factor'!$F$4</f>
        <v>38322440157729.047</v>
      </c>
      <c r="AN41" s="175">
        <f>Commercial_2!AN41*'BTU Conversion Factor'!$F$4</f>
        <v>38604044754998.758</v>
      </c>
      <c r="AO41" s="175">
        <f>Commercial_2!AO41*'BTU Conversion Factor'!$F$4</f>
        <v>38886024317390.047</v>
      </c>
      <c r="AP41" s="175">
        <f>Commercial_2!AP41*'BTU Conversion Factor'!$F$4</f>
        <v>39168378844902.914</v>
      </c>
      <c r="AQ41" s="175">
        <f>Commercial_2!AQ41*'BTU Conversion Factor'!$F$4</f>
        <v>39451108337537.344</v>
      </c>
      <c r="AR41" s="175">
        <f>Commercial_2!AR41*'BTU Conversion Factor'!$F$4</f>
        <v>39734212795293.383</v>
      </c>
      <c r="AS41" s="175">
        <f>Commercial_2!AS41*'BTU Conversion Factor'!$F$4</f>
        <v>40017692218170.969</v>
      </c>
      <c r="AT41" s="175">
        <f>Commercial_2!AT41*'BTU Conversion Factor'!$F$4</f>
        <v>40301546606170.125</v>
      </c>
      <c r="AU41" s="175">
        <f>Commercial_2!AU41*'BTU Conversion Factor'!$F$4</f>
        <v>40585775959290.867</v>
      </c>
    </row>
    <row r="42" spans="1:47">
      <c r="B42" s="60" t="s">
        <v>666</v>
      </c>
      <c r="C42" s="175">
        <f>Commercial_2!C42*'BTU Conversion Factor'!$F$4</f>
        <v>0</v>
      </c>
      <c r="D42" s="175">
        <f>Commercial_2!D42*'BTU Conversion Factor'!$F$4</f>
        <v>0</v>
      </c>
      <c r="E42" s="175">
        <f>Commercial_2!E42*'BTU Conversion Factor'!$F$4</f>
        <v>0</v>
      </c>
      <c r="F42" s="175">
        <f>Commercial_2!F42*'BTU Conversion Factor'!$F$4</f>
        <v>0</v>
      </c>
      <c r="G42" s="175">
        <f>Commercial_2!G42*'BTU Conversion Factor'!$F$4</f>
        <v>0</v>
      </c>
      <c r="H42" s="175">
        <f>Commercial_2!H42*'BTU Conversion Factor'!$F$4</f>
        <v>0</v>
      </c>
      <c r="I42" s="175">
        <f>Commercial_2!I42*'BTU Conversion Factor'!$F$4</f>
        <v>0</v>
      </c>
      <c r="J42" s="175">
        <f>Commercial_2!J42*'BTU Conversion Factor'!$F$4</f>
        <v>0</v>
      </c>
      <c r="K42" s="175">
        <f>Commercial_2!K42*'BTU Conversion Factor'!$F$4</f>
        <v>0</v>
      </c>
      <c r="L42" s="175">
        <f>Commercial_2!L42*'BTU Conversion Factor'!$F$4</f>
        <v>0</v>
      </c>
      <c r="M42" s="175">
        <f>Commercial_2!M42*'BTU Conversion Factor'!$F$4</f>
        <v>0</v>
      </c>
      <c r="N42" s="175">
        <f>Commercial_2!N42*'BTU Conversion Factor'!$F$4</f>
        <v>0</v>
      </c>
      <c r="O42" s="175">
        <f>Commercial_2!O42*'BTU Conversion Factor'!$F$4</f>
        <v>0</v>
      </c>
      <c r="P42" s="175">
        <f>Commercial_2!P42*'BTU Conversion Factor'!$F$4</f>
        <v>0</v>
      </c>
      <c r="Q42" s="175">
        <f>Commercial_2!Q42*'BTU Conversion Factor'!$F$4</f>
        <v>0</v>
      </c>
      <c r="R42" s="175">
        <f>Commercial_2!R42*'BTU Conversion Factor'!$F$4</f>
        <v>0</v>
      </c>
      <c r="S42" s="175">
        <f>Commercial_2!S42*'BTU Conversion Factor'!$F$4</f>
        <v>0</v>
      </c>
      <c r="T42" s="175">
        <f>Commercial_2!T42*'BTU Conversion Factor'!$F$4</f>
        <v>0</v>
      </c>
      <c r="U42" s="175">
        <f>Commercial_2!U42*'BTU Conversion Factor'!$F$4</f>
        <v>0</v>
      </c>
      <c r="V42" s="175">
        <f>Commercial_2!V42*'BTU Conversion Factor'!$F$4</f>
        <v>0</v>
      </c>
      <c r="W42" s="175">
        <f>Commercial_2!W42*'BTU Conversion Factor'!$F$4</f>
        <v>0</v>
      </c>
      <c r="X42" s="175">
        <f>Commercial_2!X42*'BTU Conversion Factor'!$F$4</f>
        <v>0</v>
      </c>
      <c r="Y42" s="175">
        <f>Commercial_2!Y42*'BTU Conversion Factor'!$F$4</f>
        <v>0</v>
      </c>
      <c r="Z42" s="175">
        <f>Commercial_2!Z42*'BTU Conversion Factor'!$F$4</f>
        <v>0</v>
      </c>
      <c r="AA42" s="175">
        <f>Commercial_2!AA42*'BTU Conversion Factor'!$F$4</f>
        <v>0</v>
      </c>
      <c r="AB42" s="175">
        <f>Commercial_2!AB42*'BTU Conversion Factor'!$F$4</f>
        <v>0</v>
      </c>
      <c r="AC42" s="175">
        <f>Commercial_2!AC42*'BTU Conversion Factor'!$F$4</f>
        <v>0</v>
      </c>
      <c r="AD42" s="175">
        <f>Commercial_2!AD42*'BTU Conversion Factor'!$F$4</f>
        <v>0</v>
      </c>
      <c r="AE42" s="175">
        <f>Commercial_2!AE42*'BTU Conversion Factor'!$F$4</f>
        <v>0</v>
      </c>
      <c r="AF42" s="175">
        <f>Commercial_2!AF42*'BTU Conversion Factor'!$F$4</f>
        <v>0</v>
      </c>
      <c r="AG42" s="175">
        <f>Commercial_2!AG42*'BTU Conversion Factor'!$F$4</f>
        <v>0</v>
      </c>
      <c r="AH42" s="175">
        <f>Commercial_2!AH42*'BTU Conversion Factor'!$F$4</f>
        <v>0</v>
      </c>
      <c r="AI42" s="175">
        <f>Commercial_2!AI42*'BTU Conversion Factor'!$F$4</f>
        <v>0</v>
      </c>
      <c r="AJ42" s="175">
        <f>Commercial_2!AJ42*'BTU Conversion Factor'!$F$4</f>
        <v>0</v>
      </c>
      <c r="AK42" s="175">
        <f>Commercial_2!AK42*'BTU Conversion Factor'!$F$4</f>
        <v>0</v>
      </c>
      <c r="AL42" s="175">
        <f>Commercial_2!AL42*'BTU Conversion Factor'!$F$4</f>
        <v>0</v>
      </c>
      <c r="AM42" s="175">
        <f>Commercial_2!AM42*'BTU Conversion Factor'!$F$4</f>
        <v>0</v>
      </c>
      <c r="AN42" s="175">
        <f>Commercial_2!AN42*'BTU Conversion Factor'!$F$4</f>
        <v>0</v>
      </c>
      <c r="AO42" s="175">
        <f>Commercial_2!AO42*'BTU Conversion Factor'!$F$4</f>
        <v>0</v>
      </c>
      <c r="AP42" s="175">
        <f>Commercial_2!AP42*'BTU Conversion Factor'!$F$4</f>
        <v>0</v>
      </c>
      <c r="AQ42" s="175">
        <f>Commercial_2!AQ42*'BTU Conversion Factor'!$F$4</f>
        <v>0</v>
      </c>
      <c r="AR42" s="175">
        <f>Commercial_2!AR42*'BTU Conversion Factor'!$F$4</f>
        <v>0</v>
      </c>
      <c r="AS42" s="175">
        <f>Commercial_2!AS42*'BTU Conversion Factor'!$F$4</f>
        <v>0</v>
      </c>
      <c r="AT42" s="175">
        <f>Commercial_2!AT42*'BTU Conversion Factor'!$F$4</f>
        <v>0</v>
      </c>
      <c r="AU42" s="175">
        <f>Commercial_2!AU42*'BTU Conversion Factor'!$F$4</f>
        <v>0</v>
      </c>
    </row>
    <row r="43" spans="1:47">
      <c r="B43" s="60" t="s">
        <v>667</v>
      </c>
      <c r="C43" s="175">
        <f>Commercial_2!C43*'BTU Conversion Factor'!$F$4</f>
        <v>0</v>
      </c>
      <c r="D43" s="175">
        <f>Commercial_2!D43*'BTU Conversion Factor'!$F$4</f>
        <v>0</v>
      </c>
      <c r="E43" s="175">
        <f>Commercial_2!E43*'BTU Conversion Factor'!$F$4</f>
        <v>0</v>
      </c>
      <c r="F43" s="175">
        <f>Commercial_2!F43*'BTU Conversion Factor'!$F$4</f>
        <v>0</v>
      </c>
      <c r="G43" s="175">
        <f>Commercial_2!G43*'BTU Conversion Factor'!$F$4</f>
        <v>0</v>
      </c>
      <c r="H43" s="175">
        <f>Commercial_2!H43*'BTU Conversion Factor'!$F$4</f>
        <v>0</v>
      </c>
      <c r="I43" s="175">
        <f>Commercial_2!I43*'BTU Conversion Factor'!$F$4</f>
        <v>0</v>
      </c>
      <c r="J43" s="175">
        <f>Commercial_2!J43*'BTU Conversion Factor'!$F$4</f>
        <v>0</v>
      </c>
      <c r="K43" s="175">
        <f>Commercial_2!K43*'BTU Conversion Factor'!$F$4</f>
        <v>0</v>
      </c>
      <c r="L43" s="175">
        <f>Commercial_2!L43*'BTU Conversion Factor'!$F$4</f>
        <v>0</v>
      </c>
      <c r="M43" s="175">
        <f>Commercial_2!M43*'BTU Conversion Factor'!$F$4</f>
        <v>0</v>
      </c>
      <c r="N43" s="175">
        <f>Commercial_2!N43*'BTU Conversion Factor'!$F$4</f>
        <v>0</v>
      </c>
      <c r="O43" s="175">
        <f>Commercial_2!O43*'BTU Conversion Factor'!$F$4</f>
        <v>0</v>
      </c>
      <c r="P43" s="175">
        <f>Commercial_2!P43*'BTU Conversion Factor'!$F$4</f>
        <v>0</v>
      </c>
      <c r="Q43" s="175">
        <f>Commercial_2!Q43*'BTU Conversion Factor'!$F$4</f>
        <v>0</v>
      </c>
      <c r="R43" s="175">
        <f>Commercial_2!R43*'BTU Conversion Factor'!$F$4</f>
        <v>0</v>
      </c>
      <c r="S43" s="175">
        <f>Commercial_2!S43*'BTU Conversion Factor'!$F$4</f>
        <v>0</v>
      </c>
      <c r="T43" s="175">
        <f>Commercial_2!T43*'BTU Conversion Factor'!$F$4</f>
        <v>0</v>
      </c>
      <c r="U43" s="175">
        <f>Commercial_2!U43*'BTU Conversion Factor'!$F$4</f>
        <v>0</v>
      </c>
      <c r="V43" s="175">
        <f>Commercial_2!V43*'BTU Conversion Factor'!$F$4</f>
        <v>0</v>
      </c>
      <c r="W43" s="175">
        <f>Commercial_2!W43*'BTU Conversion Factor'!$F$4</f>
        <v>0</v>
      </c>
      <c r="X43" s="175">
        <f>Commercial_2!X43*'BTU Conversion Factor'!$F$4</f>
        <v>0</v>
      </c>
      <c r="Y43" s="175">
        <f>Commercial_2!Y43*'BTU Conversion Factor'!$F$4</f>
        <v>0</v>
      </c>
      <c r="Z43" s="175">
        <f>Commercial_2!Z43*'BTU Conversion Factor'!$F$4</f>
        <v>0</v>
      </c>
      <c r="AA43" s="175">
        <f>Commercial_2!AA43*'BTU Conversion Factor'!$F$4</f>
        <v>0</v>
      </c>
      <c r="AB43" s="175">
        <f>Commercial_2!AB43*'BTU Conversion Factor'!$F$4</f>
        <v>0</v>
      </c>
      <c r="AC43" s="175">
        <f>Commercial_2!AC43*'BTU Conversion Factor'!$F$4</f>
        <v>0</v>
      </c>
      <c r="AD43" s="175">
        <f>Commercial_2!AD43*'BTU Conversion Factor'!$F$4</f>
        <v>0</v>
      </c>
      <c r="AE43" s="175">
        <f>Commercial_2!AE43*'BTU Conversion Factor'!$F$4</f>
        <v>0</v>
      </c>
      <c r="AF43" s="175">
        <f>Commercial_2!AF43*'BTU Conversion Factor'!$F$4</f>
        <v>0</v>
      </c>
      <c r="AG43" s="175">
        <f>Commercial_2!AG43*'BTU Conversion Factor'!$F$4</f>
        <v>0</v>
      </c>
      <c r="AH43" s="175">
        <f>Commercial_2!AH43*'BTU Conversion Factor'!$F$4</f>
        <v>0</v>
      </c>
      <c r="AI43" s="175">
        <f>Commercial_2!AI43*'BTU Conversion Factor'!$F$4</f>
        <v>0</v>
      </c>
      <c r="AJ43" s="175">
        <f>Commercial_2!AJ43*'BTU Conversion Factor'!$F$4</f>
        <v>0</v>
      </c>
      <c r="AK43" s="175">
        <f>Commercial_2!AK43*'BTU Conversion Factor'!$F$4</f>
        <v>0</v>
      </c>
      <c r="AL43" s="175">
        <f>Commercial_2!AL43*'BTU Conversion Factor'!$F$4</f>
        <v>0</v>
      </c>
      <c r="AM43" s="175">
        <f>Commercial_2!AM43*'BTU Conversion Factor'!$F$4</f>
        <v>0</v>
      </c>
      <c r="AN43" s="175">
        <f>Commercial_2!AN43*'BTU Conversion Factor'!$F$4</f>
        <v>0</v>
      </c>
      <c r="AO43" s="175">
        <f>Commercial_2!AO43*'BTU Conversion Factor'!$F$4</f>
        <v>0</v>
      </c>
      <c r="AP43" s="175">
        <f>Commercial_2!AP43*'BTU Conversion Factor'!$F$4</f>
        <v>0</v>
      </c>
      <c r="AQ43" s="175">
        <f>Commercial_2!AQ43*'BTU Conversion Factor'!$F$4</f>
        <v>0</v>
      </c>
      <c r="AR43" s="175">
        <f>Commercial_2!AR43*'BTU Conversion Factor'!$F$4</f>
        <v>0</v>
      </c>
      <c r="AS43" s="175">
        <f>Commercial_2!AS43*'BTU Conversion Factor'!$F$4</f>
        <v>0</v>
      </c>
      <c r="AT43" s="175">
        <f>Commercial_2!AT43*'BTU Conversion Factor'!$F$4</f>
        <v>0</v>
      </c>
      <c r="AU43" s="175">
        <f>Commercial_2!AU43*'BTU Conversion Factor'!$F$4</f>
        <v>0</v>
      </c>
    </row>
    <row r="44" spans="1:47">
      <c r="B44" s="60" t="s">
        <v>668</v>
      </c>
      <c r="C44" s="175">
        <f>Commercial_2!C44*'BTU Conversion Factor'!$F$4</f>
        <v>0</v>
      </c>
      <c r="D44" s="175">
        <f>Commercial_2!D44*'BTU Conversion Factor'!$F$4</f>
        <v>0</v>
      </c>
      <c r="E44" s="175">
        <f>Commercial_2!E44*'BTU Conversion Factor'!$F$4</f>
        <v>0</v>
      </c>
      <c r="F44" s="175">
        <f>Commercial_2!F44*'BTU Conversion Factor'!$F$4</f>
        <v>0</v>
      </c>
      <c r="G44" s="175">
        <f>Commercial_2!G44*'BTU Conversion Factor'!$F$4</f>
        <v>0</v>
      </c>
      <c r="H44" s="175">
        <f>Commercial_2!H44*'BTU Conversion Factor'!$F$4</f>
        <v>0</v>
      </c>
      <c r="I44" s="175">
        <f>Commercial_2!I44*'BTU Conversion Factor'!$F$4</f>
        <v>0</v>
      </c>
      <c r="J44" s="175">
        <f>Commercial_2!J44*'BTU Conversion Factor'!$F$4</f>
        <v>0</v>
      </c>
      <c r="K44" s="175">
        <f>Commercial_2!K44*'BTU Conversion Factor'!$F$4</f>
        <v>0</v>
      </c>
      <c r="L44" s="175">
        <f>Commercial_2!L44*'BTU Conversion Factor'!$F$4</f>
        <v>0</v>
      </c>
      <c r="M44" s="175">
        <f>Commercial_2!M44*'BTU Conversion Factor'!$F$4</f>
        <v>0</v>
      </c>
      <c r="N44" s="175">
        <f>Commercial_2!N44*'BTU Conversion Factor'!$F$4</f>
        <v>0</v>
      </c>
      <c r="O44" s="175">
        <f>Commercial_2!O44*'BTU Conversion Factor'!$F$4</f>
        <v>0</v>
      </c>
      <c r="P44" s="175">
        <f>Commercial_2!P44*'BTU Conversion Factor'!$F$4</f>
        <v>0</v>
      </c>
      <c r="Q44" s="175">
        <f>Commercial_2!Q44*'BTU Conversion Factor'!$F$4</f>
        <v>0</v>
      </c>
      <c r="R44" s="175">
        <f>Commercial_2!R44*'BTU Conversion Factor'!$F$4</f>
        <v>0</v>
      </c>
      <c r="S44" s="175">
        <f>Commercial_2!S44*'BTU Conversion Factor'!$F$4</f>
        <v>0</v>
      </c>
      <c r="T44" s="175">
        <f>Commercial_2!T44*'BTU Conversion Factor'!$F$4</f>
        <v>0</v>
      </c>
      <c r="U44" s="175">
        <f>Commercial_2!U44*'BTU Conversion Factor'!$F$4</f>
        <v>0</v>
      </c>
      <c r="V44" s="175">
        <f>Commercial_2!V44*'BTU Conversion Factor'!$F$4</f>
        <v>0</v>
      </c>
      <c r="W44" s="175">
        <f>Commercial_2!W44*'BTU Conversion Factor'!$F$4</f>
        <v>0</v>
      </c>
      <c r="X44" s="175">
        <f>Commercial_2!X44*'BTU Conversion Factor'!$F$4</f>
        <v>0</v>
      </c>
      <c r="Y44" s="175">
        <f>Commercial_2!Y44*'BTU Conversion Factor'!$F$4</f>
        <v>0</v>
      </c>
      <c r="Z44" s="175">
        <f>Commercial_2!Z44*'BTU Conversion Factor'!$F$4</f>
        <v>0</v>
      </c>
      <c r="AA44" s="175">
        <f>Commercial_2!AA44*'BTU Conversion Factor'!$F$4</f>
        <v>0</v>
      </c>
      <c r="AB44" s="175">
        <f>Commercial_2!AB44*'BTU Conversion Factor'!$F$4</f>
        <v>0</v>
      </c>
      <c r="AC44" s="175">
        <f>Commercial_2!AC44*'BTU Conversion Factor'!$F$4</f>
        <v>0</v>
      </c>
      <c r="AD44" s="175">
        <f>Commercial_2!AD44*'BTU Conversion Factor'!$F$4</f>
        <v>0</v>
      </c>
      <c r="AE44" s="175">
        <f>Commercial_2!AE44*'BTU Conversion Factor'!$F$4</f>
        <v>0</v>
      </c>
      <c r="AF44" s="175">
        <f>Commercial_2!AF44*'BTU Conversion Factor'!$F$4</f>
        <v>0</v>
      </c>
      <c r="AG44" s="175">
        <f>Commercial_2!AG44*'BTU Conversion Factor'!$F$4</f>
        <v>0</v>
      </c>
      <c r="AH44" s="175">
        <f>Commercial_2!AH44*'BTU Conversion Factor'!$F$4</f>
        <v>0</v>
      </c>
      <c r="AI44" s="175">
        <f>Commercial_2!AI44*'BTU Conversion Factor'!$F$4</f>
        <v>0</v>
      </c>
      <c r="AJ44" s="175">
        <f>Commercial_2!AJ44*'BTU Conversion Factor'!$F$4</f>
        <v>0</v>
      </c>
      <c r="AK44" s="175">
        <f>Commercial_2!AK44*'BTU Conversion Factor'!$F$4</f>
        <v>0</v>
      </c>
      <c r="AL44" s="175">
        <f>Commercial_2!AL44*'BTU Conversion Factor'!$F$4</f>
        <v>0</v>
      </c>
      <c r="AM44" s="175">
        <f>Commercial_2!AM44*'BTU Conversion Factor'!$F$4</f>
        <v>0</v>
      </c>
      <c r="AN44" s="175">
        <f>Commercial_2!AN44*'BTU Conversion Factor'!$F$4</f>
        <v>0</v>
      </c>
      <c r="AO44" s="175">
        <f>Commercial_2!AO44*'BTU Conversion Factor'!$F$4</f>
        <v>0</v>
      </c>
      <c r="AP44" s="175">
        <f>Commercial_2!AP44*'BTU Conversion Factor'!$F$4</f>
        <v>0</v>
      </c>
      <c r="AQ44" s="175">
        <f>Commercial_2!AQ44*'BTU Conversion Factor'!$F$4</f>
        <v>0</v>
      </c>
      <c r="AR44" s="175">
        <f>Commercial_2!AR44*'BTU Conversion Factor'!$F$4</f>
        <v>0</v>
      </c>
      <c r="AS44" s="175">
        <f>Commercial_2!AS44*'BTU Conversion Factor'!$F$4</f>
        <v>0</v>
      </c>
      <c r="AT44" s="175">
        <f>Commercial_2!AT44*'BTU Conversion Factor'!$F$4</f>
        <v>0</v>
      </c>
      <c r="AU44" s="175">
        <f>Commercial_2!AU44*'BTU Conversion Factor'!$F$4</f>
        <v>0</v>
      </c>
    </row>
    <row r="45" spans="1:47">
      <c r="B45" s="60" t="s">
        <v>669</v>
      </c>
      <c r="C45" s="175">
        <f>Commercial_2!C45*'BTU Conversion Factor'!$F$4</f>
        <v>0</v>
      </c>
      <c r="D45" s="175">
        <f>Commercial_2!D45*'BTU Conversion Factor'!$F$4</f>
        <v>0</v>
      </c>
      <c r="E45" s="175">
        <f>Commercial_2!E45*'BTU Conversion Factor'!$F$4</f>
        <v>0</v>
      </c>
      <c r="F45" s="175">
        <f>Commercial_2!F45*'BTU Conversion Factor'!$F$4</f>
        <v>0</v>
      </c>
      <c r="G45" s="175">
        <f>Commercial_2!G45*'BTU Conversion Factor'!$F$4</f>
        <v>0</v>
      </c>
      <c r="H45" s="175">
        <f>Commercial_2!H45*'BTU Conversion Factor'!$F$4</f>
        <v>0</v>
      </c>
      <c r="I45" s="175">
        <f>Commercial_2!I45*'BTU Conversion Factor'!$F$4</f>
        <v>0</v>
      </c>
      <c r="J45" s="175">
        <f>Commercial_2!J45*'BTU Conversion Factor'!$F$4</f>
        <v>0</v>
      </c>
      <c r="K45" s="175">
        <f>Commercial_2!K45*'BTU Conversion Factor'!$F$4</f>
        <v>0</v>
      </c>
      <c r="L45" s="175">
        <f>Commercial_2!L45*'BTU Conversion Factor'!$F$4</f>
        <v>0</v>
      </c>
      <c r="M45" s="175">
        <f>Commercial_2!M45*'BTU Conversion Factor'!$F$4</f>
        <v>0</v>
      </c>
      <c r="N45" s="175">
        <f>Commercial_2!N45*'BTU Conversion Factor'!$F$4</f>
        <v>0</v>
      </c>
      <c r="O45" s="175">
        <f>Commercial_2!O45*'BTU Conversion Factor'!$F$4</f>
        <v>0</v>
      </c>
      <c r="P45" s="175">
        <f>Commercial_2!P45*'BTU Conversion Factor'!$F$4</f>
        <v>0</v>
      </c>
      <c r="Q45" s="175">
        <f>Commercial_2!Q45*'BTU Conversion Factor'!$F$4</f>
        <v>0</v>
      </c>
      <c r="R45" s="175">
        <f>Commercial_2!R45*'BTU Conversion Factor'!$F$4</f>
        <v>0</v>
      </c>
      <c r="S45" s="175">
        <f>Commercial_2!S45*'BTU Conversion Factor'!$F$4</f>
        <v>0</v>
      </c>
      <c r="T45" s="175">
        <f>Commercial_2!T45*'BTU Conversion Factor'!$F$4</f>
        <v>0</v>
      </c>
      <c r="U45" s="175">
        <f>Commercial_2!U45*'BTU Conversion Factor'!$F$4</f>
        <v>0</v>
      </c>
      <c r="V45" s="175">
        <f>Commercial_2!V45*'BTU Conversion Factor'!$F$4</f>
        <v>0</v>
      </c>
      <c r="W45" s="175">
        <f>Commercial_2!W45*'BTU Conversion Factor'!$F$4</f>
        <v>0</v>
      </c>
      <c r="X45" s="175">
        <f>Commercial_2!X45*'BTU Conversion Factor'!$F$4</f>
        <v>0</v>
      </c>
      <c r="Y45" s="175">
        <f>Commercial_2!Y45*'BTU Conversion Factor'!$F$4</f>
        <v>0</v>
      </c>
      <c r="Z45" s="175">
        <f>Commercial_2!Z45*'BTU Conversion Factor'!$F$4</f>
        <v>0</v>
      </c>
      <c r="AA45" s="175">
        <f>Commercial_2!AA45*'BTU Conversion Factor'!$F$4</f>
        <v>0</v>
      </c>
      <c r="AB45" s="175">
        <f>Commercial_2!AB45*'BTU Conversion Factor'!$F$4</f>
        <v>0</v>
      </c>
      <c r="AC45" s="175">
        <f>Commercial_2!AC45*'BTU Conversion Factor'!$F$4</f>
        <v>0</v>
      </c>
      <c r="AD45" s="175">
        <f>Commercial_2!AD45*'BTU Conversion Factor'!$F$4</f>
        <v>0</v>
      </c>
      <c r="AE45" s="175">
        <f>Commercial_2!AE45*'BTU Conversion Factor'!$F$4</f>
        <v>0</v>
      </c>
      <c r="AF45" s="175">
        <f>Commercial_2!AF45*'BTU Conversion Factor'!$F$4</f>
        <v>0</v>
      </c>
      <c r="AG45" s="175">
        <f>Commercial_2!AG45*'BTU Conversion Factor'!$F$4</f>
        <v>0</v>
      </c>
      <c r="AH45" s="175">
        <f>Commercial_2!AH45*'BTU Conversion Factor'!$F$4</f>
        <v>0</v>
      </c>
      <c r="AI45" s="175">
        <f>Commercial_2!AI45*'BTU Conversion Factor'!$F$4</f>
        <v>0</v>
      </c>
      <c r="AJ45" s="175">
        <f>Commercial_2!AJ45*'BTU Conversion Factor'!$F$4</f>
        <v>0</v>
      </c>
      <c r="AK45" s="175">
        <f>Commercial_2!AK45*'BTU Conversion Factor'!$F$4</f>
        <v>0</v>
      </c>
      <c r="AL45" s="175">
        <f>Commercial_2!AL45*'BTU Conversion Factor'!$F$4</f>
        <v>0</v>
      </c>
      <c r="AM45" s="175">
        <f>Commercial_2!AM45*'BTU Conversion Factor'!$F$4</f>
        <v>0</v>
      </c>
      <c r="AN45" s="175">
        <f>Commercial_2!AN45*'BTU Conversion Factor'!$F$4</f>
        <v>0</v>
      </c>
      <c r="AO45" s="175">
        <f>Commercial_2!AO45*'BTU Conversion Factor'!$F$4</f>
        <v>0</v>
      </c>
      <c r="AP45" s="175">
        <f>Commercial_2!AP45*'BTU Conversion Factor'!$F$4</f>
        <v>0</v>
      </c>
      <c r="AQ45" s="175">
        <f>Commercial_2!AQ45*'BTU Conversion Factor'!$F$4</f>
        <v>0</v>
      </c>
      <c r="AR45" s="175">
        <f>Commercial_2!AR45*'BTU Conversion Factor'!$F$4</f>
        <v>0</v>
      </c>
      <c r="AS45" s="175">
        <f>Commercial_2!AS45*'BTU Conversion Factor'!$F$4</f>
        <v>0</v>
      </c>
      <c r="AT45" s="175">
        <f>Commercial_2!AT45*'BTU Conversion Factor'!$F$4</f>
        <v>0</v>
      </c>
      <c r="AU45" s="175">
        <f>Commercial_2!AU45*'BTU Conversion Factor'!$F$4</f>
        <v>0</v>
      </c>
    </row>
    <row r="46" spans="1:47">
      <c r="B46" s="60" t="s">
        <v>670</v>
      </c>
      <c r="C46" s="175">
        <f>Commercial_2!C46*'BTU Conversion Factor'!$F$4</f>
        <v>0</v>
      </c>
      <c r="D46" s="175">
        <f>Commercial_2!D46*'BTU Conversion Factor'!$F$4</f>
        <v>0</v>
      </c>
      <c r="E46" s="175">
        <f>Commercial_2!E46*'BTU Conversion Factor'!$F$4</f>
        <v>0</v>
      </c>
      <c r="F46" s="175">
        <f>Commercial_2!F46*'BTU Conversion Factor'!$F$4</f>
        <v>0</v>
      </c>
      <c r="G46" s="175">
        <f>Commercial_2!G46*'BTU Conversion Factor'!$F$4</f>
        <v>0</v>
      </c>
      <c r="H46" s="175">
        <f>Commercial_2!H46*'BTU Conversion Factor'!$F$4</f>
        <v>0</v>
      </c>
      <c r="I46" s="175">
        <f>Commercial_2!I46*'BTU Conversion Factor'!$F$4</f>
        <v>0</v>
      </c>
      <c r="J46" s="175">
        <f>Commercial_2!J46*'BTU Conversion Factor'!$F$4</f>
        <v>0</v>
      </c>
      <c r="K46" s="175">
        <f>Commercial_2!K46*'BTU Conversion Factor'!$F$4</f>
        <v>0</v>
      </c>
      <c r="L46" s="175">
        <f>Commercial_2!L46*'BTU Conversion Factor'!$F$4</f>
        <v>0</v>
      </c>
      <c r="M46" s="175">
        <f>Commercial_2!M46*'BTU Conversion Factor'!$F$4</f>
        <v>0</v>
      </c>
      <c r="N46" s="175">
        <f>Commercial_2!N46*'BTU Conversion Factor'!$F$4</f>
        <v>0</v>
      </c>
      <c r="O46" s="175">
        <f>Commercial_2!O46*'BTU Conversion Factor'!$F$4</f>
        <v>0</v>
      </c>
      <c r="P46" s="175">
        <f>Commercial_2!P46*'BTU Conversion Factor'!$F$4</f>
        <v>0</v>
      </c>
      <c r="Q46" s="175">
        <f>Commercial_2!Q46*'BTU Conversion Factor'!$F$4</f>
        <v>0</v>
      </c>
      <c r="R46" s="175">
        <f>Commercial_2!R46*'BTU Conversion Factor'!$F$4</f>
        <v>0</v>
      </c>
      <c r="S46" s="175">
        <f>Commercial_2!S46*'BTU Conversion Factor'!$F$4</f>
        <v>0</v>
      </c>
      <c r="T46" s="175">
        <f>Commercial_2!T46*'BTU Conversion Factor'!$F$4</f>
        <v>0</v>
      </c>
      <c r="U46" s="175">
        <f>Commercial_2!U46*'BTU Conversion Factor'!$F$4</f>
        <v>0</v>
      </c>
      <c r="V46" s="175">
        <f>Commercial_2!V46*'BTU Conversion Factor'!$F$4</f>
        <v>0</v>
      </c>
      <c r="W46" s="175">
        <f>Commercial_2!W46*'BTU Conversion Factor'!$F$4</f>
        <v>0</v>
      </c>
      <c r="X46" s="175">
        <f>Commercial_2!X46*'BTU Conversion Factor'!$F$4</f>
        <v>0</v>
      </c>
      <c r="Y46" s="175">
        <f>Commercial_2!Y46*'BTU Conversion Factor'!$F$4</f>
        <v>0</v>
      </c>
      <c r="Z46" s="175">
        <f>Commercial_2!Z46*'BTU Conversion Factor'!$F$4</f>
        <v>0</v>
      </c>
      <c r="AA46" s="175">
        <f>Commercial_2!AA46*'BTU Conversion Factor'!$F$4</f>
        <v>0</v>
      </c>
      <c r="AB46" s="175">
        <f>Commercial_2!AB46*'BTU Conversion Factor'!$F$4</f>
        <v>0</v>
      </c>
      <c r="AC46" s="175">
        <f>Commercial_2!AC46*'BTU Conversion Factor'!$F$4</f>
        <v>0</v>
      </c>
      <c r="AD46" s="175">
        <f>Commercial_2!AD46*'BTU Conversion Factor'!$F$4</f>
        <v>0</v>
      </c>
      <c r="AE46" s="175">
        <f>Commercial_2!AE46*'BTU Conversion Factor'!$F$4</f>
        <v>0</v>
      </c>
      <c r="AF46" s="175">
        <f>Commercial_2!AF46*'BTU Conversion Factor'!$F$4</f>
        <v>0</v>
      </c>
      <c r="AG46" s="175">
        <f>Commercial_2!AG46*'BTU Conversion Factor'!$F$4</f>
        <v>0</v>
      </c>
      <c r="AH46" s="175">
        <f>Commercial_2!AH46*'BTU Conversion Factor'!$F$4</f>
        <v>0</v>
      </c>
      <c r="AI46" s="175">
        <f>Commercial_2!AI46*'BTU Conversion Factor'!$F$4</f>
        <v>0</v>
      </c>
      <c r="AJ46" s="175">
        <f>Commercial_2!AJ46*'BTU Conversion Factor'!$F$4</f>
        <v>0</v>
      </c>
      <c r="AK46" s="175">
        <f>Commercial_2!AK46*'BTU Conversion Factor'!$F$4</f>
        <v>0</v>
      </c>
      <c r="AL46" s="175">
        <f>Commercial_2!AL46*'BTU Conversion Factor'!$F$4</f>
        <v>0</v>
      </c>
      <c r="AM46" s="175">
        <f>Commercial_2!AM46*'BTU Conversion Factor'!$F$4</f>
        <v>0</v>
      </c>
      <c r="AN46" s="175">
        <f>Commercial_2!AN46*'BTU Conversion Factor'!$F$4</f>
        <v>0</v>
      </c>
      <c r="AO46" s="175">
        <f>Commercial_2!AO46*'BTU Conversion Factor'!$F$4</f>
        <v>0</v>
      </c>
      <c r="AP46" s="175">
        <f>Commercial_2!AP46*'BTU Conversion Factor'!$F$4</f>
        <v>0</v>
      </c>
      <c r="AQ46" s="175">
        <f>Commercial_2!AQ46*'BTU Conversion Factor'!$F$4</f>
        <v>0</v>
      </c>
      <c r="AR46" s="175">
        <f>Commercial_2!AR46*'BTU Conversion Factor'!$F$4</f>
        <v>0</v>
      </c>
      <c r="AS46" s="175">
        <f>Commercial_2!AS46*'BTU Conversion Factor'!$F$4</f>
        <v>0</v>
      </c>
      <c r="AT46" s="175">
        <f>Commercial_2!AT46*'BTU Conversion Factor'!$F$4</f>
        <v>0</v>
      </c>
      <c r="AU46" s="175">
        <f>Commercial_2!AU46*'BTU Conversion Factor'!$F$4</f>
        <v>0</v>
      </c>
    </row>
    <row r="47" spans="1:47">
      <c r="C47" s="103" t="s">
        <v>974</v>
      </c>
      <c r="D47" s="103">
        <v>1055</v>
      </c>
      <c r="E47" s="103" t="s">
        <v>975</v>
      </c>
    </row>
    <row r="48" spans="1:47">
      <c r="A48" s="103" t="s">
        <v>919</v>
      </c>
      <c r="B48" s="60" t="s">
        <v>973</v>
      </c>
      <c r="C48" s="175">
        <f>SUM(C5:C10)+SUM(C14:C19)+SUM(C23:C28)+SUM(C32:C37)+SUM(C41:C46)</f>
        <v>106039086804000</v>
      </c>
      <c r="D48" s="175">
        <f t="shared" ref="D48:AU48" si="0">SUM(D5:D10)+SUM(D14:D19)+SUM(D23:D28)+SUM(D32:D37)+SUM(D41:D46)</f>
        <v>107475133336666.78</v>
      </c>
      <c r="E48" s="175">
        <f t="shared" si="0"/>
        <v>108911179869333.44</v>
      </c>
      <c r="F48" s="175">
        <f t="shared" si="0"/>
        <v>110347226401999.95</v>
      </c>
      <c r="G48" s="175">
        <f t="shared" si="0"/>
        <v>111783272934666.61</v>
      </c>
      <c r="H48" s="175">
        <f t="shared" si="0"/>
        <v>113219319467333.31</v>
      </c>
      <c r="I48" s="175">
        <f t="shared" si="0"/>
        <v>114655366000000</v>
      </c>
      <c r="J48" s="175">
        <f t="shared" si="0"/>
        <v>114887577000000</v>
      </c>
      <c r="K48" s="175">
        <f t="shared" si="0"/>
        <v>116305485800000</v>
      </c>
      <c r="L48" s="175">
        <f t="shared" si="0"/>
        <v>117218217200000</v>
      </c>
      <c r="M48" s="175">
        <f t="shared" si="0"/>
        <v>117497818200000</v>
      </c>
      <c r="N48" s="175">
        <f t="shared" si="0"/>
        <v>117920830251969.55</v>
      </c>
      <c r="O48" s="175">
        <f t="shared" si="0"/>
        <v>118343842303939.08</v>
      </c>
      <c r="P48" s="175">
        <f t="shared" si="0"/>
        <v>118766854355908.48</v>
      </c>
      <c r="Q48" s="175">
        <f t="shared" si="0"/>
        <v>119189866407878.02</v>
      </c>
      <c r="R48" s="175">
        <f t="shared" si="0"/>
        <v>120110539697458.72</v>
      </c>
      <c r="S48" s="175">
        <f t="shared" si="0"/>
        <v>121031212987039.42</v>
      </c>
      <c r="T48" s="175">
        <f t="shared" si="0"/>
        <v>121951886276620.11</v>
      </c>
      <c r="U48" s="175">
        <f t="shared" si="0"/>
        <v>122872559566200.83</v>
      </c>
      <c r="V48" s="175">
        <f t="shared" si="0"/>
        <v>123793232855781.52</v>
      </c>
      <c r="W48" s="175">
        <f t="shared" si="0"/>
        <v>124713906145362.22</v>
      </c>
      <c r="X48" s="175">
        <f t="shared" si="0"/>
        <v>125634579434942.94</v>
      </c>
      <c r="Y48" s="175">
        <f t="shared" si="0"/>
        <v>126555252724523.59</v>
      </c>
      <c r="Z48" s="175">
        <f t="shared" si="0"/>
        <v>127475926014104.28</v>
      </c>
      <c r="AA48" s="175">
        <f t="shared" si="0"/>
        <v>128396599303685.02</v>
      </c>
      <c r="AB48" s="175">
        <f t="shared" si="0"/>
        <v>129317272593265.7</v>
      </c>
      <c r="AC48" s="175">
        <f t="shared" si="0"/>
        <v>130237945882846.41</v>
      </c>
      <c r="AD48" s="175">
        <f t="shared" si="0"/>
        <v>131158619172427.09</v>
      </c>
      <c r="AE48" s="175">
        <f t="shared" si="0"/>
        <v>132079292462007.8</v>
      </c>
      <c r="AF48" s="175">
        <f t="shared" si="0"/>
        <v>132999965751588.47</v>
      </c>
      <c r="AG48" s="175">
        <f t="shared" si="0"/>
        <v>133920639041168.91</v>
      </c>
      <c r="AH48" s="175">
        <f t="shared" si="0"/>
        <v>134841312330749.61</v>
      </c>
      <c r="AI48" s="175">
        <f t="shared" si="0"/>
        <v>135761985620330.31</v>
      </c>
      <c r="AJ48" s="175">
        <f t="shared" si="0"/>
        <v>136682658909911</v>
      </c>
      <c r="AK48" s="175">
        <f t="shared" si="0"/>
        <v>137603332199491.67</v>
      </c>
      <c r="AL48" s="175">
        <f t="shared" si="0"/>
        <v>138524005489072.41</v>
      </c>
      <c r="AM48" s="175">
        <f t="shared" si="0"/>
        <v>139444678778653.09</v>
      </c>
      <c r="AN48" s="175">
        <f t="shared" si="0"/>
        <v>140365352068233.78</v>
      </c>
      <c r="AO48" s="175">
        <f t="shared" si="0"/>
        <v>141286025357814.5</v>
      </c>
      <c r="AP48" s="175">
        <f t="shared" si="0"/>
        <v>142206698647395.19</v>
      </c>
      <c r="AQ48" s="175">
        <f t="shared" si="0"/>
        <v>143127371936975.88</v>
      </c>
      <c r="AR48" s="175">
        <f t="shared" si="0"/>
        <v>144048045226556.59</v>
      </c>
      <c r="AS48" s="175">
        <f t="shared" si="0"/>
        <v>144968718516137.31</v>
      </c>
      <c r="AT48" s="175">
        <f t="shared" si="0"/>
        <v>145889391805718</v>
      </c>
      <c r="AU48" s="175">
        <f t="shared" si="0"/>
        <v>146810065095298.72</v>
      </c>
    </row>
    <row r="49" spans="1:47">
      <c r="A49" s="103" t="s">
        <v>919</v>
      </c>
      <c r="B49" s="60" t="s">
        <v>911</v>
      </c>
      <c r="C49" s="62">
        <f>C48*$D$47/10^12</f>
        <v>111871.23657822001</v>
      </c>
      <c r="D49" s="62">
        <f t="shared" ref="D49:AU49" si="1">D48*$D$47/10^12</f>
        <v>113386.26567018345</v>
      </c>
      <c r="E49" s="62">
        <f t="shared" si="1"/>
        <v>114901.29476214679</v>
      </c>
      <c r="F49" s="62">
        <f t="shared" si="1"/>
        <v>116416.32385410996</v>
      </c>
      <c r="G49" s="62">
        <f t="shared" si="1"/>
        <v>117931.35294607328</v>
      </c>
      <c r="H49" s="62">
        <f t="shared" si="1"/>
        <v>119446.38203803664</v>
      </c>
      <c r="I49" s="62">
        <f t="shared" si="1"/>
        <v>120961.41112999999</v>
      </c>
      <c r="J49" s="62">
        <f t="shared" si="1"/>
        <v>121206.39373500001</v>
      </c>
      <c r="K49" s="62">
        <f t="shared" si="1"/>
        <v>122702.287519</v>
      </c>
      <c r="L49" s="62">
        <f t="shared" si="1"/>
        <v>123665.219146</v>
      </c>
      <c r="M49" s="62">
        <f t="shared" si="1"/>
        <v>123960.19820100001</v>
      </c>
      <c r="N49" s="62">
        <f t="shared" si="1"/>
        <v>124406.47591582788</v>
      </c>
      <c r="O49" s="62">
        <f t="shared" si="1"/>
        <v>124852.75363065573</v>
      </c>
      <c r="P49" s="62">
        <f t="shared" si="1"/>
        <v>125299.03134548345</v>
      </c>
      <c r="Q49" s="62">
        <f t="shared" si="1"/>
        <v>125745.30906031131</v>
      </c>
      <c r="R49" s="62">
        <f t="shared" si="1"/>
        <v>126716.61938081894</v>
      </c>
      <c r="S49" s="62">
        <f t="shared" si="1"/>
        <v>127687.92970132659</v>
      </c>
      <c r="T49" s="62">
        <f t="shared" si="1"/>
        <v>128659.24002183421</v>
      </c>
      <c r="U49" s="62">
        <f t="shared" si="1"/>
        <v>129630.55034234187</v>
      </c>
      <c r="V49" s="62">
        <f t="shared" si="1"/>
        <v>130601.8606628495</v>
      </c>
      <c r="W49" s="62">
        <f t="shared" si="1"/>
        <v>131573.17098335712</v>
      </c>
      <c r="X49" s="62">
        <f t="shared" si="1"/>
        <v>132544.4813038648</v>
      </c>
      <c r="Y49" s="62">
        <f t="shared" si="1"/>
        <v>133515.79162437239</v>
      </c>
      <c r="Z49" s="62">
        <f t="shared" si="1"/>
        <v>134487.10194488001</v>
      </c>
      <c r="AA49" s="62">
        <f t="shared" si="1"/>
        <v>135458.41226538768</v>
      </c>
      <c r="AB49" s="62">
        <f t="shared" si="1"/>
        <v>136429.7225858953</v>
      </c>
      <c r="AC49" s="62">
        <f t="shared" si="1"/>
        <v>137401.03290640295</v>
      </c>
      <c r="AD49" s="62">
        <f t="shared" si="1"/>
        <v>138372.34322691057</v>
      </c>
      <c r="AE49" s="62">
        <f t="shared" si="1"/>
        <v>139343.65354741822</v>
      </c>
      <c r="AF49" s="62">
        <f t="shared" si="1"/>
        <v>140314.96386792584</v>
      </c>
      <c r="AG49" s="62">
        <f t="shared" si="1"/>
        <v>141286.27418843319</v>
      </c>
      <c r="AH49" s="62">
        <f t="shared" si="1"/>
        <v>142257.58450894084</v>
      </c>
      <c r="AI49" s="62">
        <f t="shared" si="1"/>
        <v>143228.89482944849</v>
      </c>
      <c r="AJ49" s="62">
        <f t="shared" si="1"/>
        <v>144200.20514995611</v>
      </c>
      <c r="AK49" s="62">
        <f t="shared" si="1"/>
        <v>145171.51547046372</v>
      </c>
      <c r="AL49" s="62">
        <f t="shared" si="1"/>
        <v>146142.8257909714</v>
      </c>
      <c r="AM49" s="62">
        <f t="shared" si="1"/>
        <v>147114.13611147902</v>
      </c>
      <c r="AN49" s="62">
        <f t="shared" si="1"/>
        <v>148085.44643198664</v>
      </c>
      <c r="AO49" s="62">
        <f t="shared" si="1"/>
        <v>149056.75675249432</v>
      </c>
      <c r="AP49" s="62">
        <f t="shared" si="1"/>
        <v>150028.06707300193</v>
      </c>
      <c r="AQ49" s="62">
        <f t="shared" si="1"/>
        <v>150999.37739350952</v>
      </c>
      <c r="AR49" s="62">
        <f t="shared" si="1"/>
        <v>151970.68771401723</v>
      </c>
      <c r="AS49" s="62">
        <f t="shared" si="1"/>
        <v>152941.99803452488</v>
      </c>
      <c r="AT49" s="62">
        <f t="shared" si="1"/>
        <v>153913.30835503247</v>
      </c>
      <c r="AU49" s="62">
        <f t="shared" si="1"/>
        <v>154884.61867554017</v>
      </c>
    </row>
  </sheetData>
  <phoneticPr fontId="3"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U68"/>
  <sheetViews>
    <sheetView zoomScale="85" workbookViewId="0">
      <selection activeCell="I32" sqref="I32"/>
    </sheetView>
  </sheetViews>
  <sheetFormatPr defaultColWidth="8.7109375" defaultRowHeight="15"/>
  <cols>
    <col min="1" max="1" width="14.5703125" style="103" customWidth="1"/>
    <col min="2" max="2" width="11.140625" style="103" bestFit="1" customWidth="1"/>
    <col min="3" max="3" width="9.42578125" style="103" customWidth="1"/>
    <col min="4" max="4" width="9.7109375" style="103" bestFit="1" customWidth="1"/>
    <col min="5" max="6" width="8.7109375" style="103"/>
    <col min="7" max="7" width="10.85546875" style="103" bestFit="1" customWidth="1"/>
    <col min="8" max="8" width="5.85546875" style="103" customWidth="1"/>
    <col min="9" max="9" width="6.140625" style="563" customWidth="1"/>
    <col min="10" max="10" width="5.85546875" style="103" customWidth="1"/>
    <col min="11" max="18" width="8.7109375" style="103"/>
    <col min="19" max="19" width="8.7109375" style="563"/>
    <col min="20" max="20" width="6.28515625" style="103" customWidth="1"/>
    <col min="21" max="28" width="8.7109375" style="103"/>
    <col min="29" max="29" width="8.7109375" style="563"/>
    <col min="30" max="38" width="8.7109375" style="103"/>
    <col min="39" max="39" width="6.7109375" style="563" customWidth="1"/>
    <col min="40" max="41" width="8.7109375" style="103"/>
    <col min="42" max="42" width="10.140625" style="103" bestFit="1" customWidth="1"/>
    <col min="43" max="16384" width="8.7109375" style="103"/>
  </cols>
  <sheetData>
    <row r="1" spans="1:47" ht="26.1" customHeight="1">
      <c r="A1" s="121" t="s">
        <v>964</v>
      </c>
    </row>
    <row r="2" spans="1:47">
      <c r="A2" s="18"/>
    </row>
    <row r="3" spans="1:47">
      <c r="A3" s="103" t="s">
        <v>750</v>
      </c>
      <c r="U3" s="103" t="s">
        <v>750</v>
      </c>
      <c r="AE3" s="103" t="s">
        <v>750</v>
      </c>
      <c r="AO3" s="103" t="s">
        <v>750</v>
      </c>
    </row>
    <row r="4" spans="1:47">
      <c r="A4" s="103">
        <f>A9</f>
        <v>2006</v>
      </c>
      <c r="B4" s="62">
        <f>B9</f>
        <v>2062.5449866785084</v>
      </c>
      <c r="C4" s="62">
        <f>C9</f>
        <v>0</v>
      </c>
      <c r="D4" s="62">
        <f>D9</f>
        <v>0</v>
      </c>
      <c r="E4" s="62">
        <f>E9</f>
        <v>0</v>
      </c>
      <c r="L4" s="62"/>
      <c r="M4" s="62"/>
      <c r="N4" s="62"/>
      <c r="O4" s="62"/>
      <c r="U4" s="103">
        <f>U9</f>
        <v>2006</v>
      </c>
      <c r="V4" s="62">
        <f>V9</f>
        <v>0</v>
      </c>
      <c r="W4" s="62">
        <f>W9</f>
        <v>0</v>
      </c>
      <c r="X4" s="62">
        <f>X9</f>
        <v>0</v>
      </c>
      <c r="Y4" s="62">
        <f>Y9</f>
        <v>0</v>
      </c>
      <c r="AE4" s="103">
        <f>AE9</f>
        <v>2006</v>
      </c>
      <c r="AF4" s="62">
        <f>AF9</f>
        <v>8503.6770959147434</v>
      </c>
      <c r="AG4" s="62">
        <f>AG9</f>
        <v>0</v>
      </c>
      <c r="AH4" s="62">
        <f>AH9</f>
        <v>8903.0403148261139</v>
      </c>
      <c r="AI4" s="62">
        <f>AI9</f>
        <v>0</v>
      </c>
      <c r="AO4" s="103">
        <f>AO9</f>
        <v>2006</v>
      </c>
      <c r="AP4" s="62">
        <f>AP9</f>
        <v>854.59266207815278</v>
      </c>
      <c r="AQ4" s="62">
        <f>AQ9</f>
        <v>0</v>
      </c>
      <c r="AR4" s="62">
        <f>AR9</f>
        <v>8.6996851738865164</v>
      </c>
      <c r="AS4" s="62">
        <f>AS9</f>
        <v>0</v>
      </c>
    </row>
    <row r="5" spans="1:47">
      <c r="A5" s="103">
        <f>A15</f>
        <v>2012</v>
      </c>
      <c r="B5" s="62">
        <f>B15</f>
        <v>2103.8161528662417</v>
      </c>
      <c r="C5" s="62">
        <f>C15</f>
        <v>0</v>
      </c>
      <c r="D5" s="62">
        <f>D15</f>
        <v>0</v>
      </c>
      <c r="E5" s="62">
        <f>E15</f>
        <v>0</v>
      </c>
      <c r="L5" s="62"/>
      <c r="M5" s="62"/>
      <c r="N5" s="62"/>
      <c r="O5" s="62"/>
      <c r="U5" s="103">
        <f>U15</f>
        <v>2012</v>
      </c>
      <c r="V5" s="62">
        <f>V15</f>
        <v>0</v>
      </c>
      <c r="W5" s="62">
        <f>W15</f>
        <v>0</v>
      </c>
      <c r="X5" s="62">
        <f>X15</f>
        <v>0</v>
      </c>
      <c r="Y5" s="62">
        <f>Y15</f>
        <v>0</v>
      </c>
      <c r="AE5" s="103">
        <f>AE15</f>
        <v>2012</v>
      </c>
      <c r="AF5" s="62">
        <f>AF15</f>
        <v>9160.3661656050954</v>
      </c>
      <c r="AG5" s="62">
        <f>AG15</f>
        <v>0</v>
      </c>
      <c r="AH5" s="62">
        <f>AH15</f>
        <v>9073.08</v>
      </c>
      <c r="AI5" s="62">
        <f>AI15</f>
        <v>0</v>
      </c>
      <c r="AO5" s="103">
        <f>AO15</f>
        <v>2012</v>
      </c>
      <c r="AP5" s="62">
        <f>AP15</f>
        <v>1912.3002802547771</v>
      </c>
      <c r="AQ5" s="62">
        <f>AQ15</f>
        <v>0</v>
      </c>
      <c r="AR5" s="62">
        <f>AR15</f>
        <v>1.1238795986622074</v>
      </c>
      <c r="AS5" s="62">
        <f>AS15</f>
        <v>0</v>
      </c>
    </row>
    <row r="6" spans="1:47">
      <c r="A6" s="59"/>
    </row>
    <row r="7" spans="1:47" s="561" customFormat="1" ht="15.75">
      <c r="A7" s="560" t="s">
        <v>28</v>
      </c>
      <c r="I7" s="564"/>
      <c r="K7" s="562" t="s">
        <v>87</v>
      </c>
      <c r="S7" s="564"/>
      <c r="U7" s="562" t="s">
        <v>88</v>
      </c>
      <c r="AC7" s="564"/>
      <c r="AE7" s="562" t="s">
        <v>89</v>
      </c>
      <c r="AM7" s="564"/>
      <c r="AO7" s="562" t="s">
        <v>33</v>
      </c>
    </row>
    <row r="8" spans="1:47" s="60" customFormat="1">
      <c r="A8" s="60" t="s">
        <v>1</v>
      </c>
      <c r="B8" s="60" t="s">
        <v>40</v>
      </c>
      <c r="C8" s="60" t="s">
        <v>82</v>
      </c>
      <c r="D8" s="60" t="s">
        <v>81</v>
      </c>
      <c r="E8" s="60" t="s">
        <v>83</v>
      </c>
      <c r="F8" s="60" t="s">
        <v>85</v>
      </c>
      <c r="G8" s="60" t="s">
        <v>84</v>
      </c>
      <c r="I8" s="565"/>
      <c r="K8" s="60" t="s">
        <v>1</v>
      </c>
      <c r="L8" s="60" t="s">
        <v>40</v>
      </c>
      <c r="M8" s="60" t="s">
        <v>82</v>
      </c>
      <c r="N8" s="60" t="s">
        <v>81</v>
      </c>
      <c r="O8" s="60" t="s">
        <v>83</v>
      </c>
      <c r="P8" s="60" t="s">
        <v>85</v>
      </c>
      <c r="Q8" s="60" t="s">
        <v>84</v>
      </c>
      <c r="S8" s="565"/>
      <c r="U8" s="60" t="s">
        <v>1</v>
      </c>
      <c r="V8" s="60" t="s">
        <v>40</v>
      </c>
      <c r="W8" s="60" t="s">
        <v>82</v>
      </c>
      <c r="X8" s="60" t="s">
        <v>81</v>
      </c>
      <c r="Y8" s="60" t="s">
        <v>83</v>
      </c>
      <c r="Z8" s="60" t="s">
        <v>85</v>
      </c>
      <c r="AA8" s="60" t="s">
        <v>84</v>
      </c>
      <c r="AC8" s="565"/>
      <c r="AE8" s="60" t="s">
        <v>1</v>
      </c>
      <c r="AF8" s="60" t="s">
        <v>40</v>
      </c>
      <c r="AG8" s="60" t="s">
        <v>82</v>
      </c>
      <c r="AH8" s="60" t="s">
        <v>81</v>
      </c>
      <c r="AI8" s="60" t="s">
        <v>83</v>
      </c>
      <c r="AJ8" s="60" t="s">
        <v>85</v>
      </c>
      <c r="AK8" s="60" t="s">
        <v>84</v>
      </c>
      <c r="AM8" s="565"/>
      <c r="AO8" s="60" t="s">
        <v>1</v>
      </c>
      <c r="AP8" s="60" t="s">
        <v>40</v>
      </c>
      <c r="AQ8" s="60" t="s">
        <v>82</v>
      </c>
      <c r="AR8" s="60" t="s">
        <v>81</v>
      </c>
      <c r="AS8" s="60" t="s">
        <v>83</v>
      </c>
      <c r="AT8" s="60" t="s">
        <v>85</v>
      </c>
      <c r="AU8" s="60" t="s">
        <v>84</v>
      </c>
    </row>
    <row r="9" spans="1:47">
      <c r="A9" s="64">
        <v>2006</v>
      </c>
      <c r="B9" s="559">
        <f>'Future Type Share'!C7*'Future Type Share'!M7*'Future EndUse Share'!AA17</f>
        <v>2062.5449866785084</v>
      </c>
      <c r="C9" s="64">
        <f>'Future Type Share'!C7*'Future Type Share'!I7*0.5*'Future EndUse Share'!P17</f>
        <v>0</v>
      </c>
      <c r="D9" s="64">
        <f>'Future Type Share'!H7*'Future EndUse Share'!P17</f>
        <v>0</v>
      </c>
      <c r="E9" s="559">
        <f>C9</f>
        <v>0</v>
      </c>
      <c r="F9" s="64">
        <v>0</v>
      </c>
      <c r="G9" s="64">
        <v>0</v>
      </c>
      <c r="K9" s="567">
        <v>2006</v>
      </c>
      <c r="L9" s="568">
        <f>'Future Type Share'!C7*'Future Type Share'!M7*'Future EndUse Share'!Y17</f>
        <v>5878.4452553285973</v>
      </c>
      <c r="M9" s="568">
        <f>'Future Type Share'!C7*'Future Type Share'!I7*0.5*'Future EndUse Share'!N17</f>
        <v>0</v>
      </c>
      <c r="N9" s="568">
        <f>'Future Type Share'!H7*'Future EndUse Share'!N17</f>
        <v>0</v>
      </c>
      <c r="O9" s="568">
        <f>M9</f>
        <v>0</v>
      </c>
      <c r="P9" s="567">
        <v>0</v>
      </c>
      <c r="Q9" s="567">
        <v>0</v>
      </c>
      <c r="U9" s="64">
        <v>2006</v>
      </c>
      <c r="V9" s="64">
        <v>0</v>
      </c>
      <c r="W9" s="64">
        <v>0</v>
      </c>
      <c r="X9" s="64">
        <v>0</v>
      </c>
      <c r="Y9" s="64">
        <v>0</v>
      </c>
      <c r="Z9" s="64">
        <v>0</v>
      </c>
      <c r="AA9" s="64">
        <v>0</v>
      </c>
      <c r="AE9" s="64">
        <v>2006</v>
      </c>
      <c r="AF9" s="559">
        <f>'Future Type Share'!C7*'Future Type Share'!M7*('Future EndUse Share'!Z17+'Future EndUse Share'!AB17+'Future EndUse Share'!AC17+'Future EndUse Share'!AD17)</f>
        <v>8503.6770959147434</v>
      </c>
      <c r="AG9" s="559">
        <f>'Future Type Share'!C7*'Future Type Share'!K7*0.5*('Future EndUse Share'!O17+'Future EndUse Share'!Q17+'Future EndUse Share'!R17+'Future EndUse Share'!S17)</f>
        <v>0</v>
      </c>
      <c r="AH9" s="559">
        <f>'Future Type Share'!C7*'Future Type Share'!I7*('Future EndUse Share'!O17+'Future EndUse Share'!Q17+'Future EndUse Share'!R17+'Future EndUse Share'!S17)</f>
        <v>8903.0403148261139</v>
      </c>
      <c r="AI9" s="559">
        <f>AG9</f>
        <v>0</v>
      </c>
      <c r="AJ9" s="64">
        <v>0</v>
      </c>
      <c r="AK9" s="64">
        <v>0</v>
      </c>
      <c r="AO9" s="64">
        <v>2006</v>
      </c>
      <c r="AP9" s="559">
        <f>'Future Type Share'!C7*'Future Type Share'!M7*'Future EndUse Share'!AE17</f>
        <v>854.59266207815278</v>
      </c>
      <c r="AQ9" s="559">
        <f>'Future Type Share'!C7*'Future Type Share'!K7*0.5*('Future EndUse Share'!T17)</f>
        <v>0</v>
      </c>
      <c r="AR9" s="559">
        <f>'Future Type Share'!C7*'Future Type Share'!I7*('Future EndUse Share'!T17)</f>
        <v>8.6996851738865164</v>
      </c>
      <c r="AS9" s="559">
        <f>AQ9</f>
        <v>0</v>
      </c>
      <c r="AT9" s="64">
        <v>0</v>
      </c>
      <c r="AU9" s="64">
        <v>0</v>
      </c>
    </row>
    <row r="10" spans="1:47">
      <c r="A10" s="64">
        <v>2007</v>
      </c>
      <c r="B10" s="559">
        <f>'Future Type Share'!C8*'Future Type Share'!M8*'Future EndUse Share'!AA18</f>
        <v>2020.5925866236907</v>
      </c>
      <c r="C10" s="64">
        <f>'Future Type Share'!C8*'Future Type Share'!I8*0.5*'Future EndUse Share'!P18</f>
        <v>0</v>
      </c>
      <c r="D10" s="64">
        <f>'Future Type Share'!H8*'Future EndUse Share'!P18</f>
        <v>0</v>
      </c>
      <c r="E10" s="559">
        <f t="shared" ref="E10:E14" si="0">TREND(E$4:E$5,$A$4:$A$5,$A10)</f>
        <v>0</v>
      </c>
      <c r="F10" s="559">
        <f t="shared" ref="F10:G14" si="1">TREND(F$15:F$19,$A$15:$A$19,$A10)</f>
        <v>0</v>
      </c>
      <c r="G10" s="559">
        <f t="shared" si="1"/>
        <v>0</v>
      </c>
      <c r="K10" s="567">
        <v>2007</v>
      </c>
      <c r="L10" s="568">
        <f>'Future Type Share'!C8*'Future Type Share'!M8*'Future EndUse Share'!Y18</f>
        <v>5942.4665785656725</v>
      </c>
      <c r="M10" s="568">
        <f>'Future Type Share'!C8*'Future Type Share'!I8*0.5*'Future EndUse Share'!N18</f>
        <v>0</v>
      </c>
      <c r="N10" s="568">
        <f>'Future Type Share'!H8*'Future EndUse Share'!N18</f>
        <v>0</v>
      </c>
      <c r="O10" s="568">
        <f t="shared" ref="O10:O19" si="2">M10</f>
        <v>0</v>
      </c>
      <c r="P10" s="567">
        <v>0</v>
      </c>
      <c r="Q10" s="567">
        <v>0</v>
      </c>
      <c r="U10" s="64">
        <v>2007</v>
      </c>
      <c r="V10" s="64">
        <v>0</v>
      </c>
      <c r="W10" s="64">
        <v>0</v>
      </c>
      <c r="X10" s="64">
        <v>0</v>
      </c>
      <c r="Y10" s="64">
        <v>0</v>
      </c>
      <c r="Z10" s="64">
        <v>0</v>
      </c>
      <c r="AA10" s="64">
        <v>0</v>
      </c>
      <c r="AE10" s="64">
        <v>2007</v>
      </c>
      <c r="AF10" s="559">
        <f>'Future Type Share'!C8*'Future Type Share'!M8*('Future EndUse Share'!Z18+'Future EndUse Share'!AB18+'Future EndUse Share'!AC18+'Future EndUse Share'!AD18)</f>
        <v>9044.5572925060424</v>
      </c>
      <c r="AG10" s="559">
        <f>'Future Type Share'!C8*'Future Type Share'!K8*0.5*('Future EndUse Share'!Z18+'Future EndUse Share'!AB18+'Future EndUse Share'!AC18+'Future EndUse Share'!AD18)</f>
        <v>0</v>
      </c>
      <c r="AH10" s="559">
        <f>'Future Type Share'!C8*'Future Type Share'!I8*('Future EndUse Share'!O18+'Future EndUse Share'!Q18+'Future EndUse Share'!R18+'Future EndUse Share'!S18)</f>
        <v>8812.1096341463417</v>
      </c>
      <c r="AI10" s="559">
        <f t="shared" ref="AI10:AI14" si="3">TREND(AI$4:AI$5,$AO$4:$AO$5,$AO10)</f>
        <v>0</v>
      </c>
      <c r="AJ10" s="559">
        <f t="shared" ref="AJ10:AK14" si="4">TREND(AJ$15:AJ$19,$AE$15:$AE$19,$AE10)</f>
        <v>0</v>
      </c>
      <c r="AK10" s="559">
        <f t="shared" si="4"/>
        <v>0</v>
      </c>
      <c r="AO10" s="64">
        <v>2007</v>
      </c>
      <c r="AP10" s="559">
        <f>'Future Type Share'!C8*'Future Type Share'!M8*'Future EndUse Share'!AE18</f>
        <v>903.49354230459312</v>
      </c>
      <c r="AQ10" s="559">
        <f>'Future Type Share'!C8*'Future Type Share'!K8*0.5*('Future EndUse Share'!T18)</f>
        <v>0</v>
      </c>
      <c r="AR10" s="559">
        <f>'Future Type Share'!C8*'Future Type Share'!I8*('Future EndUse Share'!T18)</f>
        <v>9.7803658536585374</v>
      </c>
      <c r="AS10" s="559">
        <f>TREND(AS$4:AS$5,$AO$4:$AO$5,$AO10)</f>
        <v>0</v>
      </c>
      <c r="AT10" s="559">
        <f t="shared" ref="AT10:AU14" si="5">TREND(AT$15:AT$19,$AO$15:$AO$19,$AO10)</f>
        <v>0</v>
      </c>
      <c r="AU10" s="559">
        <f t="shared" si="5"/>
        <v>0</v>
      </c>
    </row>
    <row r="11" spans="1:47">
      <c r="A11" s="64">
        <v>2008</v>
      </c>
      <c r="B11" s="559">
        <f>'Future Type Share'!C9*'Future Type Share'!M9*'Future EndUse Share'!AA19</f>
        <v>1948.9996524355449</v>
      </c>
      <c r="C11" s="64">
        <f>'Future Type Share'!C9*'Future Type Share'!I9*0.5*'Future EndUse Share'!P19</f>
        <v>0</v>
      </c>
      <c r="D11" s="64">
        <f>'Future Type Share'!H9*'Future EndUse Share'!P19</f>
        <v>0</v>
      </c>
      <c r="E11" s="559">
        <f t="shared" si="0"/>
        <v>0</v>
      </c>
      <c r="F11" s="559">
        <f t="shared" si="1"/>
        <v>0</v>
      </c>
      <c r="G11" s="559">
        <f t="shared" si="1"/>
        <v>0</v>
      </c>
      <c r="K11" s="567">
        <v>2008</v>
      </c>
      <c r="L11" s="568">
        <f>'Future Type Share'!C9*'Future Type Share'!M9*'Future EndUse Share'!Y19</f>
        <v>5918.1303314831148</v>
      </c>
      <c r="M11" s="568">
        <f>'Future Type Share'!C9*'Future Type Share'!I9*0.5*'Future EndUse Share'!N19</f>
        <v>0</v>
      </c>
      <c r="N11" s="568">
        <f>'Future Type Share'!H9*'Future EndUse Share'!N19</f>
        <v>0</v>
      </c>
      <c r="O11" s="568">
        <f t="shared" si="2"/>
        <v>0</v>
      </c>
      <c r="P11" s="567">
        <v>0</v>
      </c>
      <c r="Q11" s="567">
        <v>0</v>
      </c>
      <c r="U11" s="64">
        <v>2008</v>
      </c>
      <c r="V11" s="64">
        <v>0</v>
      </c>
      <c r="W11" s="64">
        <v>0</v>
      </c>
      <c r="X11" s="64">
        <v>0</v>
      </c>
      <c r="Y11" s="64">
        <v>0</v>
      </c>
      <c r="Z11" s="64">
        <v>0</v>
      </c>
      <c r="AA11" s="64">
        <v>0</v>
      </c>
      <c r="AE11" s="64">
        <v>2008</v>
      </c>
      <c r="AF11" s="559">
        <f>'Future Type Share'!C9*'Future Type Share'!M9*('Future EndUse Share'!Z19+'Future EndUse Share'!AB19+'Future EndUse Share'!AC19+'Future EndUse Share'!AD19)</f>
        <v>9474.6990403071013</v>
      </c>
      <c r="AG11" s="559">
        <f>'Future Type Share'!C9*'Future Type Share'!K9*0.5*('Future EndUse Share'!Z19+'Future EndUse Share'!AB19+'Future EndUse Share'!AC19+'Future EndUse Share'!AD19)</f>
        <v>0</v>
      </c>
      <c r="AH11" s="559">
        <f>'Future Type Share'!C9*'Future Type Share'!I9*('Future EndUse Share'!O19+'Future EndUse Share'!Q19+'Future EndUse Share'!R19+'Future EndUse Share'!S19)</f>
        <v>9130.4784686609692</v>
      </c>
      <c r="AI11" s="559">
        <f t="shared" si="3"/>
        <v>0</v>
      </c>
      <c r="AJ11" s="559">
        <f t="shared" si="4"/>
        <v>0</v>
      </c>
      <c r="AK11" s="559">
        <f t="shared" si="4"/>
        <v>0</v>
      </c>
      <c r="AO11" s="64">
        <v>2008</v>
      </c>
      <c r="AP11" s="559">
        <f>'Future Type Share'!C9*'Future Type Share'!M9*'Future EndUse Share'!AE19</f>
        <v>940.83097577423871</v>
      </c>
      <c r="AQ11" s="559">
        <f>'Future Type Share'!C9*'Future Type Share'!K9*0.5*('Future EndUse Share'!T19)</f>
        <v>0</v>
      </c>
      <c r="AR11" s="559">
        <f>'Future Type Share'!C9*'Future Type Share'!I9*('Future EndUse Share'!T19)</f>
        <v>10.851531339031338</v>
      </c>
      <c r="AS11" s="559">
        <f t="shared" ref="AS11:AS14" si="6">TREND(AS$4:AS$5,$AO$4:$AO$5,$AO11)</f>
        <v>0</v>
      </c>
      <c r="AT11" s="559">
        <f t="shared" si="5"/>
        <v>0</v>
      </c>
      <c r="AU11" s="559">
        <f t="shared" si="5"/>
        <v>0</v>
      </c>
    </row>
    <row r="12" spans="1:47">
      <c r="A12" s="64">
        <v>2009</v>
      </c>
      <c r="B12" s="559">
        <f>'Future Type Share'!C10*'Future Type Share'!M10*'Future EndUse Share'!AA20</f>
        <v>2086.3738412698417</v>
      </c>
      <c r="C12" s="64">
        <f>'Future Type Share'!C10*'Future Type Share'!I10*0.5*'Future EndUse Share'!P20</f>
        <v>0</v>
      </c>
      <c r="D12" s="64">
        <f>'Future Type Share'!H10*'Future EndUse Share'!P20</f>
        <v>0</v>
      </c>
      <c r="E12" s="559">
        <f t="shared" si="0"/>
        <v>0</v>
      </c>
      <c r="F12" s="559">
        <f t="shared" si="1"/>
        <v>0</v>
      </c>
      <c r="G12" s="559">
        <f t="shared" si="1"/>
        <v>0</v>
      </c>
      <c r="K12" s="567">
        <v>2009</v>
      </c>
      <c r="L12" s="568">
        <f>'Future Type Share'!C10*'Future Type Share'!M10*'Future EndUse Share'!Y20</f>
        <v>6489.2292063492068</v>
      </c>
      <c r="M12" s="568">
        <f>'Future Type Share'!C10*'Future Type Share'!I10*0.5*'Future EndUse Share'!N20</f>
        <v>0</v>
      </c>
      <c r="N12" s="568">
        <f>'Future Type Share'!H10*'Future EndUse Share'!N20</f>
        <v>0</v>
      </c>
      <c r="O12" s="568">
        <f t="shared" si="2"/>
        <v>0</v>
      </c>
      <c r="P12" s="567">
        <v>0</v>
      </c>
      <c r="Q12" s="567">
        <v>0</v>
      </c>
      <c r="U12" s="64">
        <v>2009</v>
      </c>
      <c r="V12" s="64">
        <v>0</v>
      </c>
      <c r="W12" s="64">
        <v>0</v>
      </c>
      <c r="X12" s="64">
        <v>0</v>
      </c>
      <c r="Y12" s="64">
        <v>0</v>
      </c>
      <c r="Z12" s="64">
        <v>0</v>
      </c>
      <c r="AA12" s="64">
        <v>0</v>
      </c>
      <c r="AE12" s="64">
        <v>2009</v>
      </c>
      <c r="AF12" s="559">
        <f>'Future Type Share'!C10*'Future Type Share'!M10*('Future EndUse Share'!Z20+'Future EndUse Share'!AB20+'Future EndUse Share'!AC20+'Future EndUse Share'!AD20)</f>
        <v>9718.4391111111127</v>
      </c>
      <c r="AG12" s="559">
        <f>'Future Type Share'!C10*'Future Type Share'!K10*0.5*('Future EndUse Share'!Z20+'Future EndUse Share'!AB20+'Future EndUse Share'!AC20+'Future EndUse Share'!AD20)</f>
        <v>0</v>
      </c>
      <c r="AH12" s="559">
        <f>'Future Type Share'!C10*'Future Type Share'!I10*('Future EndUse Share'!O20+'Future EndUse Share'!Q20+'Future EndUse Share'!R20+'Future EndUse Share'!S20)</f>
        <v>9129.7221374045803</v>
      </c>
      <c r="AI12" s="559">
        <f t="shared" si="3"/>
        <v>0</v>
      </c>
      <c r="AJ12" s="559">
        <f t="shared" si="4"/>
        <v>0</v>
      </c>
      <c r="AK12" s="559">
        <f t="shared" si="4"/>
        <v>0</v>
      </c>
      <c r="AO12" s="64">
        <v>2009</v>
      </c>
      <c r="AP12" s="559">
        <f>'Future Type Share'!C10*'Future Type Share'!M10*'Future EndUse Share'!AE20</f>
        <v>1114.9150476190478</v>
      </c>
      <c r="AQ12" s="559">
        <f>'Future Type Share'!C10*'Future Type Share'!K10*0.5*('Future EndUse Share'!T20)</f>
        <v>0</v>
      </c>
      <c r="AR12" s="559">
        <f>'Future Type Share'!C10*'Future Type Share'!I10*('Future EndUse Share'!T20)</f>
        <v>6.5367938931297713</v>
      </c>
      <c r="AS12" s="559">
        <f t="shared" si="6"/>
        <v>0</v>
      </c>
      <c r="AT12" s="559">
        <f t="shared" si="5"/>
        <v>0</v>
      </c>
      <c r="AU12" s="559">
        <f t="shared" si="5"/>
        <v>0</v>
      </c>
    </row>
    <row r="13" spans="1:47">
      <c r="A13" s="64">
        <v>2010</v>
      </c>
      <c r="B13" s="559">
        <f>'Future Type Share'!C11*'Future Type Share'!M11*'Future EndUse Share'!AA21</f>
        <v>2067.0811458436051</v>
      </c>
      <c r="C13" s="64">
        <f>'Future Type Share'!C11*'Future Type Share'!I11*0.5*'Future EndUse Share'!P21</f>
        <v>0</v>
      </c>
      <c r="D13" s="64">
        <f>'Future Type Share'!H11*'Future EndUse Share'!P21</f>
        <v>0</v>
      </c>
      <c r="E13" s="559">
        <f t="shared" si="0"/>
        <v>0</v>
      </c>
      <c r="F13" s="559">
        <f t="shared" si="1"/>
        <v>0</v>
      </c>
      <c r="G13" s="559">
        <f t="shared" si="1"/>
        <v>0</v>
      </c>
      <c r="K13" s="567">
        <v>2010</v>
      </c>
      <c r="L13" s="568">
        <f>'Future Type Share'!C11*'Future Type Share'!M11*'Future EndUse Share'!Y21</f>
        <v>6595.108761463367</v>
      </c>
      <c r="M13" s="568">
        <f>'Future Type Share'!C11*'Future Type Share'!I11*0.5*'Future EndUse Share'!N21</f>
        <v>0</v>
      </c>
      <c r="N13" s="568">
        <f>'Future Type Share'!H11*'Future EndUse Share'!N21</f>
        <v>0</v>
      </c>
      <c r="O13" s="568">
        <f t="shared" si="2"/>
        <v>0</v>
      </c>
      <c r="P13" s="567">
        <v>0</v>
      </c>
      <c r="Q13" s="567">
        <v>0</v>
      </c>
      <c r="U13" s="64">
        <v>2010</v>
      </c>
      <c r="V13" s="64">
        <v>0</v>
      </c>
      <c r="W13" s="64">
        <v>0</v>
      </c>
      <c r="X13" s="64">
        <v>0</v>
      </c>
      <c r="Y13" s="64">
        <v>0</v>
      </c>
      <c r="Z13" s="64">
        <v>0</v>
      </c>
      <c r="AA13" s="64">
        <v>0</v>
      </c>
      <c r="AE13" s="64">
        <v>2010</v>
      </c>
      <c r="AF13" s="559">
        <f>'Future Type Share'!C11*'Future Type Share'!M11*('Future EndUse Share'!Z21+'Future EndUse Share'!AB21+'Future EndUse Share'!AC21+'Future EndUse Share'!AD21)</f>
        <v>9324.6429099694305</v>
      </c>
      <c r="AG13" s="559">
        <f>'Future Type Share'!C11*'Future Type Share'!K11*0.5*('Future EndUse Share'!Z21+'Future EndUse Share'!AB21+'Future EndUse Share'!AC21+'Future EndUse Share'!AD21)</f>
        <v>0</v>
      </c>
      <c r="AH13" s="559">
        <f>'Future Type Share'!C11*'Future Type Share'!I11*('Future EndUse Share'!O21+'Future EndUse Share'!Q21+'Future EndUse Share'!R21+'Future EndUse Share'!S21)</f>
        <v>9476.4109374999989</v>
      </c>
      <c r="AI13" s="559">
        <f t="shared" si="3"/>
        <v>0</v>
      </c>
      <c r="AJ13" s="559">
        <f t="shared" si="4"/>
        <v>0</v>
      </c>
      <c r="AK13" s="559">
        <f t="shared" si="4"/>
        <v>0</v>
      </c>
      <c r="AO13" s="64">
        <v>2010</v>
      </c>
      <c r="AP13" s="559">
        <f>'Future Type Share'!C11*'Future Type Share'!M11*'Future EndUse Share'!AE21</f>
        <v>1262.2671827235974</v>
      </c>
      <c r="AQ13" s="559">
        <f>'Future Type Share'!C11*'Future Type Share'!K11*0.5*('Future EndUse Share'!T21)</f>
        <v>0</v>
      </c>
      <c r="AR13" s="559">
        <f>'Future Type Share'!C11*'Future Type Share'!I11*('Future EndUse Share'!T21)</f>
        <v>3.3667968749999999</v>
      </c>
      <c r="AS13" s="559">
        <f t="shared" si="6"/>
        <v>0</v>
      </c>
      <c r="AT13" s="559">
        <f t="shared" si="5"/>
        <v>0</v>
      </c>
      <c r="AU13" s="559">
        <f t="shared" si="5"/>
        <v>0</v>
      </c>
    </row>
    <row r="14" spans="1:47">
      <c r="A14" s="64">
        <v>2011</v>
      </c>
      <c r="B14" s="559">
        <f>'Future Type Share'!C12*'Future Type Share'!M12*'Future EndUse Share'!AA22</f>
        <v>2104.1627002266264</v>
      </c>
      <c r="C14" s="64">
        <f>'Future Type Share'!C12*'Future Type Share'!I12*0.5*'Future EndUse Share'!P22</f>
        <v>0</v>
      </c>
      <c r="D14" s="64">
        <f>'Future Type Share'!H12*'Future EndUse Share'!P22</f>
        <v>0</v>
      </c>
      <c r="E14" s="559">
        <f t="shared" si="0"/>
        <v>0</v>
      </c>
      <c r="F14" s="559">
        <f t="shared" si="1"/>
        <v>0</v>
      </c>
      <c r="G14" s="559">
        <f t="shared" si="1"/>
        <v>0</v>
      </c>
      <c r="K14" s="567">
        <v>2011</v>
      </c>
      <c r="L14" s="568">
        <f>'Future Type Share'!C12*'Future Type Share'!M12*'Future EndUse Share'!Y22</f>
        <v>6874.8074429818225</v>
      </c>
      <c r="M14" s="568">
        <f>'Future Type Share'!C12*'Future Type Share'!I12*0.5*'Future EndUse Share'!N22</f>
        <v>0</v>
      </c>
      <c r="N14" s="568">
        <f>'Future Type Share'!H12*'Future EndUse Share'!N22</f>
        <v>0</v>
      </c>
      <c r="O14" s="568">
        <f t="shared" si="2"/>
        <v>0</v>
      </c>
      <c r="P14" s="567">
        <v>0</v>
      </c>
      <c r="Q14" s="567">
        <v>0</v>
      </c>
      <c r="U14" s="64">
        <v>2011</v>
      </c>
      <c r="V14" s="64">
        <v>0</v>
      </c>
      <c r="W14" s="64">
        <v>0</v>
      </c>
      <c r="X14" s="64">
        <v>0</v>
      </c>
      <c r="Y14" s="64">
        <v>0</v>
      </c>
      <c r="Z14" s="64">
        <v>0</v>
      </c>
      <c r="AA14" s="64">
        <v>0</v>
      </c>
      <c r="AE14" s="64">
        <v>2011</v>
      </c>
      <c r="AF14" s="559">
        <f>'Future Type Share'!C12*'Future Type Share'!M12*('Future EndUse Share'!Z22+'Future EndUse Share'!AB22+'Future EndUse Share'!AC22+'Future EndUse Share'!AD22)</f>
        <v>9289.2482183326119</v>
      </c>
      <c r="AG14" s="559">
        <f>'Future Type Share'!C12*'Future Type Share'!K12*0.5*('Future EndUse Share'!Z22+'Future EndUse Share'!AB22+'Future EndUse Share'!AC22+'Future EndUse Share'!AD22)</f>
        <v>0</v>
      </c>
      <c r="AH14" s="559">
        <f>'Future Type Share'!C12*'Future Type Share'!I12*('Future EndUse Share'!O22+'Future EndUse Share'!Q22+'Future EndUse Share'!R22+'Future EndUse Share'!S22)</f>
        <v>9315.2157364526156</v>
      </c>
      <c r="AI14" s="559">
        <f t="shared" si="3"/>
        <v>0</v>
      </c>
      <c r="AJ14" s="559">
        <f t="shared" si="4"/>
        <v>0</v>
      </c>
      <c r="AK14" s="559">
        <f t="shared" si="4"/>
        <v>0</v>
      </c>
      <c r="AO14" s="64">
        <v>2011</v>
      </c>
      <c r="AP14" s="559">
        <f>'Future Type Share'!C12*'Future Type Share'!M12*'Future EndUse Share'!AE22</f>
        <v>1531.3416384589423</v>
      </c>
      <c r="AQ14" s="559">
        <f>'Future Type Share'!C12*'Future Type Share'!K12*0.5*('Future EndUse Share'!T22)</f>
        <v>0</v>
      </c>
      <c r="AR14" s="559">
        <f>'Future Type Share'!C12*'Future Type Share'!I12*('Future EndUse Share'!T22)</f>
        <v>2.2242635473860108</v>
      </c>
      <c r="AS14" s="559">
        <f t="shared" si="6"/>
        <v>0</v>
      </c>
      <c r="AT14" s="559">
        <f t="shared" si="5"/>
        <v>0</v>
      </c>
      <c r="AU14" s="559">
        <f t="shared" si="5"/>
        <v>0</v>
      </c>
    </row>
    <row r="15" spans="1:47">
      <c r="A15" s="64">
        <v>2012</v>
      </c>
      <c r="B15" s="559">
        <f>'Future Type Share'!C13*'Future Type Share'!M13*'Future EndUse Share'!AA23</f>
        <v>2103.8161528662417</v>
      </c>
      <c r="C15" s="64">
        <f>'Future Type Share'!C13*'Future Type Share'!I13*0.5*'Future EndUse Share'!P23</f>
        <v>0</v>
      </c>
      <c r="D15" s="64">
        <f>'Future Type Share'!H13*'Future EndUse Share'!P23</f>
        <v>0</v>
      </c>
      <c r="E15" s="559">
        <f t="shared" ref="E15:E20" si="7">C15</f>
        <v>0</v>
      </c>
      <c r="F15" s="64">
        <v>0</v>
      </c>
      <c r="G15" s="64">
        <v>0</v>
      </c>
      <c r="K15" s="567">
        <v>2012</v>
      </c>
      <c r="L15" s="568">
        <f>'Future Type Share'!C13*'Future Type Share'!M13*'Future EndUse Share'!Y23</f>
        <v>7016.5317707006361</v>
      </c>
      <c r="M15" s="568">
        <f>'Future Type Share'!C13*'Future Type Share'!I13*0.5*'Future EndUse Share'!N23</f>
        <v>0</v>
      </c>
      <c r="N15" s="568">
        <f>'Future Type Share'!H13*'Future EndUse Share'!N23</f>
        <v>0</v>
      </c>
      <c r="O15" s="568">
        <f t="shared" si="2"/>
        <v>0</v>
      </c>
      <c r="P15" s="567">
        <v>0</v>
      </c>
      <c r="Q15" s="567">
        <v>0</v>
      </c>
      <c r="U15" s="64">
        <v>2012</v>
      </c>
      <c r="V15" s="64">
        <v>0</v>
      </c>
      <c r="W15" s="64">
        <v>0</v>
      </c>
      <c r="X15" s="64">
        <v>0</v>
      </c>
      <c r="Y15" s="64">
        <v>0</v>
      </c>
      <c r="Z15" s="64">
        <v>0</v>
      </c>
      <c r="AA15" s="64">
        <v>0</v>
      </c>
      <c r="AE15" s="64">
        <v>2012</v>
      </c>
      <c r="AF15" s="559">
        <f>'Future Type Share'!C13*'Future Type Share'!M13*('Future EndUse Share'!Z23+'Future EndUse Share'!AB23+'Future EndUse Share'!AC23+'Future EndUse Share'!AD23)</f>
        <v>9160.3661656050954</v>
      </c>
      <c r="AG15" s="559">
        <f>'Future Type Share'!C13*'Future Type Share'!K13*0.5*('Future EndUse Share'!Z23+'Future EndUse Share'!AB23+'Future EndUse Share'!AC23+'Future EndUse Share'!AD23)</f>
        <v>0</v>
      </c>
      <c r="AH15" s="559">
        <f>'Future Type Share'!C13*'Future Type Share'!I13*('Future EndUse Share'!O23+'Future EndUse Share'!Q23+'Future EndUse Share'!R23+'Future EndUse Share'!S23)</f>
        <v>9073.08</v>
      </c>
      <c r="AI15" s="559">
        <f t="shared" ref="AI15:AI20" si="8">AG15</f>
        <v>0</v>
      </c>
      <c r="AJ15" s="64">
        <v>0</v>
      </c>
      <c r="AK15" s="64">
        <v>0</v>
      </c>
      <c r="AO15" s="64">
        <v>2012</v>
      </c>
      <c r="AP15" s="559">
        <f>'Future Type Share'!C13*'Future Type Share'!M13*'Future EndUse Share'!AE23</f>
        <v>1912.3002802547771</v>
      </c>
      <c r="AQ15" s="559">
        <f>'Future Type Share'!C13*'Future Type Share'!K13*0.5*('Future EndUse Share'!T23)</f>
        <v>0</v>
      </c>
      <c r="AR15" s="559">
        <f>'Future Type Share'!C13*'Future Type Share'!I13*('Future EndUse Share'!T23)</f>
        <v>1.1238795986622074</v>
      </c>
      <c r="AS15" s="559">
        <f t="shared" ref="AS15:AS20" si="9">AQ15</f>
        <v>0</v>
      </c>
      <c r="AT15" s="64">
        <v>0</v>
      </c>
      <c r="AU15" s="64">
        <v>0</v>
      </c>
    </row>
    <row r="16" spans="1:47">
      <c r="A16" s="64">
        <v>2013</v>
      </c>
      <c r="B16" s="559">
        <f>'Future Type Share'!C14*'Future Type Share'!M14*'Future EndUse Share'!AA24</f>
        <v>1975.9632058536586</v>
      </c>
      <c r="C16" s="64">
        <f>'Future Type Share'!C14*'Future Type Share'!I14*0.5*'Future EndUse Share'!P24</f>
        <v>0</v>
      </c>
      <c r="D16" s="64">
        <f>'Future Type Share'!H14*'Future EndUse Share'!P24</f>
        <v>0</v>
      </c>
      <c r="E16" s="559">
        <f t="shared" si="7"/>
        <v>0</v>
      </c>
      <c r="F16" s="64">
        <v>0</v>
      </c>
      <c r="G16" s="64">
        <v>0</v>
      </c>
      <c r="K16" s="567">
        <v>2013</v>
      </c>
      <c r="L16" s="568">
        <f>'Future Type Share'!C14*'Future Type Share'!M14*'Future EndUse Share'!Y24</f>
        <v>6131.4223082926837</v>
      </c>
      <c r="M16" s="568">
        <f>'Future Type Share'!C14*'Future Type Share'!I14*0.5*'Future EndUse Share'!N24</f>
        <v>0</v>
      </c>
      <c r="N16" s="568">
        <f>'Future Type Share'!H14*'Future EndUse Share'!N24</f>
        <v>0</v>
      </c>
      <c r="O16" s="568">
        <f t="shared" si="2"/>
        <v>0</v>
      </c>
      <c r="P16" s="567">
        <v>0</v>
      </c>
      <c r="Q16" s="567">
        <v>0</v>
      </c>
      <c r="U16" s="64">
        <v>2013</v>
      </c>
      <c r="V16" s="64">
        <v>0</v>
      </c>
      <c r="W16" s="64">
        <v>0</v>
      </c>
      <c r="X16" s="64">
        <v>0</v>
      </c>
      <c r="Y16" s="64">
        <v>0</v>
      </c>
      <c r="Z16" s="64">
        <v>0</v>
      </c>
      <c r="AA16" s="64">
        <v>0</v>
      </c>
      <c r="AE16" s="64">
        <v>2013</v>
      </c>
      <c r="AF16" s="559">
        <f>'Future Type Share'!C14*'Future Type Share'!M14*('Future EndUse Share'!Z24+'Future EndUse Share'!AB24+'Future EndUse Share'!AC24+'Future EndUse Share'!AD24)</f>
        <v>9179.7012643902453</v>
      </c>
      <c r="AG16" s="559">
        <f>'Future Type Share'!C14*'Future Type Share'!K14*0.5*('Future EndUse Share'!Z24+'Future EndUse Share'!AB24+'Future EndUse Share'!AC24+'Future EndUse Share'!AD24)</f>
        <v>0</v>
      </c>
      <c r="AH16" s="559">
        <f>'Future Type Share'!C14*'Future Type Share'!I14*('Future EndUse Share'!O24+'Future EndUse Share'!Q24+'Future EndUse Share'!R24+'Future EndUse Share'!S24)</f>
        <v>9087.9407107626157</v>
      </c>
      <c r="AI16" s="559">
        <f t="shared" si="8"/>
        <v>0</v>
      </c>
      <c r="AJ16" s="64">
        <v>0</v>
      </c>
      <c r="AK16" s="64">
        <v>0</v>
      </c>
      <c r="AO16" s="64">
        <v>2013</v>
      </c>
      <c r="AP16" s="559">
        <f>'Future Type Share'!C14*'Future Type Share'!M14*'Future EndUse Share'!AE24</f>
        <v>2030.6155024390246</v>
      </c>
      <c r="AQ16" s="559">
        <f>'Future Type Share'!C14*'Future Type Share'!K14*0.5*('Future EndUse Share'!T24)</f>
        <v>0</v>
      </c>
      <c r="AR16" s="559">
        <f>'Future Type Share'!C14*'Future Type Share'!I14*('Future EndUse Share'!T24)</f>
        <v>0</v>
      </c>
      <c r="AS16" s="559">
        <f t="shared" si="9"/>
        <v>0</v>
      </c>
      <c r="AT16" s="64">
        <v>0</v>
      </c>
      <c r="AU16" s="64">
        <v>0</v>
      </c>
    </row>
    <row r="17" spans="1:47">
      <c r="A17" s="64">
        <v>2014</v>
      </c>
      <c r="B17" s="559">
        <f>'Future Type Share'!C15*'Future Type Share'!M15*'Future EndUse Share'!AA25</f>
        <v>1974.2573483704821</v>
      </c>
      <c r="C17" s="64">
        <f>'Future Type Share'!C15*'Future Type Share'!I15*0.5*'Future EndUse Share'!P25</f>
        <v>0</v>
      </c>
      <c r="D17" s="64">
        <f>'Future Type Share'!H15*'Future EndUse Share'!P25</f>
        <v>0</v>
      </c>
      <c r="E17" s="559">
        <f t="shared" si="7"/>
        <v>0</v>
      </c>
      <c r="F17" s="64">
        <v>0</v>
      </c>
      <c r="G17" s="64">
        <v>0</v>
      </c>
      <c r="K17" s="567">
        <v>2014</v>
      </c>
      <c r="L17" s="568">
        <f>'Future Type Share'!C15*'Future Type Share'!M15*'Future EndUse Share'!Y25</f>
        <v>7981.3426871503416</v>
      </c>
      <c r="M17" s="568">
        <f>'Future Type Share'!C15*'Future Type Share'!I15*0.5*'Future EndUse Share'!N25</f>
        <v>0</v>
      </c>
      <c r="N17" s="568">
        <f>'Future Type Share'!H15*'Future EndUse Share'!N25</f>
        <v>0</v>
      </c>
      <c r="O17" s="568">
        <f t="shared" si="2"/>
        <v>0</v>
      </c>
      <c r="P17" s="567">
        <v>0</v>
      </c>
      <c r="Q17" s="567">
        <v>0</v>
      </c>
      <c r="U17" s="64">
        <v>2014</v>
      </c>
      <c r="V17" s="64">
        <v>0</v>
      </c>
      <c r="W17" s="64">
        <v>0</v>
      </c>
      <c r="X17" s="64">
        <v>0</v>
      </c>
      <c r="Y17" s="64">
        <v>0</v>
      </c>
      <c r="Z17" s="64">
        <v>0</v>
      </c>
      <c r="AA17" s="64">
        <v>0</v>
      </c>
      <c r="AE17" s="64">
        <v>2014</v>
      </c>
      <c r="AF17" s="559">
        <f>'Future Type Share'!C15*'Future Type Share'!M15*('Future EndUse Share'!Z25+'Future EndUse Share'!AB25+'Future EndUse Share'!AC25+'Future EndUse Share'!AD25)</f>
        <v>9351.1968741674809</v>
      </c>
      <c r="AG17" s="559">
        <f>'Future Type Share'!C15*'Future Type Share'!K15*0.5*('Future EndUse Share'!Z25+'Future EndUse Share'!AB25+'Future EndUse Share'!AC25+'Future EndUse Share'!AD25)</f>
        <v>0</v>
      </c>
      <c r="AH17" s="559">
        <f>'Future Type Share'!C15*'Future Type Share'!I15*('Future EndUse Share'!O25+'Future EndUse Share'!Q25+'Future EndUse Share'!R25+'Future EndUse Share'!S25)</f>
        <v>9142.8509675797941</v>
      </c>
      <c r="AI17" s="559">
        <f t="shared" si="8"/>
        <v>0</v>
      </c>
      <c r="AJ17" s="64">
        <v>0</v>
      </c>
      <c r="AK17" s="64">
        <v>0</v>
      </c>
      <c r="AO17" s="64">
        <v>2014</v>
      </c>
      <c r="AP17" s="559">
        <f>'Future Type Share'!C15*'Future Type Share'!M15*'Future EndUse Share'!AE25</f>
        <v>2029.2030903116952</v>
      </c>
      <c r="AQ17" s="559">
        <f>'Future Type Share'!C15*'Future Type Share'!K15*0.5*('Future EndUse Share'!T25)</f>
        <v>0</v>
      </c>
      <c r="AR17" s="559">
        <f>'Future Type Share'!C15*'Future Type Share'!I15*('Future EndUse Share'!T25)</f>
        <v>1.1490324202060818</v>
      </c>
      <c r="AS17" s="559">
        <f t="shared" si="9"/>
        <v>0</v>
      </c>
      <c r="AT17" s="64">
        <v>0</v>
      </c>
      <c r="AU17" s="64">
        <v>0</v>
      </c>
    </row>
    <row r="18" spans="1:47">
      <c r="A18" s="64">
        <v>2015</v>
      </c>
      <c r="B18" s="559">
        <f>'Future Type Share'!C16*'Future Type Share'!M16*'Future EndUse Share'!AA26</f>
        <v>1880.4692931633836</v>
      </c>
      <c r="C18" s="64">
        <f>'Future Type Share'!C16*'Future Type Share'!I16*0.5*'Future EndUse Share'!P26</f>
        <v>0</v>
      </c>
      <c r="D18" s="64">
        <f>'Future Type Share'!H16*'Future EndUse Share'!P26</f>
        <v>0</v>
      </c>
      <c r="E18" s="559">
        <f t="shared" si="7"/>
        <v>0</v>
      </c>
      <c r="F18" s="64">
        <v>0</v>
      </c>
      <c r="G18" s="64">
        <v>0</v>
      </c>
      <c r="K18" s="567">
        <v>2015</v>
      </c>
      <c r="L18" s="568">
        <f>'Future Type Share'!C16*'Future Type Share'!M16*'Future EndUse Share'!Y26</f>
        <v>7631.4924681344155</v>
      </c>
      <c r="M18" s="568">
        <f>'Future Type Share'!C16*'Future Type Share'!I16*0.5*'Future EndUse Share'!N26</f>
        <v>0</v>
      </c>
      <c r="N18" s="568">
        <f>'Future Type Share'!H16*'Future EndUse Share'!N26</f>
        <v>0</v>
      </c>
      <c r="O18" s="568">
        <f t="shared" si="2"/>
        <v>0</v>
      </c>
      <c r="P18" s="567">
        <v>0</v>
      </c>
      <c r="Q18" s="567">
        <v>0</v>
      </c>
      <c r="U18" s="64">
        <v>2015</v>
      </c>
      <c r="V18" s="64">
        <v>0</v>
      </c>
      <c r="W18" s="64">
        <v>0</v>
      </c>
      <c r="X18" s="64">
        <v>0</v>
      </c>
      <c r="Y18" s="64">
        <v>0</v>
      </c>
      <c r="Z18" s="64">
        <v>0</v>
      </c>
      <c r="AA18" s="64">
        <v>0</v>
      </c>
      <c r="AE18" s="64">
        <v>2015</v>
      </c>
      <c r="AF18" s="559">
        <f>'Future Type Share'!C16*'Future Type Share'!M16*('Future EndUse Share'!Z26+'Future EndUse Share'!AB26+'Future EndUse Share'!AC26+'Future EndUse Share'!AD26)</f>
        <v>8943.0961761297804</v>
      </c>
      <c r="AG18" s="559">
        <f>'Future Type Share'!C16*'Future Type Share'!K16*0.5*('Future EndUse Share'!Z26+'Future EndUse Share'!AB26+'Future EndUse Share'!AC26+'Future EndUse Share'!AD26)</f>
        <v>0</v>
      </c>
      <c r="AH18" s="559">
        <f>'Future Type Share'!C16*'Future Type Share'!I16*('Future EndUse Share'!O26+'Future EndUse Share'!Q26+'Future EndUse Share'!R26+'Future EndUse Share'!S26)</f>
        <v>8736.342715231789</v>
      </c>
      <c r="AI18" s="559">
        <f t="shared" si="8"/>
        <v>0</v>
      </c>
      <c r="AJ18" s="64">
        <v>0</v>
      </c>
      <c r="AK18" s="64">
        <v>0</v>
      </c>
      <c r="AO18" s="64">
        <v>2015</v>
      </c>
      <c r="AP18" s="559">
        <f>'Future Type Share'!C16*'Future Type Share'!M16*'Future EndUse Share'!AE26</f>
        <v>1932.4420625724217</v>
      </c>
      <c r="AQ18" s="559">
        <f>'Future Type Share'!C16*'Future Type Share'!K16*0.5*('Future EndUse Share'!T26)</f>
        <v>0</v>
      </c>
      <c r="AR18" s="559">
        <f>'Future Type Share'!C16*'Future Type Share'!I16*('Future EndUse Share'!T26)</f>
        <v>1.1572847682119205</v>
      </c>
      <c r="AS18" s="559">
        <f t="shared" si="9"/>
        <v>0</v>
      </c>
      <c r="AT18" s="64">
        <v>0</v>
      </c>
      <c r="AU18" s="64">
        <v>0</v>
      </c>
    </row>
    <row r="19" spans="1:47">
      <c r="A19" s="64">
        <v>2016</v>
      </c>
      <c r="B19" s="559">
        <f>'Future Type Share'!C17*'Future Type Share'!M17*'Future EndUse Share'!AA27</f>
        <v>1994.6354485776803</v>
      </c>
      <c r="C19" s="64">
        <f>'Future Type Share'!C17*'Future Type Share'!I17*0.5*'Future EndUse Share'!P27</f>
        <v>0</v>
      </c>
      <c r="D19" s="64">
        <f>'Future Type Share'!H17*'Future EndUse Share'!P27</f>
        <v>0</v>
      </c>
      <c r="E19" s="559">
        <f t="shared" si="7"/>
        <v>0</v>
      </c>
      <c r="F19" s="64">
        <v>0</v>
      </c>
      <c r="G19" s="64">
        <v>0</v>
      </c>
      <c r="K19" s="567">
        <v>2016</v>
      </c>
      <c r="L19" s="568">
        <f>'Future Type Share'!C17*'Future Type Share'!M17*'Future EndUse Share'!Y27</f>
        <v>7759.8608315098463</v>
      </c>
      <c r="M19" s="568">
        <f>'Future Type Share'!C17*'Future Type Share'!I17*0.5*'Future EndUse Share'!N27</f>
        <v>0</v>
      </c>
      <c r="N19" s="568">
        <f>'Future Type Share'!H17*'Future EndUse Share'!N27</f>
        <v>0</v>
      </c>
      <c r="O19" s="568">
        <f t="shared" si="2"/>
        <v>0</v>
      </c>
      <c r="P19" s="567">
        <v>0</v>
      </c>
      <c r="Q19" s="567">
        <v>0</v>
      </c>
      <c r="U19" s="64">
        <v>2016</v>
      </c>
      <c r="V19" s="64">
        <v>0</v>
      </c>
      <c r="W19" s="64">
        <v>0</v>
      </c>
      <c r="X19" s="64">
        <v>0</v>
      </c>
      <c r="Y19" s="64">
        <v>0</v>
      </c>
      <c r="Z19" s="64">
        <v>0</v>
      </c>
      <c r="AA19" s="64">
        <v>0</v>
      </c>
      <c r="AE19" s="64">
        <v>2016</v>
      </c>
      <c r="AF19" s="559">
        <f>'Future Type Share'!C17*'Future Type Share'!M17*('Future EndUse Share'!Z27+'Future EndUse Share'!AB27+'Future EndUse Share'!AC27+'Future EndUse Share'!AD27)</f>
        <v>9394.761362925914</v>
      </c>
      <c r="AG19" s="559">
        <f>'Future Type Share'!C17*'Future Type Share'!K17*0.5*('Future EndUse Share'!Z27+'Future EndUse Share'!AB27+'Future EndUse Share'!AC27+'Future EndUse Share'!AD27)</f>
        <v>0</v>
      </c>
      <c r="AH19" s="559">
        <f>'Future Type Share'!C17*'Future Type Share'!I17*('Future EndUse Share'!O27+'Future EndUse Share'!Q27+'Future EndUse Share'!R27+'Future EndUse Share'!S27)</f>
        <v>9082.8973260676703</v>
      </c>
      <c r="AI19" s="559">
        <f t="shared" si="8"/>
        <v>0</v>
      </c>
      <c r="AJ19" s="64">
        <v>0</v>
      </c>
      <c r="AK19" s="64">
        <v>0</v>
      </c>
      <c r="AO19" s="64">
        <v>2016</v>
      </c>
      <c r="AP19" s="559">
        <f>'Future Type Share'!C17*'Future Type Share'!M17*'Future EndUse Share'!AE27</f>
        <v>2050.4890278211938</v>
      </c>
      <c r="AQ19" s="559">
        <f>'Future Type Share'!C17*'Future Type Share'!K17*0.5*('Future EndUse Share'!T27)</f>
        <v>0</v>
      </c>
      <c r="AR19" s="559">
        <f>'Future Type Share'!C17*'Future Type Share'!I17*('Future EndUse Share'!T27)</f>
        <v>1.1513369661639843</v>
      </c>
      <c r="AS19" s="559">
        <f t="shared" si="9"/>
        <v>0</v>
      </c>
      <c r="AT19" s="64">
        <v>0</v>
      </c>
      <c r="AU19" s="64">
        <v>0</v>
      </c>
    </row>
    <row r="20" spans="1:47">
      <c r="A20" s="103">
        <v>2017</v>
      </c>
      <c r="B20" s="62">
        <f>'Future Type Share'!L18*'Future EndUse Share'!AA28</f>
        <v>1849.6123030300207</v>
      </c>
      <c r="C20" s="103">
        <f>'Future Type Share'!C18*'Future Type Share'!I18*0.5*'Future EndUse Share'!P28</f>
        <v>0</v>
      </c>
      <c r="D20" s="103">
        <f>'Future Type Share'!H18*'Future EndUse Share'!P28</f>
        <v>0</v>
      </c>
      <c r="E20" s="62">
        <f t="shared" si="7"/>
        <v>0</v>
      </c>
      <c r="F20" s="103">
        <f>F19</f>
        <v>0</v>
      </c>
      <c r="G20" s="103">
        <f>G19</f>
        <v>0</v>
      </c>
      <c r="K20" s="103">
        <v>2017</v>
      </c>
      <c r="L20" s="62">
        <f>'Future Type Share'!L18*'Future EndUse Share'!Y28</f>
        <v>8746.6563642629571</v>
      </c>
      <c r="M20" s="62">
        <f>M19</f>
        <v>0</v>
      </c>
      <c r="N20" s="62">
        <f>'Future Type Share'!H18*'Future EndUse Share'!N28</f>
        <v>0</v>
      </c>
      <c r="O20" s="62">
        <f>O19</f>
        <v>0</v>
      </c>
      <c r="P20" s="62">
        <f>P19</f>
        <v>0</v>
      </c>
      <c r="Q20" s="62">
        <f>Q19</f>
        <v>0</v>
      </c>
      <c r="U20" s="103">
        <v>2017</v>
      </c>
      <c r="V20" s="62">
        <f t="shared" ref="V20:V53" si="10">V19</f>
        <v>0</v>
      </c>
      <c r="W20" s="62">
        <f>W19</f>
        <v>0</v>
      </c>
      <c r="X20" s="62">
        <f>X19</f>
        <v>0</v>
      </c>
      <c r="Y20" s="62">
        <f>Y19</f>
        <v>0</v>
      </c>
      <c r="Z20" s="62">
        <f>Z19</f>
        <v>0</v>
      </c>
      <c r="AA20" s="62">
        <f t="shared" ref="AA20:AA53" si="11">AA19</f>
        <v>0</v>
      </c>
      <c r="AE20" s="103">
        <v>2017</v>
      </c>
      <c r="AF20" s="62">
        <f>'Future Type Share'!L18*('Future EndUse Share'!Z28+'Future EndUse Share'!AB28+'Future EndUse Share'!AC28+'Future EndUse Share'!AD28)</f>
        <v>8951.0695785066546</v>
      </c>
      <c r="AG20" s="103">
        <f>'Future Type Share'!C18*'Future Type Share'!K18*0.5*('Future EndUse Share'!Z28+'Future EndUse Share'!AB28+'Future EndUse Share'!AC28+'Future EndUse Share'!AD28)</f>
        <v>0</v>
      </c>
      <c r="AH20" s="103">
        <f>'Future Type Share'!C18*'Future Type Share'!I18*('Future EndUse Share'!O28+'Future EndUse Share'!Q28+'Future EndUse Share'!R28+'Future EndUse Share'!S28)</f>
        <v>9061.951748503805</v>
      </c>
      <c r="AI20" s="62">
        <f t="shared" si="8"/>
        <v>0</v>
      </c>
      <c r="AJ20" s="103">
        <f>AJ19</f>
        <v>0</v>
      </c>
      <c r="AK20" s="103">
        <f>AK19</f>
        <v>0</v>
      </c>
      <c r="AO20" s="103">
        <v>2017</v>
      </c>
      <c r="AP20" s="62">
        <f>'Future Type Share'!L18*('Future EndUse Share'!AE28)</f>
        <v>2216.4331865202921</v>
      </c>
      <c r="AQ20" s="62">
        <f>'Future Type Share'!J18*0.5*('Future EndUse Share'!T17)</f>
        <v>0</v>
      </c>
      <c r="AR20" s="62">
        <f>'Future Type Share'!H18*0.5*('Future EndUse Share'!T28)</f>
        <v>0.5742681716415593</v>
      </c>
      <c r="AS20" s="62">
        <f t="shared" si="9"/>
        <v>0</v>
      </c>
      <c r="AT20" s="103">
        <f>AT19</f>
        <v>0</v>
      </c>
      <c r="AU20" s="103">
        <f>AU19</f>
        <v>0</v>
      </c>
    </row>
    <row r="21" spans="1:47">
      <c r="A21" s="103">
        <v>2018</v>
      </c>
      <c r="B21" s="62">
        <f>'Future Type Share'!L19*'Future EndUse Share'!AA29</f>
        <v>1872.3890812117243</v>
      </c>
      <c r="C21" s="103">
        <f>'Future Type Share'!C19*'Future Type Share'!I19*0.5*'Future EndUse Share'!P29</f>
        <v>0</v>
      </c>
      <c r="D21" s="103">
        <f>'Future Type Share'!H19*'Future EndUse Share'!P29</f>
        <v>0</v>
      </c>
      <c r="E21" s="62">
        <f t="shared" ref="E21:E53" si="12">C21</f>
        <v>0</v>
      </c>
      <c r="F21" s="103">
        <f t="shared" ref="F21:F53" si="13">F20</f>
        <v>0</v>
      </c>
      <c r="G21" s="103">
        <f t="shared" ref="G21:G53" si="14">G20</f>
        <v>0</v>
      </c>
      <c r="K21" s="103">
        <v>2018</v>
      </c>
      <c r="L21" s="62">
        <f>'Future Type Share'!L19*'Future EndUse Share'!Y29</f>
        <v>8963.2492075511909</v>
      </c>
      <c r="M21" s="62">
        <f t="shared" ref="M21:M53" si="15">M20</f>
        <v>0</v>
      </c>
      <c r="N21" s="62">
        <f>'Future Type Share'!H19*'Future EndUse Share'!N29</f>
        <v>0</v>
      </c>
      <c r="O21" s="62">
        <f t="shared" ref="O21:O53" si="16">O20</f>
        <v>0</v>
      </c>
      <c r="P21" s="62">
        <f t="shared" ref="P21:P53" si="17">P20</f>
        <v>0</v>
      </c>
      <c r="Q21" s="62">
        <f t="shared" ref="Q21:Q53" si="18">Q20</f>
        <v>0</v>
      </c>
      <c r="U21" s="103">
        <v>2018</v>
      </c>
      <c r="V21" s="62">
        <f t="shared" si="10"/>
        <v>0</v>
      </c>
      <c r="W21" s="62">
        <f t="shared" ref="W21:W53" si="19">W20</f>
        <v>0</v>
      </c>
      <c r="X21" s="62">
        <f t="shared" ref="X21:X53" si="20">X20</f>
        <v>0</v>
      </c>
      <c r="Y21" s="62">
        <f t="shared" ref="Y21:Y53" si="21">Y20</f>
        <v>0</v>
      </c>
      <c r="Z21" s="62">
        <f t="shared" ref="Z21:Z53" si="22">Z20</f>
        <v>0</v>
      </c>
      <c r="AA21" s="62">
        <f t="shared" si="11"/>
        <v>0</v>
      </c>
      <c r="AE21" s="103">
        <v>2018</v>
      </c>
      <c r="AF21" s="62">
        <f>'Future Type Share'!L19*('Future EndUse Share'!Z29+'Future EndUse Share'!AB29+'Future EndUse Share'!AC29+'Future EndUse Share'!AD29)</f>
        <v>9071.0155309900019</v>
      </c>
      <c r="AG21" s="103">
        <f>'Future Type Share'!C19*'Future Type Share'!K19*0.5*('Future EndUse Share'!Z29+'Future EndUse Share'!AB29+'Future EndUse Share'!AC29+'Future EndUse Share'!AD29)</f>
        <v>0</v>
      </c>
      <c r="AH21" s="103">
        <f>'Future Type Share'!C19*'Future Type Share'!I19*('Future EndUse Share'!O29+'Future EndUse Share'!Q29+'Future EndUse Share'!R29+'Future EndUse Share'!S29)</f>
        <v>9043.0605108666969</v>
      </c>
      <c r="AI21" s="62">
        <f t="shared" ref="AI21:AI53" si="23">AG21</f>
        <v>0</v>
      </c>
      <c r="AJ21" s="103">
        <f t="shared" ref="AJ21:AJ53" si="24">AJ20</f>
        <v>0</v>
      </c>
      <c r="AK21" s="103">
        <f t="shared" ref="AK21:AK53" si="25">AK20</f>
        <v>0</v>
      </c>
      <c r="AO21" s="103">
        <v>2018</v>
      </c>
      <c r="AP21" s="62">
        <f>'Future Type Share'!L19*('Future EndUse Share'!AE29)</f>
        <v>2255.6242142258725</v>
      </c>
      <c r="AQ21" s="62">
        <f>'Future Type Share'!J19*0.5*('Future EndUse Share'!T18)</f>
        <v>0</v>
      </c>
      <c r="AR21" s="62">
        <f>'Future Type Share'!H19*0.5*('Future EndUse Share'!T29)</f>
        <v>0.57307100829320012</v>
      </c>
      <c r="AS21" s="62">
        <f t="shared" ref="AS21:AS53" si="26">AQ21</f>
        <v>0</v>
      </c>
      <c r="AT21" s="103">
        <f t="shared" ref="AT21:AT53" si="27">AT20</f>
        <v>0</v>
      </c>
      <c r="AU21" s="103">
        <f t="shared" ref="AU21:AU53" si="28">AU20</f>
        <v>0</v>
      </c>
    </row>
    <row r="22" spans="1:47">
      <c r="A22" s="103">
        <v>2019</v>
      </c>
      <c r="B22" s="62">
        <f>'Future Type Share'!L20*'Future EndUse Share'!AA30</f>
        <v>1893.3476419294061</v>
      </c>
      <c r="C22" s="103">
        <f>'Future Type Share'!C20*'Future Type Share'!I20*0.5*'Future EndUse Share'!P30</f>
        <v>0</v>
      </c>
      <c r="D22" s="103">
        <f>'Future Type Share'!H20*'Future EndUse Share'!P30</f>
        <v>0</v>
      </c>
      <c r="E22" s="62">
        <f t="shared" si="12"/>
        <v>0</v>
      </c>
      <c r="F22" s="103">
        <f t="shared" si="13"/>
        <v>0</v>
      </c>
      <c r="G22" s="103">
        <f t="shared" si="14"/>
        <v>0</v>
      </c>
      <c r="K22" s="103">
        <v>2019</v>
      </c>
      <c r="L22" s="62">
        <f>'Future Type Share'!L20*'Future EndUse Share'!Y30</f>
        <v>9173.6814282689757</v>
      </c>
      <c r="M22" s="62">
        <f t="shared" si="15"/>
        <v>0</v>
      </c>
      <c r="N22" s="62">
        <f>'Future Type Share'!H20*'Future EndUse Share'!N30</f>
        <v>0</v>
      </c>
      <c r="O22" s="62">
        <f t="shared" si="16"/>
        <v>0</v>
      </c>
      <c r="P22" s="62">
        <f t="shared" si="17"/>
        <v>0</v>
      </c>
      <c r="Q22" s="62">
        <f t="shared" si="18"/>
        <v>0</v>
      </c>
      <c r="U22" s="103">
        <v>2019</v>
      </c>
      <c r="V22" s="62">
        <f t="shared" si="10"/>
        <v>0</v>
      </c>
      <c r="W22" s="62">
        <f t="shared" si="19"/>
        <v>0</v>
      </c>
      <c r="X22" s="62">
        <f t="shared" si="20"/>
        <v>0</v>
      </c>
      <c r="Y22" s="62">
        <f t="shared" si="21"/>
        <v>0</v>
      </c>
      <c r="Z22" s="62">
        <f t="shared" si="22"/>
        <v>0</v>
      </c>
      <c r="AA22" s="62">
        <f t="shared" si="11"/>
        <v>0</v>
      </c>
      <c r="AE22" s="103">
        <v>2019</v>
      </c>
      <c r="AF22" s="62">
        <f>'Future Type Share'!L20*('Future EndUse Share'!Z30+'Future EndUse Share'!AB30+'Future EndUse Share'!AC30+'Future EndUse Share'!AD30)</f>
        <v>9182.3799332803719</v>
      </c>
      <c r="AG22" s="103">
        <f>'Future Type Share'!C20*'Future Type Share'!K20*0.5*('Future EndUse Share'!Z30+'Future EndUse Share'!AB30+'Future EndUse Share'!AC30+'Future EndUse Share'!AD30)</f>
        <v>0</v>
      </c>
      <c r="AH22" s="103">
        <f>'Future Type Share'!C20*'Future Type Share'!I20*('Future EndUse Share'!O30+'Future EndUse Share'!Q30+'Future EndUse Share'!R30+'Future EndUse Share'!S30)</f>
        <v>9012.3400105862474</v>
      </c>
      <c r="AI22" s="62">
        <f t="shared" si="23"/>
        <v>0</v>
      </c>
      <c r="AJ22" s="103">
        <f t="shared" si="24"/>
        <v>0</v>
      </c>
      <c r="AK22" s="103">
        <f t="shared" si="25"/>
        <v>0</v>
      </c>
      <c r="AO22" s="103">
        <v>2019</v>
      </c>
      <c r="AP22" s="62">
        <f>'Future Type Share'!L20*('Future EndUse Share'!AE30)</f>
        <v>2292.9027696747121</v>
      </c>
      <c r="AQ22" s="62">
        <f>'Future Type Share'!J20*0.5*('Future EndUse Share'!T19)</f>
        <v>0</v>
      </c>
      <c r="AR22" s="62">
        <f>'Future Type Share'!H20*0.5*('Future EndUse Share'!T30)</f>
        <v>0.5711242085289131</v>
      </c>
      <c r="AS22" s="62">
        <f t="shared" si="26"/>
        <v>0</v>
      </c>
      <c r="AT22" s="103">
        <f t="shared" si="27"/>
        <v>0</v>
      </c>
      <c r="AU22" s="103">
        <f t="shared" si="28"/>
        <v>0</v>
      </c>
    </row>
    <row r="23" spans="1:47">
      <c r="A23" s="103">
        <v>2020</v>
      </c>
      <c r="B23" s="62">
        <f>'Future Type Share'!L21*'Future EndUse Share'!AA31</f>
        <v>1915.4019501955217</v>
      </c>
      <c r="C23" s="103">
        <f>'Future Type Share'!C21*'Future Type Share'!I21*0.5*'Future EndUse Share'!P31</f>
        <v>0</v>
      </c>
      <c r="D23" s="103">
        <f>'Future Type Share'!H21*'Future EndUse Share'!P31</f>
        <v>0</v>
      </c>
      <c r="E23" s="62">
        <f t="shared" si="12"/>
        <v>0</v>
      </c>
      <c r="F23" s="103">
        <f t="shared" si="13"/>
        <v>0</v>
      </c>
      <c r="G23" s="103">
        <f t="shared" si="14"/>
        <v>0</v>
      </c>
      <c r="K23" s="103">
        <v>2020</v>
      </c>
      <c r="L23" s="62">
        <f>'Future Type Share'!L21*'Future EndUse Share'!Y31</f>
        <v>9391.9240747422755</v>
      </c>
      <c r="M23" s="62">
        <f t="shared" si="15"/>
        <v>0</v>
      </c>
      <c r="N23" s="62">
        <f>'Future Type Share'!H21*'Future EndUse Share'!N31</f>
        <v>0</v>
      </c>
      <c r="O23" s="62">
        <f t="shared" si="16"/>
        <v>0</v>
      </c>
      <c r="P23" s="62">
        <f t="shared" si="17"/>
        <v>0</v>
      </c>
      <c r="Q23" s="62">
        <f t="shared" si="18"/>
        <v>0</v>
      </c>
      <c r="U23" s="103">
        <v>2020</v>
      </c>
      <c r="V23" s="62">
        <f t="shared" si="10"/>
        <v>0</v>
      </c>
      <c r="W23" s="62">
        <f t="shared" si="19"/>
        <v>0</v>
      </c>
      <c r="X23" s="62">
        <f t="shared" si="20"/>
        <v>0</v>
      </c>
      <c r="Y23" s="62">
        <f t="shared" si="21"/>
        <v>0</v>
      </c>
      <c r="Z23" s="62">
        <f t="shared" si="22"/>
        <v>0</v>
      </c>
      <c r="AA23" s="62">
        <f t="shared" si="11"/>
        <v>0</v>
      </c>
      <c r="AE23" s="103">
        <v>2020</v>
      </c>
      <c r="AF23" s="62">
        <f>'Future Type Share'!L21*('Future EndUse Share'!Z31+'Future EndUse Share'!AB31+'Future EndUse Share'!AC31+'Future EndUse Share'!AD31)</f>
        <v>9299.2817792111473</v>
      </c>
      <c r="AG23" s="103">
        <f>'Future Type Share'!C21*'Future Type Share'!K21*0.5*('Future EndUse Share'!Z31+'Future EndUse Share'!AB31+'Future EndUse Share'!AC31+'Future EndUse Share'!AD31)</f>
        <v>0</v>
      </c>
      <c r="AH23" s="103">
        <f>'Future Type Share'!C21*'Future Type Share'!I21*('Future EndUse Share'!O31+'Future EndUse Share'!Q31+'Future EndUse Share'!R31+'Future EndUse Share'!S31)</f>
        <v>8983.8377849494773</v>
      </c>
      <c r="AI23" s="62">
        <f t="shared" si="23"/>
        <v>0</v>
      </c>
      <c r="AJ23" s="103">
        <f t="shared" si="24"/>
        <v>0</v>
      </c>
      <c r="AK23" s="103">
        <f t="shared" si="25"/>
        <v>0</v>
      </c>
      <c r="AO23" s="103">
        <v>2020</v>
      </c>
      <c r="AP23" s="62">
        <f>'Future Type Share'!L21*('Future EndUse Share'!AE31)</f>
        <v>2331.7816115259334</v>
      </c>
      <c r="AQ23" s="62">
        <f>'Future Type Share'!J21*0.5*('Future EndUse Share'!T20)</f>
        <v>0</v>
      </c>
      <c r="AR23" s="62">
        <f>'Future Type Share'!H21*0.5*('Future EndUse Share'!T31)</f>
        <v>0.56931798383710253</v>
      </c>
      <c r="AS23" s="62">
        <f t="shared" si="26"/>
        <v>0</v>
      </c>
      <c r="AT23" s="103">
        <f t="shared" si="27"/>
        <v>0</v>
      </c>
      <c r="AU23" s="103">
        <f t="shared" si="28"/>
        <v>0</v>
      </c>
    </row>
    <row r="24" spans="1:47">
      <c r="A24" s="103">
        <v>2021</v>
      </c>
      <c r="B24" s="62">
        <f>'Future Type Share'!L22*'Future EndUse Share'!AA32</f>
        <v>1936.2474172774357</v>
      </c>
      <c r="C24" s="103">
        <f>'Future Type Share'!C22*'Future Type Share'!I22*0.5*'Future EndUse Share'!P32</f>
        <v>0</v>
      </c>
      <c r="D24" s="103">
        <f>'Future Type Share'!H22*'Future EndUse Share'!P32</f>
        <v>0</v>
      </c>
      <c r="E24" s="62">
        <f t="shared" si="12"/>
        <v>0</v>
      </c>
      <c r="F24" s="103">
        <f t="shared" si="13"/>
        <v>0</v>
      </c>
      <c r="G24" s="103">
        <f t="shared" si="14"/>
        <v>0</v>
      </c>
      <c r="K24" s="103">
        <v>2021</v>
      </c>
      <c r="L24" s="62">
        <f>'Future Type Share'!L22*'Future EndUse Share'!Y32</f>
        <v>9606.7340396093859</v>
      </c>
      <c r="M24" s="62">
        <f t="shared" si="15"/>
        <v>0</v>
      </c>
      <c r="N24" s="62">
        <f>'Future Type Share'!H22*'Future EndUse Share'!N32</f>
        <v>0</v>
      </c>
      <c r="O24" s="62">
        <f t="shared" si="16"/>
        <v>0</v>
      </c>
      <c r="P24" s="62">
        <f t="shared" si="17"/>
        <v>0</v>
      </c>
      <c r="Q24" s="62">
        <f t="shared" si="18"/>
        <v>0</v>
      </c>
      <c r="U24" s="103">
        <v>2021</v>
      </c>
      <c r="V24" s="62">
        <f t="shared" si="10"/>
        <v>0</v>
      </c>
      <c r="W24" s="62">
        <f t="shared" si="19"/>
        <v>0</v>
      </c>
      <c r="X24" s="62">
        <f t="shared" si="20"/>
        <v>0</v>
      </c>
      <c r="Y24" s="62">
        <f t="shared" si="21"/>
        <v>0</v>
      </c>
      <c r="Z24" s="62">
        <f t="shared" si="22"/>
        <v>0</v>
      </c>
      <c r="AA24" s="62">
        <f t="shared" si="11"/>
        <v>0</v>
      </c>
      <c r="AE24" s="103">
        <v>2021</v>
      </c>
      <c r="AF24" s="62">
        <f>'Future Type Share'!L22*('Future EndUse Share'!Z32+'Future EndUse Share'!AB32+'Future EndUse Share'!AC32+'Future EndUse Share'!AD32)</f>
        <v>9410.5373849221978</v>
      </c>
      <c r="AG24" s="103">
        <f>'Future Type Share'!C22*'Future Type Share'!K22*0.5*('Future EndUse Share'!Z32+'Future EndUse Share'!AB32+'Future EndUse Share'!AC32+'Future EndUse Share'!AD32)</f>
        <v>0</v>
      </c>
      <c r="AH24" s="103">
        <f>'Future Type Share'!C22*'Future Type Share'!I22*('Future EndUse Share'!O32+'Future EndUse Share'!Q32+'Future EndUse Share'!R32+'Future EndUse Share'!S32)</f>
        <v>8946.6761083921301</v>
      </c>
      <c r="AI24" s="62">
        <f t="shared" si="23"/>
        <v>0</v>
      </c>
      <c r="AJ24" s="103">
        <f t="shared" si="24"/>
        <v>0</v>
      </c>
      <c r="AK24" s="103">
        <f t="shared" si="25"/>
        <v>0</v>
      </c>
      <c r="AO24" s="103">
        <v>2021</v>
      </c>
      <c r="AP24" s="62">
        <f>'Future Type Share'!L22*('Future EndUse Share'!AE32)</f>
        <v>2369.4614117601204</v>
      </c>
      <c r="AQ24" s="62">
        <f>'Future Type Share'!J22*0.5*('Future EndUse Share'!T21)</f>
        <v>0</v>
      </c>
      <c r="AR24" s="62">
        <f>'Future Type Share'!H22*0.5*('Future EndUse Share'!T32)</f>
        <v>0.56696299799696637</v>
      </c>
      <c r="AS24" s="62">
        <f t="shared" si="26"/>
        <v>0</v>
      </c>
      <c r="AT24" s="103">
        <f t="shared" si="27"/>
        <v>0</v>
      </c>
      <c r="AU24" s="103">
        <f t="shared" si="28"/>
        <v>0</v>
      </c>
    </row>
    <row r="25" spans="1:47">
      <c r="A25" s="103">
        <v>2022</v>
      </c>
      <c r="B25" s="62">
        <f>'Future Type Share'!L23*'Future EndUse Share'!AA33</f>
        <v>1956.9395028595309</v>
      </c>
      <c r="C25" s="103">
        <f>'Future Type Share'!C23*'Future Type Share'!I23*0.5*'Future EndUse Share'!P33</f>
        <v>0</v>
      </c>
      <c r="D25" s="103">
        <f>'Future Type Share'!H23*'Future EndUse Share'!P33</f>
        <v>0</v>
      </c>
      <c r="E25" s="62">
        <f t="shared" si="12"/>
        <v>0</v>
      </c>
      <c r="F25" s="103">
        <f t="shared" si="13"/>
        <v>0</v>
      </c>
      <c r="G25" s="103">
        <f t="shared" si="14"/>
        <v>0</v>
      </c>
      <c r="K25" s="103">
        <v>2022</v>
      </c>
      <c r="L25" s="62">
        <f>'Future Type Share'!L23*'Future EndUse Share'!Y33</f>
        <v>9823.1984963833856</v>
      </c>
      <c r="M25" s="62">
        <f t="shared" si="15"/>
        <v>0</v>
      </c>
      <c r="N25" s="62">
        <f>'Future Type Share'!H23*'Future EndUse Share'!N33</f>
        <v>0</v>
      </c>
      <c r="O25" s="62">
        <f t="shared" si="16"/>
        <v>0</v>
      </c>
      <c r="P25" s="62">
        <f t="shared" si="17"/>
        <v>0</v>
      </c>
      <c r="Q25" s="62">
        <f t="shared" si="18"/>
        <v>0</v>
      </c>
      <c r="U25" s="103">
        <v>2022</v>
      </c>
      <c r="V25" s="62">
        <f t="shared" si="10"/>
        <v>0</v>
      </c>
      <c r="W25" s="62">
        <f t="shared" si="19"/>
        <v>0</v>
      </c>
      <c r="X25" s="62">
        <f t="shared" si="20"/>
        <v>0</v>
      </c>
      <c r="Y25" s="62">
        <f t="shared" si="21"/>
        <v>0</v>
      </c>
      <c r="Z25" s="62">
        <f t="shared" si="22"/>
        <v>0</v>
      </c>
      <c r="AA25" s="62">
        <f t="shared" si="11"/>
        <v>0</v>
      </c>
      <c r="AE25" s="103">
        <v>2022</v>
      </c>
      <c r="AF25" s="62">
        <f>'Future Type Share'!L23*('Future EndUse Share'!Z33+'Future EndUse Share'!AB33+'Future EndUse Share'!AC33+'Future EndUse Share'!AD33)</f>
        <v>9521.2631428062086</v>
      </c>
      <c r="AG25" s="103">
        <f>'Future Type Share'!C23*'Future Type Share'!K23*0.5*('Future EndUse Share'!Z33+'Future EndUse Share'!AB33+'Future EndUse Share'!AC33+'Future EndUse Share'!AD33)</f>
        <v>0</v>
      </c>
      <c r="AH25" s="103">
        <f>'Future Type Share'!C23*'Future Type Share'!I23*('Future EndUse Share'!O33+'Future EndUse Share'!Q33+'Future EndUse Share'!R33+'Future EndUse Share'!S33)</f>
        <v>8905.9110385431795</v>
      </c>
      <c r="AI25" s="62">
        <f t="shared" si="23"/>
        <v>0</v>
      </c>
      <c r="AJ25" s="103">
        <f t="shared" si="24"/>
        <v>0</v>
      </c>
      <c r="AK25" s="103">
        <f t="shared" si="25"/>
        <v>0</v>
      </c>
      <c r="AO25" s="103">
        <v>2022</v>
      </c>
      <c r="AP25" s="62">
        <f>'Future Type Share'!L23*('Future EndUse Share'!AE33)</f>
        <v>2407.2174410794028</v>
      </c>
      <c r="AQ25" s="62">
        <f>'Future Type Share'!J23*0.5*('Future EndUse Share'!T22)</f>
        <v>0</v>
      </c>
      <c r="AR25" s="62">
        <f>'Future Type Share'!H23*0.5*('Future EndUse Share'!T33)</f>
        <v>0.56437966023721042</v>
      </c>
      <c r="AS25" s="62">
        <f t="shared" si="26"/>
        <v>0</v>
      </c>
      <c r="AT25" s="103">
        <f t="shared" si="27"/>
        <v>0</v>
      </c>
      <c r="AU25" s="103">
        <f t="shared" si="28"/>
        <v>0</v>
      </c>
    </row>
    <row r="26" spans="1:47">
      <c r="A26" s="103">
        <v>2023</v>
      </c>
      <c r="B26" s="62">
        <f>'Future Type Share'!L24*'Future EndUse Share'!AA34</f>
        <v>1977.3197380241468</v>
      </c>
      <c r="C26" s="103">
        <f>'Future Type Share'!C24*'Future Type Share'!I24*0.5*'Future EndUse Share'!P34</f>
        <v>0</v>
      </c>
      <c r="D26" s="103">
        <f>'Future Type Share'!H24*'Future EndUse Share'!P34</f>
        <v>0</v>
      </c>
      <c r="E26" s="62">
        <f t="shared" si="12"/>
        <v>0</v>
      </c>
      <c r="F26" s="103">
        <f t="shared" si="13"/>
        <v>0</v>
      </c>
      <c r="G26" s="103">
        <f t="shared" si="14"/>
        <v>0</v>
      </c>
      <c r="K26" s="103">
        <v>2023</v>
      </c>
      <c r="L26" s="62">
        <f>'Future Type Share'!L24*'Future EndUse Share'!Y34</f>
        <v>10040.486009051909</v>
      </c>
      <c r="M26" s="62">
        <f t="shared" si="15"/>
        <v>0</v>
      </c>
      <c r="N26" s="62">
        <f>'Future Type Share'!H24*'Future EndUse Share'!N34</f>
        <v>0</v>
      </c>
      <c r="O26" s="62">
        <f t="shared" si="16"/>
        <v>0</v>
      </c>
      <c r="P26" s="62">
        <f t="shared" si="17"/>
        <v>0</v>
      </c>
      <c r="Q26" s="62">
        <f t="shared" si="18"/>
        <v>0</v>
      </c>
      <c r="U26" s="103">
        <v>2023</v>
      </c>
      <c r="V26" s="62">
        <f t="shared" si="10"/>
        <v>0</v>
      </c>
      <c r="W26" s="62">
        <f t="shared" si="19"/>
        <v>0</v>
      </c>
      <c r="X26" s="62">
        <f t="shared" si="20"/>
        <v>0</v>
      </c>
      <c r="Y26" s="62">
        <f t="shared" si="21"/>
        <v>0</v>
      </c>
      <c r="Z26" s="62">
        <f t="shared" si="22"/>
        <v>0</v>
      </c>
      <c r="AA26" s="62">
        <f t="shared" si="11"/>
        <v>0</v>
      </c>
      <c r="AE26" s="103">
        <v>2023</v>
      </c>
      <c r="AF26" s="62">
        <f>'Future Type Share'!L24*('Future EndUse Share'!Z34+'Future EndUse Share'!AB34+'Future EndUse Share'!AC34+'Future EndUse Share'!AD34)</f>
        <v>9630.6848295052223</v>
      </c>
      <c r="AG26" s="103">
        <f>'Future Type Share'!C24*'Future Type Share'!K24*0.5*('Future EndUse Share'!Z34+'Future EndUse Share'!AB34+'Future EndUse Share'!AC34+'Future EndUse Share'!AD34)</f>
        <v>0</v>
      </c>
      <c r="AH26" s="103">
        <f>'Future Type Share'!C24*'Future Type Share'!I24*('Future EndUse Share'!O34+'Future EndUse Share'!Q34+'Future EndUse Share'!R34+'Future EndUse Share'!S34)</f>
        <v>8860.8645031441538</v>
      </c>
      <c r="AI26" s="62">
        <f t="shared" si="23"/>
        <v>0</v>
      </c>
      <c r="AJ26" s="103">
        <f t="shared" si="24"/>
        <v>0</v>
      </c>
      <c r="AK26" s="103">
        <f t="shared" si="25"/>
        <v>0</v>
      </c>
      <c r="AO26" s="103">
        <v>2023</v>
      </c>
      <c r="AP26" s="62">
        <f>'Future Type Share'!L24*('Future EndUse Share'!AE34)</f>
        <v>2444.8508373432887</v>
      </c>
      <c r="AQ26" s="62">
        <f>'Future Type Share'!J24*0.5*('Future EndUse Share'!T23)</f>
        <v>0</v>
      </c>
      <c r="AR26" s="62">
        <f>'Future Type Share'!H24*0.5*('Future EndUse Share'!T34)</f>
        <v>0.56152500019924934</v>
      </c>
      <c r="AS26" s="62">
        <f t="shared" si="26"/>
        <v>0</v>
      </c>
      <c r="AT26" s="103">
        <f t="shared" si="27"/>
        <v>0</v>
      </c>
      <c r="AU26" s="103">
        <f t="shared" si="28"/>
        <v>0</v>
      </c>
    </row>
    <row r="27" spans="1:47">
      <c r="A27" s="103">
        <v>2024</v>
      </c>
      <c r="B27" s="62">
        <f>'Future Type Share'!L25*'Future EndUse Share'!AA35</f>
        <v>1996.5828609307719</v>
      </c>
      <c r="C27" s="103">
        <f>'Future Type Share'!C25*'Future Type Share'!I25*0.5*'Future EndUse Share'!P35</f>
        <v>0</v>
      </c>
      <c r="D27" s="103">
        <f>'Future Type Share'!H25*'Future EndUse Share'!P35</f>
        <v>0</v>
      </c>
      <c r="E27" s="62">
        <f t="shared" si="12"/>
        <v>0</v>
      </c>
      <c r="F27" s="103">
        <f t="shared" si="13"/>
        <v>0</v>
      </c>
      <c r="G27" s="103">
        <f t="shared" si="14"/>
        <v>0</v>
      </c>
      <c r="K27" s="103">
        <v>2024</v>
      </c>
      <c r="L27" s="62">
        <f>'Future Type Share'!L25*'Future EndUse Share'!Y35</f>
        <v>10254.406365921155</v>
      </c>
      <c r="M27" s="62">
        <f t="shared" si="15"/>
        <v>0</v>
      </c>
      <c r="N27" s="62">
        <f>'Future Type Share'!H25*'Future EndUse Share'!N35</f>
        <v>0</v>
      </c>
      <c r="O27" s="62">
        <f t="shared" si="16"/>
        <v>0</v>
      </c>
      <c r="P27" s="62">
        <f t="shared" si="17"/>
        <v>0</v>
      </c>
      <c r="Q27" s="62">
        <f t="shared" si="18"/>
        <v>0</v>
      </c>
      <c r="U27" s="103">
        <v>2024</v>
      </c>
      <c r="V27" s="62">
        <f t="shared" si="10"/>
        <v>0</v>
      </c>
      <c r="W27" s="62">
        <f t="shared" si="19"/>
        <v>0</v>
      </c>
      <c r="X27" s="62">
        <f t="shared" si="20"/>
        <v>0</v>
      </c>
      <c r="Y27" s="62">
        <f t="shared" si="21"/>
        <v>0</v>
      </c>
      <c r="Z27" s="62">
        <f t="shared" si="22"/>
        <v>0</v>
      </c>
      <c r="AA27" s="62">
        <f t="shared" si="11"/>
        <v>0</v>
      </c>
      <c r="AE27" s="103">
        <v>2024</v>
      </c>
      <c r="AF27" s="62">
        <f>'Future Type Share'!L25*('Future EndUse Share'!Z35+'Future EndUse Share'!AB35+'Future EndUse Share'!AC35+'Future EndUse Share'!AD35)</f>
        <v>9734.8713201949522</v>
      </c>
      <c r="AG27" s="103">
        <f>'Future Type Share'!C25*'Future Type Share'!K25*0.5*('Future EndUse Share'!Z35+'Future EndUse Share'!AB35+'Future EndUse Share'!AC35+'Future EndUse Share'!AD35)</f>
        <v>0</v>
      </c>
      <c r="AH27" s="103">
        <f>'Future Type Share'!C25*'Future Type Share'!I25*('Future EndUse Share'!O35+'Future EndUse Share'!Q35+'Future EndUse Share'!R35+'Future EndUse Share'!S35)</f>
        <v>8808.0492364200345</v>
      </c>
      <c r="AI27" s="62">
        <f t="shared" si="23"/>
        <v>0</v>
      </c>
      <c r="AJ27" s="103">
        <f t="shared" si="24"/>
        <v>0</v>
      </c>
      <c r="AK27" s="103">
        <f t="shared" si="25"/>
        <v>0</v>
      </c>
      <c r="AO27" s="103">
        <v>2024</v>
      </c>
      <c r="AP27" s="62">
        <f>'Future Type Share'!L25*('Future EndUse Share'!AE35)</f>
        <v>2481.3548759957116</v>
      </c>
      <c r="AQ27" s="62">
        <f>'Future Type Share'!J25*0.5*('Future EndUse Share'!T24)</f>
        <v>0</v>
      </c>
      <c r="AR27" s="62">
        <f>'Future Type Share'!H25*0.5*('Future EndUse Share'!T35)</f>
        <v>0.55817802512167514</v>
      </c>
      <c r="AS27" s="62">
        <f t="shared" si="26"/>
        <v>0</v>
      </c>
      <c r="AT27" s="103">
        <f t="shared" si="27"/>
        <v>0</v>
      </c>
      <c r="AU27" s="103">
        <f t="shared" si="28"/>
        <v>0</v>
      </c>
    </row>
    <row r="28" spans="1:47">
      <c r="A28" s="103">
        <v>2025</v>
      </c>
      <c r="B28" s="62">
        <f>'Future Type Share'!L26*'Future EndUse Share'!AA36</f>
        <v>2015.2299692817985</v>
      </c>
      <c r="C28" s="103">
        <f>'Future Type Share'!C26*'Future Type Share'!I26*0.5*'Future EndUse Share'!P36</f>
        <v>0</v>
      </c>
      <c r="D28" s="103">
        <f>'Future Type Share'!H26*'Future EndUse Share'!P36</f>
        <v>0</v>
      </c>
      <c r="E28" s="62">
        <f t="shared" si="12"/>
        <v>0</v>
      </c>
      <c r="F28" s="103">
        <f t="shared" si="13"/>
        <v>0</v>
      </c>
      <c r="G28" s="103">
        <f t="shared" si="14"/>
        <v>0</v>
      </c>
      <c r="K28" s="103">
        <v>2025</v>
      </c>
      <c r="L28" s="62">
        <f>'Future Type Share'!L26*'Future EndUse Share'!Y36</f>
        <v>10467.367446444459</v>
      </c>
      <c r="M28" s="62">
        <f t="shared" si="15"/>
        <v>0</v>
      </c>
      <c r="N28" s="62">
        <f>'Future Type Share'!H26*'Future EndUse Share'!N36</f>
        <v>0</v>
      </c>
      <c r="O28" s="62">
        <f t="shared" si="16"/>
        <v>0</v>
      </c>
      <c r="P28" s="62">
        <f t="shared" si="17"/>
        <v>0</v>
      </c>
      <c r="Q28" s="62">
        <f t="shared" si="18"/>
        <v>0</v>
      </c>
      <c r="U28" s="103">
        <v>2025</v>
      </c>
      <c r="V28" s="62">
        <f t="shared" si="10"/>
        <v>0</v>
      </c>
      <c r="W28" s="62">
        <f t="shared" si="19"/>
        <v>0</v>
      </c>
      <c r="X28" s="62">
        <f t="shared" si="20"/>
        <v>0</v>
      </c>
      <c r="Y28" s="62">
        <f t="shared" si="21"/>
        <v>0</v>
      </c>
      <c r="Z28" s="62">
        <f t="shared" si="22"/>
        <v>0</v>
      </c>
      <c r="AA28" s="62">
        <f t="shared" si="11"/>
        <v>0</v>
      </c>
      <c r="AE28" s="103">
        <v>2025</v>
      </c>
      <c r="AF28" s="62">
        <f>'Future Type Share'!L26*('Future EndUse Share'!Z36+'Future EndUse Share'!AB36+'Future EndUse Share'!AC36+'Future EndUse Share'!AD36)</f>
        <v>9836.2510549230683</v>
      </c>
      <c r="AG28" s="103">
        <f>'Future Type Share'!C26*'Future Type Share'!K26*0.5*('Future EndUse Share'!Z36+'Future EndUse Share'!AB36+'Future EndUse Share'!AC36+'Future EndUse Share'!AD36)</f>
        <v>0</v>
      </c>
      <c r="AH28" s="103">
        <f>'Future Type Share'!C26*'Future Type Share'!I26*('Future EndUse Share'!O36+'Future EndUse Share'!Q36+'Future EndUse Share'!R36+'Future EndUse Share'!S36)</f>
        <v>8749.8744898440855</v>
      </c>
      <c r="AI28" s="62">
        <f t="shared" si="23"/>
        <v>0</v>
      </c>
      <c r="AJ28" s="103">
        <f t="shared" si="24"/>
        <v>0</v>
      </c>
      <c r="AK28" s="103">
        <f t="shared" si="25"/>
        <v>0</v>
      </c>
      <c r="AO28" s="103">
        <v>2025</v>
      </c>
      <c r="AP28" s="62">
        <f>'Future Type Share'!L26*('Future EndUse Share'!AE36)</f>
        <v>2517.3342113781532</v>
      </c>
      <c r="AQ28" s="62">
        <f>'Future Type Share'!J26*0.5*('Future EndUse Share'!T25)</f>
        <v>0</v>
      </c>
      <c r="AR28" s="62">
        <f>'Future Type Share'!H26*0.5*('Future EndUse Share'!T36)</f>
        <v>0.554491412537648</v>
      </c>
      <c r="AS28" s="62">
        <f t="shared" si="26"/>
        <v>0</v>
      </c>
      <c r="AT28" s="103">
        <f t="shared" si="27"/>
        <v>0</v>
      </c>
      <c r="AU28" s="103">
        <f t="shared" si="28"/>
        <v>0</v>
      </c>
    </row>
    <row r="29" spans="1:47">
      <c r="A29" s="103">
        <v>2026</v>
      </c>
      <c r="B29" s="62">
        <f>'Future Type Share'!L27*'Future EndUse Share'!AA37</f>
        <v>2032.9652435118144</v>
      </c>
      <c r="C29" s="103">
        <f>'Future Type Share'!C27*'Future Type Share'!I27*0.5*'Future EndUse Share'!P37</f>
        <v>0</v>
      </c>
      <c r="D29" s="103">
        <f>'Future Type Share'!H27*'Future EndUse Share'!P37</f>
        <v>0</v>
      </c>
      <c r="E29" s="62">
        <f t="shared" si="12"/>
        <v>0</v>
      </c>
      <c r="F29" s="103">
        <f t="shared" si="13"/>
        <v>0</v>
      </c>
      <c r="G29" s="103">
        <f t="shared" si="14"/>
        <v>0</v>
      </c>
      <c r="K29" s="103">
        <v>2026</v>
      </c>
      <c r="L29" s="62">
        <f>'Future Type Share'!L27*'Future EndUse Share'!Y37</f>
        <v>10677.708054959767</v>
      </c>
      <c r="M29" s="62">
        <f t="shared" si="15"/>
        <v>0</v>
      </c>
      <c r="N29" s="62">
        <f>'Future Type Share'!H27*'Future EndUse Share'!N37</f>
        <v>0</v>
      </c>
      <c r="O29" s="62">
        <f t="shared" si="16"/>
        <v>0</v>
      </c>
      <c r="P29" s="62">
        <f t="shared" si="17"/>
        <v>0</v>
      </c>
      <c r="Q29" s="62">
        <f t="shared" si="18"/>
        <v>0</v>
      </c>
      <c r="U29" s="103">
        <v>2026</v>
      </c>
      <c r="V29" s="62">
        <f t="shared" si="10"/>
        <v>0</v>
      </c>
      <c r="W29" s="62">
        <f t="shared" si="19"/>
        <v>0</v>
      </c>
      <c r="X29" s="62">
        <f t="shared" si="20"/>
        <v>0</v>
      </c>
      <c r="Y29" s="62">
        <f t="shared" si="21"/>
        <v>0</v>
      </c>
      <c r="Z29" s="62">
        <f t="shared" si="22"/>
        <v>0</v>
      </c>
      <c r="AA29" s="62">
        <f t="shared" si="11"/>
        <v>0</v>
      </c>
      <c r="AE29" s="103">
        <v>2026</v>
      </c>
      <c r="AF29" s="62">
        <f>'Future Type Share'!L27*('Future EndUse Share'!Z37+'Future EndUse Share'!AB37+'Future EndUse Share'!AC37+'Future EndUse Share'!AD37)</f>
        <v>9933.3690225658393</v>
      </c>
      <c r="AG29" s="103">
        <f>'Future Type Share'!C27*'Future Type Share'!K27*0.5*('Future EndUse Share'!Z37+'Future EndUse Share'!AB37+'Future EndUse Share'!AC37+'Future EndUse Share'!AD37)</f>
        <v>0</v>
      </c>
      <c r="AH29" s="103">
        <f>'Future Type Share'!C27*'Future Type Share'!I27*('Future EndUse Share'!O37+'Future EndUse Share'!Q37+'Future EndUse Share'!R37+'Future EndUse Share'!S37)</f>
        <v>8685.2052539888646</v>
      </c>
      <c r="AI29" s="62">
        <f t="shared" si="23"/>
        <v>0</v>
      </c>
      <c r="AJ29" s="103">
        <f t="shared" si="24"/>
        <v>0</v>
      </c>
      <c r="AK29" s="103">
        <f t="shared" si="25"/>
        <v>0</v>
      </c>
      <c r="AO29" s="103">
        <v>2026</v>
      </c>
      <c r="AP29" s="62">
        <f>'Future Type Share'!L27*('Future EndUse Share'!AE37)</f>
        <v>2552.4056970332358</v>
      </c>
      <c r="AQ29" s="62">
        <f>'Future Type Share'!J27*0.5*('Future EndUse Share'!T26)</f>
        <v>0</v>
      </c>
      <c r="AR29" s="62">
        <f>'Future Type Share'!H27*0.5*('Future EndUse Share'!T37)</f>
        <v>0.5503932353605111</v>
      </c>
      <c r="AS29" s="62">
        <f t="shared" si="26"/>
        <v>0</v>
      </c>
      <c r="AT29" s="103">
        <f t="shared" si="27"/>
        <v>0</v>
      </c>
      <c r="AU29" s="103">
        <f t="shared" si="28"/>
        <v>0</v>
      </c>
    </row>
    <row r="30" spans="1:47">
      <c r="A30" s="103">
        <v>2027</v>
      </c>
      <c r="B30" s="62">
        <f>'Future Type Share'!L28*'Future EndUse Share'!AA38</f>
        <v>2050.2185700565342</v>
      </c>
      <c r="C30" s="103">
        <f>'Future Type Share'!C28*'Future Type Share'!I28*0.5*'Future EndUse Share'!P38</f>
        <v>0</v>
      </c>
      <c r="D30" s="103">
        <f>'Future Type Share'!H28*'Future EndUse Share'!P38</f>
        <v>0</v>
      </c>
      <c r="E30" s="62">
        <f t="shared" si="12"/>
        <v>0</v>
      </c>
      <c r="F30" s="103">
        <f t="shared" si="13"/>
        <v>0</v>
      </c>
      <c r="G30" s="103">
        <f t="shared" si="14"/>
        <v>0</v>
      </c>
      <c r="K30" s="103">
        <v>2027</v>
      </c>
      <c r="L30" s="62">
        <f>'Future Type Share'!L28*'Future EndUse Share'!Y38</f>
        <v>10887.552000029817</v>
      </c>
      <c r="M30" s="62">
        <f t="shared" si="15"/>
        <v>0</v>
      </c>
      <c r="N30" s="62">
        <f>'Future Type Share'!H28*'Future EndUse Share'!N38</f>
        <v>0</v>
      </c>
      <c r="O30" s="62">
        <f t="shared" si="16"/>
        <v>0</v>
      </c>
      <c r="P30" s="62">
        <f t="shared" si="17"/>
        <v>0</v>
      </c>
      <c r="Q30" s="62">
        <f t="shared" si="18"/>
        <v>0</v>
      </c>
      <c r="U30" s="103">
        <v>2027</v>
      </c>
      <c r="V30" s="62">
        <f t="shared" si="10"/>
        <v>0</v>
      </c>
      <c r="W30" s="62">
        <f t="shared" si="19"/>
        <v>0</v>
      </c>
      <c r="X30" s="62">
        <f t="shared" si="20"/>
        <v>0</v>
      </c>
      <c r="Y30" s="62">
        <f t="shared" si="21"/>
        <v>0</v>
      </c>
      <c r="Z30" s="62">
        <f t="shared" si="22"/>
        <v>0</v>
      </c>
      <c r="AA30" s="62">
        <f t="shared" si="11"/>
        <v>0</v>
      </c>
      <c r="AE30" s="103">
        <v>2027</v>
      </c>
      <c r="AF30" s="62">
        <f>'Future Type Share'!L28*('Future EndUse Share'!Z38+'Future EndUse Share'!AB38+'Future EndUse Share'!AC38+'Future EndUse Share'!AD38)</f>
        <v>10028.313743715136</v>
      </c>
      <c r="AG30" s="103">
        <f>'Future Type Share'!C28*'Future Type Share'!K28*0.5*('Future EndUse Share'!Z38+'Future EndUse Share'!AB38+'Future EndUse Share'!AC38+'Future EndUse Share'!AD38)</f>
        <v>0</v>
      </c>
      <c r="AH30" s="103">
        <f>'Future Type Share'!C28*'Future Type Share'!I28*('Future EndUse Share'!O38+'Future EndUse Share'!Q38+'Future EndUse Share'!R38+'Future EndUse Share'!S38)</f>
        <v>8616.0387576617031</v>
      </c>
      <c r="AI30" s="62">
        <f t="shared" si="23"/>
        <v>0</v>
      </c>
      <c r="AJ30" s="103">
        <f t="shared" si="24"/>
        <v>0</v>
      </c>
      <c r="AK30" s="103">
        <f t="shared" si="25"/>
        <v>0</v>
      </c>
      <c r="AO30" s="103">
        <v>2027</v>
      </c>
      <c r="AP30" s="62">
        <f>'Future Type Share'!L28*('Future EndUse Share'!AE38)</f>
        <v>2587.0944093576704</v>
      </c>
      <c r="AQ30" s="62">
        <f>'Future Type Share'!J28*0.5*('Future EndUse Share'!T27)</f>
        <v>0</v>
      </c>
      <c r="AR30" s="62">
        <f>'Future Type Share'!H28*0.5*('Future EndUse Share'!T38)</f>
        <v>0.54601006068832092</v>
      </c>
      <c r="AS30" s="62">
        <f t="shared" si="26"/>
        <v>0</v>
      </c>
      <c r="AT30" s="103">
        <f t="shared" si="27"/>
        <v>0</v>
      </c>
      <c r="AU30" s="103">
        <f t="shared" si="28"/>
        <v>0</v>
      </c>
    </row>
    <row r="31" spans="1:47">
      <c r="A31" s="103">
        <v>2028</v>
      </c>
      <c r="B31" s="62">
        <f>'Future Type Share'!L29*'Future EndUse Share'!AA39</f>
        <v>2067.8460592424863</v>
      </c>
      <c r="C31" s="103">
        <f>'Future Type Share'!C29*'Future Type Share'!I29*0.5*'Future EndUse Share'!P39</f>
        <v>0</v>
      </c>
      <c r="D31" s="103">
        <f>'Future Type Share'!H29*'Future EndUse Share'!P39</f>
        <v>0</v>
      </c>
      <c r="E31" s="62">
        <f t="shared" si="12"/>
        <v>0</v>
      </c>
      <c r="F31" s="103">
        <f t="shared" si="13"/>
        <v>0</v>
      </c>
      <c r="G31" s="103">
        <f t="shared" si="14"/>
        <v>0</v>
      </c>
      <c r="K31" s="103">
        <v>2028</v>
      </c>
      <c r="L31" s="62">
        <f>'Future Type Share'!L29*'Future EndUse Share'!Y39</f>
        <v>11101.411305487327</v>
      </c>
      <c r="M31" s="62">
        <f t="shared" si="15"/>
        <v>0</v>
      </c>
      <c r="N31" s="62">
        <f>'Future Type Share'!H29*'Future EndUse Share'!N39</f>
        <v>0</v>
      </c>
      <c r="O31" s="62">
        <f t="shared" si="16"/>
        <v>0</v>
      </c>
      <c r="P31" s="62">
        <f t="shared" si="17"/>
        <v>0</v>
      </c>
      <c r="Q31" s="62">
        <f t="shared" si="18"/>
        <v>0</v>
      </c>
      <c r="U31" s="103">
        <v>2028</v>
      </c>
      <c r="V31" s="62">
        <f t="shared" si="10"/>
        <v>0</v>
      </c>
      <c r="W31" s="62">
        <f t="shared" si="19"/>
        <v>0</v>
      </c>
      <c r="X31" s="62">
        <f t="shared" si="20"/>
        <v>0</v>
      </c>
      <c r="Y31" s="62">
        <f t="shared" si="21"/>
        <v>0</v>
      </c>
      <c r="Z31" s="62">
        <f t="shared" si="22"/>
        <v>0</v>
      </c>
      <c r="AA31" s="62">
        <f t="shared" si="11"/>
        <v>0</v>
      </c>
      <c r="AE31" s="103">
        <v>2028</v>
      </c>
      <c r="AF31" s="62">
        <f>'Future Type Share'!L29*('Future EndUse Share'!Z39+'Future EndUse Share'!AB39+'Future EndUse Share'!AC39+'Future EndUse Share'!AD39)</f>
        <v>10125.26968284658</v>
      </c>
      <c r="AG31" s="103">
        <f>'Future Type Share'!C29*'Future Type Share'!K29*0.5*('Future EndUse Share'!Z39+'Future EndUse Share'!AB39+'Future EndUse Share'!AC39+'Future EndUse Share'!AD39)</f>
        <v>0</v>
      </c>
      <c r="AH31" s="103">
        <f>'Future Type Share'!C29*'Future Type Share'!I29*('Future EndUse Share'!O39+'Future EndUse Share'!Q39+'Future EndUse Share'!R39+'Future EndUse Share'!S39)</f>
        <v>8546.0138998879775</v>
      </c>
      <c r="AI31" s="62">
        <f t="shared" si="23"/>
        <v>0</v>
      </c>
      <c r="AJ31" s="103">
        <f t="shared" si="24"/>
        <v>0</v>
      </c>
      <c r="AK31" s="103">
        <f t="shared" si="25"/>
        <v>0</v>
      </c>
      <c r="AO31" s="103">
        <v>2028</v>
      </c>
      <c r="AP31" s="62">
        <f>'Future Type Share'!L29*('Future EndUse Share'!AE39)</f>
        <v>2622.4768949294303</v>
      </c>
      <c r="AQ31" s="62">
        <f>'Future Type Share'!J29*0.5*('Future EndUse Share'!T28)</f>
        <v>0</v>
      </c>
      <c r="AR31" s="62">
        <f>'Future Type Share'!H29*0.5*('Future EndUse Share'!T39)</f>
        <v>0.54157249048719758</v>
      </c>
      <c r="AS31" s="62">
        <f t="shared" si="26"/>
        <v>0</v>
      </c>
      <c r="AT31" s="103">
        <f t="shared" si="27"/>
        <v>0</v>
      </c>
      <c r="AU31" s="103">
        <f t="shared" si="28"/>
        <v>0</v>
      </c>
    </row>
    <row r="32" spans="1:47">
      <c r="A32" s="103">
        <v>2029</v>
      </c>
      <c r="B32" s="62">
        <f>'Future Type Share'!L30*'Future EndUse Share'!AA40</f>
        <v>2085.4554718683839</v>
      </c>
      <c r="C32" s="103">
        <f>'Future Type Share'!C30*'Future Type Share'!I30*0.5*'Future EndUse Share'!P40</f>
        <v>0</v>
      </c>
      <c r="D32" s="103">
        <f>'Future Type Share'!H30*'Future EndUse Share'!P40</f>
        <v>0</v>
      </c>
      <c r="E32" s="62">
        <f t="shared" si="12"/>
        <v>0</v>
      </c>
      <c r="F32" s="103">
        <f t="shared" si="13"/>
        <v>0</v>
      </c>
      <c r="G32" s="103">
        <f t="shared" si="14"/>
        <v>0</v>
      </c>
      <c r="K32" s="103">
        <v>2029</v>
      </c>
      <c r="L32" s="62">
        <f>'Future Type Share'!L30*'Future EndUse Share'!Y40</f>
        <v>11317.222666612963</v>
      </c>
      <c r="M32" s="62">
        <f t="shared" si="15"/>
        <v>0</v>
      </c>
      <c r="N32" s="62">
        <f>'Future Type Share'!H30*'Future EndUse Share'!N40</f>
        <v>0</v>
      </c>
      <c r="O32" s="62">
        <f t="shared" si="16"/>
        <v>0</v>
      </c>
      <c r="P32" s="62">
        <f t="shared" si="17"/>
        <v>0</v>
      </c>
      <c r="Q32" s="62">
        <f t="shared" si="18"/>
        <v>0</v>
      </c>
      <c r="U32" s="103">
        <v>2029</v>
      </c>
      <c r="V32" s="62">
        <f t="shared" si="10"/>
        <v>0</v>
      </c>
      <c r="W32" s="62">
        <f t="shared" si="19"/>
        <v>0</v>
      </c>
      <c r="X32" s="62">
        <f t="shared" si="20"/>
        <v>0</v>
      </c>
      <c r="Y32" s="62">
        <f t="shared" si="21"/>
        <v>0</v>
      </c>
      <c r="Z32" s="62">
        <f t="shared" si="22"/>
        <v>0</v>
      </c>
      <c r="AA32" s="62">
        <f t="shared" si="11"/>
        <v>0</v>
      </c>
      <c r="AE32" s="103">
        <v>2029</v>
      </c>
      <c r="AF32" s="62">
        <f>'Future Type Share'!L30*('Future EndUse Share'!Z40+'Future EndUse Share'!AB40+'Future EndUse Share'!AC40+'Future EndUse Share'!AD40)</f>
        <v>10222.320019679086</v>
      </c>
      <c r="AG32" s="103">
        <f>'Future Type Share'!C30*'Future Type Share'!K30*0.5*('Future EndUse Share'!Z40+'Future EndUse Share'!AB40+'Future EndUse Share'!AC40+'Future EndUse Share'!AD40)</f>
        <v>0</v>
      </c>
      <c r="AH32" s="103">
        <f>'Future Type Share'!C30*'Future Type Share'!I30*('Future EndUse Share'!O40+'Future EndUse Share'!Q40+'Future EndUse Share'!R40+'Future EndUse Share'!S40)</f>
        <v>8473.4587410854419</v>
      </c>
      <c r="AI32" s="62">
        <f t="shared" si="23"/>
        <v>0</v>
      </c>
      <c r="AJ32" s="103">
        <f t="shared" si="24"/>
        <v>0</v>
      </c>
      <c r="AK32" s="103">
        <f t="shared" si="25"/>
        <v>0</v>
      </c>
      <c r="AO32" s="103">
        <v>2029</v>
      </c>
      <c r="AP32" s="62">
        <f>'Future Type Share'!L30*('Future EndUse Share'!AE40)</f>
        <v>2658.0603494171642</v>
      </c>
      <c r="AQ32" s="62">
        <f>'Future Type Share'!J30*0.5*('Future EndUse Share'!T29)</f>
        <v>0</v>
      </c>
      <c r="AR32" s="62">
        <f>'Future Type Share'!H30*0.5*('Future EndUse Share'!T40)</f>
        <v>0.53697457167841844</v>
      </c>
      <c r="AS32" s="62">
        <f t="shared" si="26"/>
        <v>0</v>
      </c>
      <c r="AT32" s="103">
        <f t="shared" si="27"/>
        <v>0</v>
      </c>
      <c r="AU32" s="103">
        <f t="shared" si="28"/>
        <v>0</v>
      </c>
    </row>
    <row r="33" spans="1:47">
      <c r="A33" s="103">
        <v>2030</v>
      </c>
      <c r="B33" s="62">
        <f>'Future Type Share'!L31*'Future EndUse Share'!AA41</f>
        <v>2102.5953800810685</v>
      </c>
      <c r="C33" s="103">
        <f>'Future Type Share'!C31*'Future Type Share'!I31*0.5*'Future EndUse Share'!P41</f>
        <v>0</v>
      </c>
      <c r="D33" s="103">
        <f>'Future Type Share'!H31*'Future EndUse Share'!P41</f>
        <v>0</v>
      </c>
      <c r="E33" s="62">
        <f t="shared" si="12"/>
        <v>0</v>
      </c>
      <c r="F33" s="103">
        <f t="shared" si="13"/>
        <v>0</v>
      </c>
      <c r="G33" s="103">
        <f t="shared" si="14"/>
        <v>0</v>
      </c>
      <c r="K33" s="103">
        <v>2030</v>
      </c>
      <c r="L33" s="62">
        <f>'Future Type Share'!L31*'Future EndUse Share'!Y41</f>
        <v>11532.506897175617</v>
      </c>
      <c r="M33" s="62">
        <f t="shared" si="15"/>
        <v>0</v>
      </c>
      <c r="N33" s="62">
        <f>'Future Type Share'!H31*'Future EndUse Share'!N41</f>
        <v>0</v>
      </c>
      <c r="O33" s="62">
        <f t="shared" si="16"/>
        <v>0</v>
      </c>
      <c r="P33" s="62">
        <f t="shared" si="17"/>
        <v>0</v>
      </c>
      <c r="Q33" s="62">
        <f t="shared" si="18"/>
        <v>0</v>
      </c>
      <c r="U33" s="103">
        <v>2030</v>
      </c>
      <c r="V33" s="62">
        <f t="shared" si="10"/>
        <v>0</v>
      </c>
      <c r="W33" s="62">
        <f t="shared" si="19"/>
        <v>0</v>
      </c>
      <c r="X33" s="62">
        <f t="shared" si="20"/>
        <v>0</v>
      </c>
      <c r="Y33" s="62">
        <f t="shared" si="21"/>
        <v>0</v>
      </c>
      <c r="Z33" s="62">
        <f t="shared" si="22"/>
        <v>0</v>
      </c>
      <c r="AA33" s="62">
        <f t="shared" si="11"/>
        <v>0</v>
      </c>
      <c r="AE33" s="103">
        <v>2030</v>
      </c>
      <c r="AF33" s="62">
        <f>'Future Type Share'!L31*('Future EndUse Share'!Z41+'Future EndUse Share'!AB41+'Future EndUse Share'!AC41+'Future EndUse Share'!AD41)</f>
        <v>10317.249356209635</v>
      </c>
      <c r="AG33" s="103">
        <f>'Future Type Share'!C31*'Future Type Share'!K31*0.5*('Future EndUse Share'!Z41+'Future EndUse Share'!AB41+'Future EndUse Share'!AC41+'Future EndUse Share'!AD41)</f>
        <v>0</v>
      </c>
      <c r="AH33" s="103">
        <f>'Future Type Share'!C31*'Future Type Share'!I31*('Future EndUse Share'!O41+'Future EndUse Share'!Q41+'Future EndUse Share'!R41+'Future EndUse Share'!S41)</f>
        <v>8396.5743134182921</v>
      </c>
      <c r="AI33" s="62">
        <f t="shared" si="23"/>
        <v>0</v>
      </c>
      <c r="AJ33" s="103">
        <f t="shared" si="24"/>
        <v>0</v>
      </c>
      <c r="AK33" s="103">
        <f t="shared" si="25"/>
        <v>0</v>
      </c>
      <c r="AO33" s="103">
        <v>2030</v>
      </c>
      <c r="AP33" s="62">
        <f>'Future Type Share'!L31*('Future EndUse Share'!AE41)</f>
        <v>2693.2661831974019</v>
      </c>
      <c r="AQ33" s="62">
        <f>'Future Type Share'!J31*0.5*('Future EndUse Share'!T30)</f>
        <v>0</v>
      </c>
      <c r="AR33" s="62">
        <f>'Future Type Share'!H31*0.5*('Future EndUse Share'!T41)</f>
        <v>0.53210230123056346</v>
      </c>
      <c r="AS33" s="62">
        <f t="shared" si="26"/>
        <v>0</v>
      </c>
      <c r="AT33" s="103">
        <f t="shared" si="27"/>
        <v>0</v>
      </c>
      <c r="AU33" s="103">
        <f t="shared" si="28"/>
        <v>0</v>
      </c>
    </row>
    <row r="34" spans="1:47">
      <c r="A34" s="103">
        <v>2031</v>
      </c>
      <c r="B34" s="62">
        <f>'Future Type Share'!L32*'Future EndUse Share'!AA42</f>
        <v>2119.5493550104957</v>
      </c>
      <c r="C34" s="103">
        <f>'Future Type Share'!C32*'Future Type Share'!I32*0.5*'Future EndUse Share'!P42</f>
        <v>0</v>
      </c>
      <c r="D34" s="103">
        <f>'Future Type Share'!H32*'Future EndUse Share'!P42</f>
        <v>0</v>
      </c>
      <c r="E34" s="62">
        <f t="shared" si="12"/>
        <v>0</v>
      </c>
      <c r="F34" s="103">
        <f t="shared" si="13"/>
        <v>0</v>
      </c>
      <c r="G34" s="103">
        <f t="shared" si="14"/>
        <v>0</v>
      </c>
      <c r="K34" s="103">
        <v>2031</v>
      </c>
      <c r="L34" s="62">
        <f>'Future Type Share'!L32*'Future EndUse Share'!Y42</f>
        <v>11748.753936179264</v>
      </c>
      <c r="M34" s="62">
        <f t="shared" si="15"/>
        <v>0</v>
      </c>
      <c r="N34" s="62">
        <f>'Future Type Share'!H32*'Future EndUse Share'!N42</f>
        <v>0</v>
      </c>
      <c r="O34" s="62">
        <f t="shared" si="16"/>
        <v>0</v>
      </c>
      <c r="P34" s="62">
        <f t="shared" si="17"/>
        <v>0</v>
      </c>
      <c r="Q34" s="62">
        <f t="shared" si="18"/>
        <v>0</v>
      </c>
      <c r="U34" s="103">
        <v>2031</v>
      </c>
      <c r="V34" s="62">
        <f t="shared" si="10"/>
        <v>0</v>
      </c>
      <c r="W34" s="62">
        <f t="shared" si="19"/>
        <v>0</v>
      </c>
      <c r="X34" s="62">
        <f t="shared" si="20"/>
        <v>0</v>
      </c>
      <c r="Y34" s="62">
        <f t="shared" si="21"/>
        <v>0</v>
      </c>
      <c r="Z34" s="62">
        <f t="shared" si="22"/>
        <v>0</v>
      </c>
      <c r="AA34" s="62">
        <f t="shared" si="11"/>
        <v>0</v>
      </c>
      <c r="AE34" s="103">
        <v>2031</v>
      </c>
      <c r="AF34" s="62">
        <f>'Future Type Share'!L32*('Future EndUse Share'!Z42+'Future EndUse Share'!AB42+'Future EndUse Share'!AC42+'Future EndUse Share'!AD42)</f>
        <v>10411.443311437964</v>
      </c>
      <c r="AG34" s="103">
        <f>'Future Type Share'!C32*'Future Type Share'!K32*0.5*('Future EndUse Share'!Z42+'Future EndUse Share'!AB42+'Future EndUse Share'!AC42+'Future EndUse Share'!AD42)</f>
        <v>0</v>
      </c>
      <c r="AH34" s="103">
        <f>'Future Type Share'!C32*'Future Type Share'!I32*('Future EndUse Share'!O42+'Future EndUse Share'!Q42+'Future EndUse Share'!R42+'Future EndUse Share'!S42)</f>
        <v>8316.5714343872696</v>
      </c>
      <c r="AI34" s="62">
        <f t="shared" si="23"/>
        <v>0</v>
      </c>
      <c r="AJ34" s="103">
        <f t="shared" si="24"/>
        <v>0</v>
      </c>
      <c r="AK34" s="103">
        <f t="shared" si="25"/>
        <v>0</v>
      </c>
      <c r="AO34" s="103">
        <v>2031</v>
      </c>
      <c r="AP34" s="62">
        <f>'Future Type Share'!L32*('Future EndUse Share'!AE42)</f>
        <v>2728.4504816726894</v>
      </c>
      <c r="AQ34" s="62">
        <f>'Future Type Share'!J32*0.5*('Future EndUse Share'!T31)</f>
        <v>0</v>
      </c>
      <c r="AR34" s="62">
        <f>'Future Type Share'!H32*0.5*('Future EndUse Share'!T42)</f>
        <v>0.52703241029070158</v>
      </c>
      <c r="AS34" s="62">
        <f t="shared" si="26"/>
        <v>0</v>
      </c>
      <c r="AT34" s="103">
        <f t="shared" si="27"/>
        <v>0</v>
      </c>
      <c r="AU34" s="103">
        <f t="shared" si="28"/>
        <v>0</v>
      </c>
    </row>
    <row r="35" spans="1:47">
      <c r="A35" s="103">
        <v>2032</v>
      </c>
      <c r="B35" s="62">
        <f>'Future Type Share'!L33*'Future EndUse Share'!AA43</f>
        <v>2136.3926561931366</v>
      </c>
      <c r="C35" s="103">
        <f>'Future Type Share'!C33*'Future Type Share'!I33*0.5*'Future EndUse Share'!P43</f>
        <v>0</v>
      </c>
      <c r="D35" s="103">
        <f>'Future Type Share'!H33*'Future EndUse Share'!P43</f>
        <v>0</v>
      </c>
      <c r="E35" s="62">
        <f t="shared" si="12"/>
        <v>0</v>
      </c>
      <c r="F35" s="103">
        <f t="shared" si="13"/>
        <v>0</v>
      </c>
      <c r="G35" s="103">
        <f t="shared" si="14"/>
        <v>0</v>
      </c>
      <c r="K35" s="103">
        <v>2032</v>
      </c>
      <c r="L35" s="62">
        <f>'Future Type Share'!L33*'Future EndUse Share'!Y43</f>
        <v>11966.352889744432</v>
      </c>
      <c r="M35" s="62">
        <f t="shared" si="15"/>
        <v>0</v>
      </c>
      <c r="N35" s="62">
        <f>'Future Type Share'!H33*'Future EndUse Share'!N43</f>
        <v>0</v>
      </c>
      <c r="O35" s="62">
        <f t="shared" si="16"/>
        <v>0</v>
      </c>
      <c r="P35" s="62">
        <f t="shared" si="17"/>
        <v>0</v>
      </c>
      <c r="Q35" s="62">
        <f t="shared" si="18"/>
        <v>0</v>
      </c>
      <c r="U35" s="103">
        <v>2032</v>
      </c>
      <c r="V35" s="62">
        <f t="shared" si="10"/>
        <v>0</v>
      </c>
      <c r="W35" s="62">
        <f t="shared" si="19"/>
        <v>0</v>
      </c>
      <c r="X35" s="62">
        <f t="shared" si="20"/>
        <v>0</v>
      </c>
      <c r="Y35" s="62">
        <f t="shared" si="21"/>
        <v>0</v>
      </c>
      <c r="Z35" s="62">
        <f t="shared" si="22"/>
        <v>0</v>
      </c>
      <c r="AA35" s="62">
        <f t="shared" si="11"/>
        <v>0</v>
      </c>
      <c r="AE35" s="103">
        <v>2032</v>
      </c>
      <c r="AF35" s="62">
        <f>'Future Type Share'!L33*('Future EndUse Share'!Z43+'Future EndUse Share'!AB43+'Future EndUse Share'!AC43+'Future EndUse Share'!AD43)</f>
        <v>10505.269063104815</v>
      </c>
      <c r="AG35" s="103">
        <f>'Future Type Share'!C33*'Future Type Share'!K33*0.5*('Future EndUse Share'!Z43+'Future EndUse Share'!AB43+'Future EndUse Share'!AC43+'Future EndUse Share'!AD43)</f>
        <v>0</v>
      </c>
      <c r="AH35" s="103">
        <f>'Future Type Share'!C33*'Future Type Share'!I33*('Future EndUse Share'!O43+'Future EndUse Share'!Q43+'Future EndUse Share'!R43+'Future EndUse Share'!S43)</f>
        <v>8233.779030566775</v>
      </c>
      <c r="AI35" s="62">
        <f t="shared" si="23"/>
        <v>0</v>
      </c>
      <c r="AJ35" s="103">
        <f t="shared" si="24"/>
        <v>0</v>
      </c>
      <c r="AK35" s="103">
        <f t="shared" si="25"/>
        <v>0</v>
      </c>
      <c r="AO35" s="103">
        <v>2032</v>
      </c>
      <c r="AP35" s="62">
        <f>'Future Type Share'!L33*('Future EndUse Share'!AE43)</f>
        <v>2763.7070587896942</v>
      </c>
      <c r="AQ35" s="62">
        <f>'Future Type Share'!J33*0.5*('Future EndUse Share'!T32)</f>
        <v>0</v>
      </c>
      <c r="AR35" s="62">
        <f>'Future Type Share'!H33*0.5*('Future EndUse Share'!T43)</f>
        <v>0.52178574338192496</v>
      </c>
      <c r="AS35" s="62">
        <f t="shared" si="26"/>
        <v>0</v>
      </c>
      <c r="AT35" s="103">
        <f t="shared" si="27"/>
        <v>0</v>
      </c>
      <c r="AU35" s="103">
        <f t="shared" si="28"/>
        <v>0</v>
      </c>
    </row>
    <row r="36" spans="1:47">
      <c r="A36" s="103">
        <v>2033</v>
      </c>
      <c r="B36" s="62">
        <f>'Future Type Share'!L34*'Future EndUse Share'!AA44</f>
        <v>2153.3353360097481</v>
      </c>
      <c r="C36" s="103">
        <f>'Future Type Share'!C34*'Future Type Share'!I34*0.5*'Future EndUse Share'!P44</f>
        <v>0</v>
      </c>
      <c r="D36" s="103">
        <f>'Future Type Share'!H34*'Future EndUse Share'!P44</f>
        <v>0</v>
      </c>
      <c r="E36" s="62">
        <f t="shared" si="12"/>
        <v>0</v>
      </c>
      <c r="F36" s="103">
        <f t="shared" si="13"/>
        <v>0</v>
      </c>
      <c r="G36" s="103">
        <f t="shared" si="14"/>
        <v>0</v>
      </c>
      <c r="K36" s="103">
        <v>2033</v>
      </c>
      <c r="L36" s="62">
        <f>'Future Type Share'!L34*'Future EndUse Share'!Y44</f>
        <v>12186.473209566619</v>
      </c>
      <c r="M36" s="62">
        <f t="shared" si="15"/>
        <v>0</v>
      </c>
      <c r="N36" s="62">
        <f>'Future Type Share'!H34*'Future EndUse Share'!N44</f>
        <v>0</v>
      </c>
      <c r="O36" s="62">
        <f t="shared" si="16"/>
        <v>0</v>
      </c>
      <c r="P36" s="62">
        <f t="shared" si="17"/>
        <v>0</v>
      </c>
      <c r="Q36" s="62">
        <f t="shared" si="18"/>
        <v>0</v>
      </c>
      <c r="U36" s="103">
        <v>2033</v>
      </c>
      <c r="V36" s="62">
        <f t="shared" si="10"/>
        <v>0</v>
      </c>
      <c r="W36" s="62">
        <f t="shared" si="19"/>
        <v>0</v>
      </c>
      <c r="X36" s="62">
        <f t="shared" si="20"/>
        <v>0</v>
      </c>
      <c r="Y36" s="62">
        <f t="shared" si="21"/>
        <v>0</v>
      </c>
      <c r="Z36" s="62">
        <f t="shared" si="22"/>
        <v>0</v>
      </c>
      <c r="AA36" s="62">
        <f t="shared" si="11"/>
        <v>0</v>
      </c>
      <c r="AE36" s="103">
        <v>2033</v>
      </c>
      <c r="AF36" s="62">
        <f>'Future Type Share'!L34*('Future EndUse Share'!Z44+'Future EndUse Share'!AB44+'Future EndUse Share'!AC44+'Future EndUse Share'!AD44)</f>
        <v>10599.758867227672</v>
      </c>
      <c r="AG36" s="103">
        <f>'Future Type Share'!C34*'Future Type Share'!K34*0.5*('Future EndUse Share'!Z44+'Future EndUse Share'!AB44+'Future EndUse Share'!AC44+'Future EndUse Share'!AD44)</f>
        <v>0</v>
      </c>
      <c r="AH36" s="103">
        <f>'Future Type Share'!C34*'Future Type Share'!I34*('Future EndUse Share'!O44+'Future EndUse Share'!Q44+'Future EndUse Share'!R44+'Future EndUse Share'!S44)</f>
        <v>8149.0151555838429</v>
      </c>
      <c r="AI36" s="62">
        <f t="shared" si="23"/>
        <v>0</v>
      </c>
      <c r="AJ36" s="103">
        <f t="shared" si="24"/>
        <v>0</v>
      </c>
      <c r="AK36" s="103">
        <f t="shared" si="25"/>
        <v>0</v>
      </c>
      <c r="AO36" s="103">
        <v>2033</v>
      </c>
      <c r="AP36" s="62">
        <f>'Future Type Share'!L34*('Future EndUse Share'!AE44)</f>
        <v>2799.30687015791</v>
      </c>
      <c r="AQ36" s="62">
        <f>'Future Type Share'!J34*0.5*('Future EndUse Share'!T33)</f>
        <v>0</v>
      </c>
      <c r="AR36" s="62">
        <f>'Future Type Share'!H34*0.5*('Future EndUse Share'!T44)</f>
        <v>0.51641414167197996</v>
      </c>
      <c r="AS36" s="62">
        <f t="shared" si="26"/>
        <v>0</v>
      </c>
      <c r="AT36" s="103">
        <f t="shared" si="27"/>
        <v>0</v>
      </c>
      <c r="AU36" s="103">
        <f t="shared" si="28"/>
        <v>0</v>
      </c>
    </row>
    <row r="37" spans="1:47">
      <c r="A37" s="103">
        <v>2034</v>
      </c>
      <c r="B37" s="62">
        <f>'Future Type Share'!L35*'Future EndUse Share'!AA45</f>
        <v>2169.8397592047677</v>
      </c>
      <c r="C37" s="103">
        <f>'Future Type Share'!C35*'Future Type Share'!I35*0.5*'Future EndUse Share'!P45</f>
        <v>0</v>
      </c>
      <c r="D37" s="103">
        <f>'Future Type Share'!H35*'Future EndUse Share'!P45</f>
        <v>0</v>
      </c>
      <c r="E37" s="62">
        <f t="shared" si="12"/>
        <v>0</v>
      </c>
      <c r="F37" s="103">
        <f t="shared" si="13"/>
        <v>0</v>
      </c>
      <c r="G37" s="103">
        <f t="shared" si="14"/>
        <v>0</v>
      </c>
      <c r="K37" s="103">
        <v>2034</v>
      </c>
      <c r="L37" s="62">
        <f>'Future Type Share'!L35*'Future EndUse Share'!Y45</f>
        <v>12406.058303441636</v>
      </c>
      <c r="M37" s="62">
        <f t="shared" si="15"/>
        <v>0</v>
      </c>
      <c r="N37" s="62">
        <f>'Future Type Share'!H35*'Future EndUse Share'!N45</f>
        <v>0</v>
      </c>
      <c r="O37" s="62">
        <f t="shared" si="16"/>
        <v>0</v>
      </c>
      <c r="P37" s="62">
        <f t="shared" si="17"/>
        <v>0</v>
      </c>
      <c r="Q37" s="62">
        <f t="shared" si="18"/>
        <v>0</v>
      </c>
      <c r="U37" s="103">
        <v>2034</v>
      </c>
      <c r="V37" s="62">
        <f t="shared" si="10"/>
        <v>0</v>
      </c>
      <c r="W37" s="62">
        <f t="shared" si="19"/>
        <v>0</v>
      </c>
      <c r="X37" s="62">
        <f t="shared" si="20"/>
        <v>0</v>
      </c>
      <c r="Y37" s="62">
        <f t="shared" si="21"/>
        <v>0</v>
      </c>
      <c r="Z37" s="62">
        <f t="shared" si="22"/>
        <v>0</v>
      </c>
      <c r="AA37" s="62">
        <f t="shared" si="11"/>
        <v>0</v>
      </c>
      <c r="AE37" s="103">
        <v>2034</v>
      </c>
      <c r="AF37" s="62">
        <f>'Future Type Share'!L35*('Future EndUse Share'!Z45+'Future EndUse Share'!AB45+'Future EndUse Share'!AC45+'Future EndUse Share'!AD45)</f>
        <v>10692.264979621441</v>
      </c>
      <c r="AG37" s="103">
        <f>'Future Type Share'!C35*'Future Type Share'!K35*0.5*('Future EndUse Share'!Z45+'Future EndUse Share'!AB45+'Future EndUse Share'!AC45+'Future EndUse Share'!AD45)</f>
        <v>0</v>
      </c>
      <c r="AH37" s="103">
        <f>'Future Type Share'!C35*'Future Type Share'!I35*('Future EndUse Share'!O45+'Future EndUse Share'!Q45+'Future EndUse Share'!R45+'Future EndUse Share'!S45)</f>
        <v>8060.2618895918895</v>
      </c>
      <c r="AI37" s="62">
        <f t="shared" si="23"/>
        <v>0</v>
      </c>
      <c r="AJ37" s="103">
        <f t="shared" si="24"/>
        <v>0</v>
      </c>
      <c r="AK37" s="103">
        <f t="shared" si="25"/>
        <v>0</v>
      </c>
      <c r="AO37" s="103">
        <v>2034</v>
      </c>
      <c r="AP37" s="62">
        <f>'Future Type Share'!L35*('Future EndUse Share'!AE45)</f>
        <v>2834.5494754327069</v>
      </c>
      <c r="AQ37" s="62">
        <f>'Future Type Share'!J35*0.5*('Future EndUse Share'!T34)</f>
        <v>0</v>
      </c>
      <c r="AR37" s="62">
        <f>'Future Type Share'!H35*0.5*('Future EndUse Share'!T45)</f>
        <v>0.51078972684359247</v>
      </c>
      <c r="AS37" s="62">
        <f t="shared" si="26"/>
        <v>0</v>
      </c>
      <c r="AT37" s="103">
        <f t="shared" si="27"/>
        <v>0</v>
      </c>
      <c r="AU37" s="103">
        <f t="shared" si="28"/>
        <v>0</v>
      </c>
    </row>
    <row r="38" spans="1:47">
      <c r="A38" s="103">
        <v>2035</v>
      </c>
      <c r="B38" s="62">
        <f>'Future Type Share'!L36*'Future EndUse Share'!AA46</f>
        <v>2185.5214576217172</v>
      </c>
      <c r="C38" s="103">
        <f>'Future Type Share'!C36*'Future Type Share'!I36*0.5*'Future EndUse Share'!P46</f>
        <v>0</v>
      </c>
      <c r="D38" s="103">
        <f>'Future Type Share'!H36*'Future EndUse Share'!P46</f>
        <v>0</v>
      </c>
      <c r="E38" s="62">
        <f t="shared" si="12"/>
        <v>0</v>
      </c>
      <c r="F38" s="103">
        <f t="shared" si="13"/>
        <v>0</v>
      </c>
      <c r="G38" s="103">
        <f t="shared" si="14"/>
        <v>0</v>
      </c>
      <c r="K38" s="103">
        <v>2035</v>
      </c>
      <c r="L38" s="62">
        <f>'Future Type Share'!L36*'Future EndUse Share'!Y46</f>
        <v>12622.811160449457</v>
      </c>
      <c r="M38" s="62">
        <f t="shared" si="15"/>
        <v>0</v>
      </c>
      <c r="N38" s="62">
        <f>'Future Type Share'!H36*'Future EndUse Share'!N46</f>
        <v>0</v>
      </c>
      <c r="O38" s="62">
        <f t="shared" si="16"/>
        <v>0</v>
      </c>
      <c r="P38" s="62">
        <f t="shared" si="17"/>
        <v>0</v>
      </c>
      <c r="Q38" s="62">
        <f t="shared" si="18"/>
        <v>0</v>
      </c>
      <c r="U38" s="103">
        <v>2035</v>
      </c>
      <c r="V38" s="62">
        <f t="shared" si="10"/>
        <v>0</v>
      </c>
      <c r="W38" s="62">
        <f t="shared" si="19"/>
        <v>0</v>
      </c>
      <c r="X38" s="62">
        <f t="shared" si="20"/>
        <v>0</v>
      </c>
      <c r="Y38" s="62">
        <f t="shared" si="21"/>
        <v>0</v>
      </c>
      <c r="Z38" s="62">
        <f t="shared" si="22"/>
        <v>0</v>
      </c>
      <c r="AA38" s="62">
        <f t="shared" si="11"/>
        <v>0</v>
      </c>
      <c r="AE38" s="103">
        <v>2035</v>
      </c>
      <c r="AF38" s="62">
        <f>'Future Type Share'!L36*('Future EndUse Share'!Z46+'Future EndUse Share'!AB46+'Future EndUse Share'!AC46+'Future EndUse Share'!AD46)</f>
        <v>10780.884045670013</v>
      </c>
      <c r="AG38" s="103">
        <f>'Future Type Share'!C36*'Future Type Share'!K36*0.5*('Future EndUse Share'!Z46+'Future EndUse Share'!AB46+'Future EndUse Share'!AC46+'Future EndUse Share'!AD46)</f>
        <v>0</v>
      </c>
      <c r="AH38" s="103">
        <f>'Future Type Share'!C36*'Future Type Share'!I36*('Future EndUse Share'!O46+'Future EndUse Share'!Q46+'Future EndUse Share'!R46+'Future EndUse Share'!S46)</f>
        <v>7966.2094728802185</v>
      </c>
      <c r="AI38" s="62">
        <f t="shared" si="23"/>
        <v>0</v>
      </c>
      <c r="AJ38" s="103">
        <f t="shared" si="24"/>
        <v>0</v>
      </c>
      <c r="AK38" s="103">
        <f t="shared" si="25"/>
        <v>0</v>
      </c>
      <c r="AO38" s="103">
        <v>2035</v>
      </c>
      <c r="AP38" s="62">
        <f>'Future Type Share'!L36*('Future EndUse Share'!AE46)</f>
        <v>2868.9218314119212</v>
      </c>
      <c r="AQ38" s="62">
        <f>'Future Type Share'!J36*0.5*('Future EndUse Share'!T35)</f>
        <v>0</v>
      </c>
      <c r="AR38" s="62">
        <f>'Future Type Share'!H36*0.5*('Future EndUse Share'!T46)</f>
        <v>0.50482949764766916</v>
      </c>
      <c r="AS38" s="62">
        <f t="shared" si="26"/>
        <v>0</v>
      </c>
      <c r="AT38" s="103">
        <f t="shared" si="27"/>
        <v>0</v>
      </c>
      <c r="AU38" s="103">
        <f t="shared" si="28"/>
        <v>0</v>
      </c>
    </row>
    <row r="39" spans="1:47">
      <c r="A39" s="103">
        <v>2036</v>
      </c>
      <c r="B39" s="62">
        <f>'Future Type Share'!L37*'Future EndUse Share'!AA47</f>
        <v>2200.5577254265891</v>
      </c>
      <c r="C39" s="103">
        <f>'Future Type Share'!C37*'Future Type Share'!I37*0.5*'Future EndUse Share'!P47</f>
        <v>0</v>
      </c>
      <c r="D39" s="103">
        <f>'Future Type Share'!H37*'Future EndUse Share'!P47</f>
        <v>0</v>
      </c>
      <c r="E39" s="62">
        <f t="shared" si="12"/>
        <v>0</v>
      </c>
      <c r="F39" s="103">
        <f t="shared" si="13"/>
        <v>0</v>
      </c>
      <c r="G39" s="103">
        <f t="shared" si="14"/>
        <v>0</v>
      </c>
      <c r="K39" s="103">
        <v>2036</v>
      </c>
      <c r="L39" s="62">
        <f>'Future Type Share'!L37*'Future EndUse Share'!Y47</f>
        <v>12837.622550392221</v>
      </c>
      <c r="M39" s="62">
        <f t="shared" si="15"/>
        <v>0</v>
      </c>
      <c r="N39" s="62">
        <f>'Future Type Share'!H37*'Future EndUse Share'!N47</f>
        <v>0</v>
      </c>
      <c r="O39" s="62">
        <f t="shared" si="16"/>
        <v>0</v>
      </c>
      <c r="P39" s="62">
        <f t="shared" si="17"/>
        <v>0</v>
      </c>
      <c r="Q39" s="62">
        <f t="shared" si="18"/>
        <v>0</v>
      </c>
      <c r="U39" s="103">
        <v>2036</v>
      </c>
      <c r="V39" s="62">
        <f t="shared" si="10"/>
        <v>0</v>
      </c>
      <c r="W39" s="62">
        <f t="shared" si="19"/>
        <v>0</v>
      </c>
      <c r="X39" s="62">
        <f t="shared" si="20"/>
        <v>0</v>
      </c>
      <c r="Y39" s="62">
        <f t="shared" si="21"/>
        <v>0</v>
      </c>
      <c r="Z39" s="62">
        <f t="shared" si="22"/>
        <v>0</v>
      </c>
      <c r="AA39" s="62">
        <f t="shared" si="11"/>
        <v>0</v>
      </c>
      <c r="AE39" s="103">
        <v>2036</v>
      </c>
      <c r="AF39" s="62">
        <f>'Future Type Share'!L37*('Future EndUse Share'!Z47+'Future EndUse Share'!AB47+'Future EndUse Share'!AC47+'Future EndUse Share'!AD47)</f>
        <v>10866.478742043664</v>
      </c>
      <c r="AG39" s="103">
        <f>'Future Type Share'!C37*'Future Type Share'!K37*0.5*('Future EndUse Share'!Z47+'Future EndUse Share'!AB47+'Future EndUse Share'!AC47+'Future EndUse Share'!AD47)</f>
        <v>0</v>
      </c>
      <c r="AH39" s="103">
        <f>'Future Type Share'!C37*'Future Type Share'!I37*('Future EndUse Share'!O47+'Future EndUse Share'!Q47+'Future EndUse Share'!R47+'Future EndUse Share'!S47)</f>
        <v>7867.6637885379851</v>
      </c>
      <c r="AI39" s="62">
        <f t="shared" si="23"/>
        <v>0</v>
      </c>
      <c r="AJ39" s="103">
        <f t="shared" si="24"/>
        <v>0</v>
      </c>
      <c r="AK39" s="103">
        <f t="shared" si="25"/>
        <v>0</v>
      </c>
      <c r="AO39" s="103">
        <v>2036</v>
      </c>
      <c r="AP39" s="62">
        <f>'Future Type Share'!L37*('Future EndUse Share'!AE47)</f>
        <v>2902.6421149947132</v>
      </c>
      <c r="AQ39" s="62">
        <f>'Future Type Share'!J37*0.5*('Future EndUse Share'!T36)</f>
        <v>0</v>
      </c>
      <c r="AR39" s="62">
        <f>'Future Type Share'!H37*0.5*('Future EndUse Share'!T47)</f>
        <v>0.49858452398846548</v>
      </c>
      <c r="AS39" s="62">
        <f t="shared" si="26"/>
        <v>0</v>
      </c>
      <c r="AT39" s="103">
        <f t="shared" si="27"/>
        <v>0</v>
      </c>
      <c r="AU39" s="103">
        <f t="shared" si="28"/>
        <v>0</v>
      </c>
    </row>
    <row r="40" spans="1:47">
      <c r="A40" s="103">
        <v>2037</v>
      </c>
      <c r="B40" s="62">
        <f>'Future Type Share'!L38*'Future EndUse Share'!AA48</f>
        <v>2214.8845711971308</v>
      </c>
      <c r="C40" s="103">
        <f>'Future Type Share'!C38*'Future Type Share'!I38*0.5*'Future EndUse Share'!P48</f>
        <v>0</v>
      </c>
      <c r="D40" s="103">
        <f>'Future Type Share'!H38*'Future EndUse Share'!P48</f>
        <v>0</v>
      </c>
      <c r="E40" s="62">
        <f t="shared" si="12"/>
        <v>0</v>
      </c>
      <c r="F40" s="103">
        <f t="shared" si="13"/>
        <v>0</v>
      </c>
      <c r="G40" s="103">
        <f t="shared" si="14"/>
        <v>0</v>
      </c>
      <c r="K40" s="103">
        <v>2037</v>
      </c>
      <c r="L40" s="62">
        <f>'Future Type Share'!L38*'Future EndUse Share'!Y48</f>
        <v>13050.002839099905</v>
      </c>
      <c r="M40" s="62">
        <f t="shared" si="15"/>
        <v>0</v>
      </c>
      <c r="N40" s="62">
        <f>'Future Type Share'!H38*'Future EndUse Share'!N48</f>
        <v>0</v>
      </c>
      <c r="O40" s="62">
        <f t="shared" si="16"/>
        <v>0</v>
      </c>
      <c r="P40" s="62">
        <f t="shared" si="17"/>
        <v>0</v>
      </c>
      <c r="Q40" s="62">
        <f t="shared" si="18"/>
        <v>0</v>
      </c>
      <c r="U40" s="103">
        <v>2037</v>
      </c>
      <c r="V40" s="62">
        <f t="shared" si="10"/>
        <v>0</v>
      </c>
      <c r="W40" s="62">
        <f t="shared" si="19"/>
        <v>0</v>
      </c>
      <c r="X40" s="62">
        <f t="shared" si="20"/>
        <v>0</v>
      </c>
      <c r="Y40" s="62">
        <f t="shared" si="21"/>
        <v>0</v>
      </c>
      <c r="Z40" s="62">
        <f t="shared" si="22"/>
        <v>0</v>
      </c>
      <c r="AA40" s="62">
        <f t="shared" si="11"/>
        <v>0</v>
      </c>
      <c r="AE40" s="103">
        <v>2037</v>
      </c>
      <c r="AF40" s="62">
        <f>'Future Type Share'!L38*('Future EndUse Share'!Z48+'Future EndUse Share'!AB48+'Future EndUse Share'!AC48+'Future EndUse Share'!AD48)</f>
        <v>10948.72269226639</v>
      </c>
      <c r="AG40" s="103">
        <f>'Future Type Share'!C38*'Future Type Share'!K38*0.5*('Future EndUse Share'!Z48+'Future EndUse Share'!AB48+'Future EndUse Share'!AC48+'Future EndUse Share'!AD48)</f>
        <v>0</v>
      </c>
      <c r="AH40" s="103">
        <f>'Future Type Share'!C38*'Future Type Share'!I38*('Future EndUse Share'!O48+'Future EndUse Share'!Q48+'Future EndUse Share'!R48+'Future EndUse Share'!S48)</f>
        <v>7764.5354437638252</v>
      </c>
      <c r="AI40" s="62">
        <f t="shared" si="23"/>
        <v>0</v>
      </c>
      <c r="AJ40" s="103">
        <f t="shared" si="24"/>
        <v>0</v>
      </c>
      <c r="AK40" s="103">
        <f t="shared" si="25"/>
        <v>0</v>
      </c>
      <c r="AO40" s="103">
        <v>2037</v>
      </c>
      <c r="AP40" s="62">
        <f>'Future Type Share'!L38*('Future EndUse Share'!AE48)</f>
        <v>2935.6132086764155</v>
      </c>
      <c r="AQ40" s="62">
        <f>'Future Type Share'!J38*0.5*('Future EndUse Share'!T37)</f>
        <v>0</v>
      </c>
      <c r="AR40" s="62">
        <f>'Future Type Share'!H38*0.5*('Future EndUse Share'!T48)</f>
        <v>0.4920491409229294</v>
      </c>
      <c r="AS40" s="62">
        <f t="shared" si="26"/>
        <v>0</v>
      </c>
      <c r="AT40" s="103">
        <f t="shared" si="27"/>
        <v>0</v>
      </c>
      <c r="AU40" s="103">
        <f t="shared" si="28"/>
        <v>0</v>
      </c>
    </row>
    <row r="41" spans="1:47">
      <c r="A41" s="103">
        <v>2038</v>
      </c>
      <c r="B41" s="62">
        <f>'Future Type Share'!L39*'Future EndUse Share'!AA49</f>
        <v>2228.3282376518468</v>
      </c>
      <c r="C41" s="103">
        <f>'Future Type Share'!C39*'Future Type Share'!I39*0.5*'Future EndUse Share'!P49</f>
        <v>0</v>
      </c>
      <c r="D41" s="103">
        <f>'Future Type Share'!H39*'Future EndUse Share'!P49</f>
        <v>0</v>
      </c>
      <c r="E41" s="62">
        <f t="shared" si="12"/>
        <v>0</v>
      </c>
      <c r="F41" s="103">
        <f t="shared" si="13"/>
        <v>0</v>
      </c>
      <c r="G41" s="103">
        <f t="shared" si="14"/>
        <v>0</v>
      </c>
      <c r="K41" s="103">
        <v>2038</v>
      </c>
      <c r="L41" s="62">
        <f>'Future Type Share'!L39*'Future EndUse Share'!Y49</f>
        <v>13258.79438869739</v>
      </c>
      <c r="M41" s="62">
        <f t="shared" si="15"/>
        <v>0</v>
      </c>
      <c r="N41" s="62">
        <f>'Future Type Share'!H39*'Future EndUse Share'!N49</f>
        <v>0</v>
      </c>
      <c r="O41" s="62">
        <f t="shared" si="16"/>
        <v>0</v>
      </c>
      <c r="P41" s="62">
        <f t="shared" si="17"/>
        <v>0</v>
      </c>
      <c r="Q41" s="62">
        <f t="shared" si="18"/>
        <v>0</v>
      </c>
      <c r="U41" s="103">
        <v>2038</v>
      </c>
      <c r="V41" s="62">
        <f t="shared" si="10"/>
        <v>0</v>
      </c>
      <c r="W41" s="62">
        <f t="shared" si="19"/>
        <v>0</v>
      </c>
      <c r="X41" s="62">
        <f t="shared" si="20"/>
        <v>0</v>
      </c>
      <c r="Y41" s="62">
        <f t="shared" si="21"/>
        <v>0</v>
      </c>
      <c r="Z41" s="62">
        <f t="shared" si="22"/>
        <v>0</v>
      </c>
      <c r="AA41" s="62">
        <f t="shared" si="11"/>
        <v>0</v>
      </c>
      <c r="AE41" s="103">
        <v>2038</v>
      </c>
      <c r="AF41" s="62">
        <f>'Future Type Share'!L39*('Future EndUse Share'!Z49+'Future EndUse Share'!AB49+'Future EndUse Share'!AC49+'Future EndUse Share'!AD49)</f>
        <v>11026.745021585033</v>
      </c>
      <c r="AG41" s="103">
        <f>'Future Type Share'!C39*'Future Type Share'!K39*0.5*('Future EndUse Share'!Z49+'Future EndUse Share'!AB49+'Future EndUse Share'!AC49+'Future EndUse Share'!AD49)</f>
        <v>0</v>
      </c>
      <c r="AH41" s="103">
        <f>'Future Type Share'!C39*'Future Type Share'!I39*('Future EndUse Share'!O49+'Future EndUse Share'!Q49+'Future EndUse Share'!R49+'Future EndUse Share'!S49)</f>
        <v>7656.3757359219317</v>
      </c>
      <c r="AI41" s="62">
        <f t="shared" si="23"/>
        <v>0</v>
      </c>
      <c r="AJ41" s="103">
        <f t="shared" si="24"/>
        <v>0</v>
      </c>
      <c r="AK41" s="103">
        <f t="shared" si="25"/>
        <v>0</v>
      </c>
      <c r="AO41" s="103">
        <v>2038</v>
      </c>
      <c r="AP41" s="62">
        <f>'Future Type Share'!L39*('Future EndUse Share'!AE49)</f>
        <v>2967.5901871808042</v>
      </c>
      <c r="AQ41" s="62">
        <f>'Future Type Share'!J39*0.5*('Future EndUse Share'!T38)</f>
        <v>0</v>
      </c>
      <c r="AR41" s="62">
        <f>'Future Type Share'!H39*0.5*('Future EndUse Share'!T49)</f>
        <v>0.48519491355652294</v>
      </c>
      <c r="AS41" s="62">
        <f t="shared" si="26"/>
        <v>0</v>
      </c>
      <c r="AT41" s="103">
        <f t="shared" si="27"/>
        <v>0</v>
      </c>
      <c r="AU41" s="103">
        <f t="shared" si="28"/>
        <v>0</v>
      </c>
    </row>
    <row r="42" spans="1:47">
      <c r="A42" s="103">
        <v>2039</v>
      </c>
      <c r="B42" s="62">
        <f>'Future Type Share'!L40*'Future EndUse Share'!AA50</f>
        <v>2240.6031619924956</v>
      </c>
      <c r="C42" s="103">
        <f>'Future Type Share'!C40*'Future Type Share'!I40*0.5*'Future EndUse Share'!P50</f>
        <v>0</v>
      </c>
      <c r="D42" s="103">
        <f>'Future Type Share'!H40*'Future EndUse Share'!P50</f>
        <v>0</v>
      </c>
      <c r="E42" s="62">
        <f t="shared" si="12"/>
        <v>0</v>
      </c>
      <c r="F42" s="103">
        <f t="shared" si="13"/>
        <v>0</v>
      </c>
      <c r="G42" s="103">
        <f t="shared" si="14"/>
        <v>0</v>
      </c>
      <c r="K42" s="103">
        <v>2039</v>
      </c>
      <c r="L42" s="62">
        <f>'Future Type Share'!L40*'Future EndUse Share'!Y50</f>
        <v>13462.127387212839</v>
      </c>
      <c r="M42" s="62">
        <f t="shared" si="15"/>
        <v>0</v>
      </c>
      <c r="N42" s="62">
        <f>'Future Type Share'!H40*'Future EndUse Share'!N50</f>
        <v>0</v>
      </c>
      <c r="O42" s="62">
        <f t="shared" si="16"/>
        <v>0</v>
      </c>
      <c r="P42" s="62">
        <f t="shared" si="17"/>
        <v>0</v>
      </c>
      <c r="Q42" s="62">
        <f t="shared" si="18"/>
        <v>0</v>
      </c>
      <c r="U42" s="103">
        <v>2039</v>
      </c>
      <c r="V42" s="62">
        <f t="shared" si="10"/>
        <v>0</v>
      </c>
      <c r="W42" s="62">
        <f t="shared" si="19"/>
        <v>0</v>
      </c>
      <c r="X42" s="62">
        <f t="shared" si="20"/>
        <v>0</v>
      </c>
      <c r="Y42" s="62">
        <f t="shared" si="21"/>
        <v>0</v>
      </c>
      <c r="Z42" s="62">
        <f t="shared" si="22"/>
        <v>0</v>
      </c>
      <c r="AA42" s="62">
        <f t="shared" si="11"/>
        <v>0</v>
      </c>
      <c r="AE42" s="103">
        <v>2039</v>
      </c>
      <c r="AF42" s="62">
        <f>'Future Type Share'!L40*('Future EndUse Share'!Z50+'Future EndUse Share'!AB50+'Future EndUse Share'!AC50+'Future EndUse Share'!AD50)</f>
        <v>11099.117404361567</v>
      </c>
      <c r="AG42" s="103">
        <f>'Future Type Share'!C40*'Future Type Share'!K40*0.5*('Future EndUse Share'!Z50+'Future EndUse Share'!AB50+'Future EndUse Share'!AC50+'Future EndUse Share'!AD50)</f>
        <v>0</v>
      </c>
      <c r="AH42" s="103">
        <f>'Future Type Share'!C40*'Future Type Share'!I40*('Future EndUse Share'!O50+'Future EndUse Share'!Q50+'Future EndUse Share'!R50+'Future EndUse Share'!S50)</f>
        <v>7542.4080334566461</v>
      </c>
      <c r="AI42" s="62">
        <f t="shared" si="23"/>
        <v>0</v>
      </c>
      <c r="AJ42" s="103">
        <f t="shared" si="24"/>
        <v>0</v>
      </c>
      <c r="AK42" s="103">
        <f t="shared" si="25"/>
        <v>0</v>
      </c>
      <c r="AO42" s="103">
        <v>2039</v>
      </c>
      <c r="AP42" s="62">
        <f>'Future Type Share'!L40*('Future EndUse Share'!AE50)</f>
        <v>2998.1741009333227</v>
      </c>
      <c r="AQ42" s="62">
        <f>'Future Type Share'!J40*0.5*('Future EndUse Share'!T39)</f>
        <v>0</v>
      </c>
      <c r="AR42" s="62">
        <f>'Future Type Share'!H40*0.5*('Future EndUse Share'!T50)</f>
        <v>0.47797262569433752</v>
      </c>
      <c r="AS42" s="62">
        <f t="shared" si="26"/>
        <v>0</v>
      </c>
      <c r="AT42" s="103">
        <f t="shared" si="27"/>
        <v>0</v>
      </c>
      <c r="AU42" s="103">
        <f t="shared" si="28"/>
        <v>0</v>
      </c>
    </row>
    <row r="43" spans="1:47">
      <c r="A43" s="103">
        <v>2040</v>
      </c>
      <c r="B43" s="62">
        <f>'Future Type Share'!L41*'Future EndUse Share'!AA51</f>
        <v>2251.9410648230214</v>
      </c>
      <c r="C43" s="103">
        <f>'Future Type Share'!C41*'Future Type Share'!I41*0.5*'Future EndUse Share'!P51</f>
        <v>0</v>
      </c>
      <c r="D43" s="103">
        <f>'Future Type Share'!H41*'Future EndUse Share'!P51</f>
        <v>0</v>
      </c>
      <c r="E43" s="62">
        <f t="shared" si="12"/>
        <v>0</v>
      </c>
      <c r="F43" s="103">
        <f t="shared" si="13"/>
        <v>0</v>
      </c>
      <c r="G43" s="103">
        <f t="shared" si="14"/>
        <v>0</v>
      </c>
      <c r="K43" s="103">
        <v>2040</v>
      </c>
      <c r="L43" s="62">
        <f>'Future Type Share'!L41*'Future EndUse Share'!Y51</f>
        <v>13661.203652872391</v>
      </c>
      <c r="M43" s="62">
        <f t="shared" si="15"/>
        <v>0</v>
      </c>
      <c r="N43" s="62">
        <f>'Future Type Share'!H41*'Future EndUse Share'!N51</f>
        <v>0</v>
      </c>
      <c r="O43" s="62">
        <f t="shared" si="16"/>
        <v>0</v>
      </c>
      <c r="P43" s="62">
        <f t="shared" si="17"/>
        <v>0</v>
      </c>
      <c r="Q43" s="62">
        <f t="shared" si="18"/>
        <v>0</v>
      </c>
      <c r="U43" s="103">
        <v>2040</v>
      </c>
      <c r="V43" s="62">
        <f t="shared" si="10"/>
        <v>0</v>
      </c>
      <c r="W43" s="62">
        <f t="shared" si="19"/>
        <v>0</v>
      </c>
      <c r="X43" s="62">
        <f t="shared" si="20"/>
        <v>0</v>
      </c>
      <c r="Y43" s="62">
        <f t="shared" si="21"/>
        <v>0</v>
      </c>
      <c r="Z43" s="62">
        <f t="shared" si="22"/>
        <v>0</v>
      </c>
      <c r="AA43" s="62">
        <f t="shared" si="11"/>
        <v>0</v>
      </c>
      <c r="AE43" s="103">
        <v>2040</v>
      </c>
      <c r="AF43" s="62">
        <f>'Future Type Share'!L41*('Future EndUse Share'!Z51+'Future EndUse Share'!AB51+'Future EndUse Share'!AC51+'Future EndUse Share'!AD51)</f>
        <v>11166.97070103419</v>
      </c>
      <c r="AG43" s="103">
        <f>'Future Type Share'!C41*'Future Type Share'!K41*0.5*('Future EndUse Share'!Z51+'Future EndUse Share'!AB51+'Future EndUse Share'!AC51+'Future EndUse Share'!AD51)</f>
        <v>0</v>
      </c>
      <c r="AH43" s="103">
        <f>'Future Type Share'!C41*'Future Type Share'!I41*('Future EndUse Share'!O51+'Future EndUse Share'!Q51+'Future EndUse Share'!R51+'Future EndUse Share'!S51)</f>
        <v>7423.6405577437517</v>
      </c>
      <c r="AI43" s="62">
        <f t="shared" si="23"/>
        <v>0</v>
      </c>
      <c r="AJ43" s="103">
        <f t="shared" si="24"/>
        <v>0</v>
      </c>
      <c r="AK43" s="103">
        <f t="shared" si="25"/>
        <v>0</v>
      </c>
      <c r="AO43" s="103">
        <v>2040</v>
      </c>
      <c r="AP43" s="62">
        <f>'Future Type Share'!L41*('Future EndUse Share'!AE51)</f>
        <v>3027.6542115709576</v>
      </c>
      <c r="AQ43" s="62">
        <f>'Future Type Share'!J41*0.5*('Future EndUse Share'!T40)</f>
        <v>0</v>
      </c>
      <c r="AR43" s="62">
        <f>'Future Type Share'!H41*0.5*('Future EndUse Share'!T51)</f>
        <v>0.470446169692253</v>
      </c>
      <c r="AS43" s="62">
        <f t="shared" si="26"/>
        <v>0</v>
      </c>
      <c r="AT43" s="103">
        <f t="shared" si="27"/>
        <v>0</v>
      </c>
      <c r="AU43" s="103">
        <f t="shared" si="28"/>
        <v>0</v>
      </c>
    </row>
    <row r="44" spans="1:47">
      <c r="A44" s="103">
        <v>2041</v>
      </c>
      <c r="B44" s="62">
        <f>'Future Type Share'!L42*'Future EndUse Share'!AA52</f>
        <v>2262.1642706536509</v>
      </c>
      <c r="C44" s="103">
        <f>'Future Type Share'!C42*'Future Type Share'!I42*0.5*'Future EndUse Share'!P52</f>
        <v>0</v>
      </c>
      <c r="D44" s="103">
        <f>'Future Type Share'!H42*'Future EndUse Share'!P52</f>
        <v>0</v>
      </c>
      <c r="E44" s="62">
        <f t="shared" si="12"/>
        <v>0</v>
      </c>
      <c r="F44" s="103">
        <f t="shared" si="13"/>
        <v>0</v>
      </c>
      <c r="G44" s="103">
        <f t="shared" si="14"/>
        <v>0</v>
      </c>
      <c r="K44" s="103">
        <v>2041</v>
      </c>
      <c r="L44" s="62">
        <f>'Future Type Share'!L42*'Future EndUse Share'!Y52</f>
        <v>13854.771531217519</v>
      </c>
      <c r="M44" s="62">
        <f t="shared" si="15"/>
        <v>0</v>
      </c>
      <c r="N44" s="62">
        <f>'Future Type Share'!H42*'Future EndUse Share'!N52</f>
        <v>0</v>
      </c>
      <c r="O44" s="62">
        <f t="shared" si="16"/>
        <v>0</v>
      </c>
      <c r="P44" s="62">
        <f t="shared" si="17"/>
        <v>0</v>
      </c>
      <c r="Q44" s="62">
        <f t="shared" si="18"/>
        <v>0</v>
      </c>
      <c r="U44" s="103">
        <v>2041</v>
      </c>
      <c r="V44" s="62">
        <f t="shared" si="10"/>
        <v>0</v>
      </c>
      <c r="W44" s="62">
        <f t="shared" si="19"/>
        <v>0</v>
      </c>
      <c r="X44" s="62">
        <f t="shared" si="20"/>
        <v>0</v>
      </c>
      <c r="Y44" s="62">
        <f t="shared" si="21"/>
        <v>0</v>
      </c>
      <c r="Z44" s="62">
        <f t="shared" si="22"/>
        <v>0</v>
      </c>
      <c r="AA44" s="62">
        <f t="shared" si="11"/>
        <v>0</v>
      </c>
      <c r="AE44" s="103">
        <v>2041</v>
      </c>
      <c r="AF44" s="62">
        <f>'Future Type Share'!L42*('Future EndUse Share'!Z52+'Future EndUse Share'!AB52+'Future EndUse Share'!AC52+'Future EndUse Share'!AD52)</f>
        <v>11229.408336650473</v>
      </c>
      <c r="AG44" s="103">
        <f>'Future Type Share'!C42*'Future Type Share'!K42*0.5*('Future EndUse Share'!Z52+'Future EndUse Share'!AB52+'Future EndUse Share'!AC52+'Future EndUse Share'!AD52)</f>
        <v>0</v>
      </c>
      <c r="AH44" s="103">
        <f>'Future Type Share'!C42*'Future Type Share'!I42*('Future EndUse Share'!O52+'Future EndUse Share'!Q52+'Future EndUse Share'!R52+'Future EndUse Share'!S52)</f>
        <v>7299.6958720376078</v>
      </c>
      <c r="AI44" s="62">
        <f t="shared" si="23"/>
        <v>0</v>
      </c>
      <c r="AJ44" s="103">
        <f t="shared" si="24"/>
        <v>0</v>
      </c>
      <c r="AK44" s="103">
        <f t="shared" si="25"/>
        <v>0</v>
      </c>
      <c r="AO44" s="103">
        <v>2041</v>
      </c>
      <c r="AP44" s="62">
        <f>'Future Type Share'!L42*('Future EndUse Share'!AE52)</f>
        <v>3055.7726504145216</v>
      </c>
      <c r="AQ44" s="62">
        <f>'Future Type Share'!J42*0.5*('Future EndUse Share'!T41)</f>
        <v>0</v>
      </c>
      <c r="AR44" s="62">
        <f>'Future Type Share'!H42*0.5*('Future EndUse Share'!T52)</f>
        <v>0.4625916268718383</v>
      </c>
      <c r="AS44" s="62">
        <f t="shared" si="26"/>
        <v>0</v>
      </c>
      <c r="AT44" s="103">
        <f t="shared" si="27"/>
        <v>0</v>
      </c>
      <c r="AU44" s="103">
        <f t="shared" si="28"/>
        <v>0</v>
      </c>
    </row>
    <row r="45" spans="1:47">
      <c r="A45" s="103">
        <v>2042</v>
      </c>
      <c r="B45" s="62">
        <f>'Future Type Share'!L43*'Future EndUse Share'!AA53</f>
        <v>2271.3967792596181</v>
      </c>
      <c r="C45" s="103">
        <f>'Future Type Share'!C43*'Future Type Share'!I43*0.5*'Future EndUse Share'!P53</f>
        <v>0</v>
      </c>
      <c r="D45" s="103">
        <f>'Future Type Share'!H43*'Future EndUse Share'!P53</f>
        <v>0</v>
      </c>
      <c r="E45" s="62">
        <f t="shared" si="12"/>
        <v>0</v>
      </c>
      <c r="F45" s="103">
        <f t="shared" si="13"/>
        <v>0</v>
      </c>
      <c r="G45" s="103">
        <f t="shared" si="14"/>
        <v>0</v>
      </c>
      <c r="K45" s="103">
        <v>2042</v>
      </c>
      <c r="L45" s="62">
        <f>'Future Type Share'!L43*'Future EndUse Share'!Y53</f>
        <v>14043.403211703368</v>
      </c>
      <c r="M45" s="62">
        <f t="shared" si="15"/>
        <v>0</v>
      </c>
      <c r="N45" s="62">
        <f>'Future Type Share'!H43*'Future EndUse Share'!N53</f>
        <v>0</v>
      </c>
      <c r="O45" s="62">
        <f t="shared" si="16"/>
        <v>0</v>
      </c>
      <c r="P45" s="62">
        <f t="shared" si="17"/>
        <v>0</v>
      </c>
      <c r="Q45" s="62">
        <f t="shared" si="18"/>
        <v>0</v>
      </c>
      <c r="U45" s="103">
        <v>2042</v>
      </c>
      <c r="V45" s="62">
        <f t="shared" si="10"/>
        <v>0</v>
      </c>
      <c r="W45" s="62">
        <f t="shared" si="19"/>
        <v>0</v>
      </c>
      <c r="X45" s="62">
        <f t="shared" si="20"/>
        <v>0</v>
      </c>
      <c r="Y45" s="62">
        <f t="shared" si="21"/>
        <v>0</v>
      </c>
      <c r="Z45" s="62">
        <f t="shared" si="22"/>
        <v>0</v>
      </c>
      <c r="AA45" s="62">
        <f t="shared" si="11"/>
        <v>0</v>
      </c>
      <c r="AE45" s="103">
        <v>2042</v>
      </c>
      <c r="AF45" s="62">
        <f>'Future Type Share'!L43*('Future EndUse Share'!Z53+'Future EndUse Share'!AB53+'Future EndUse Share'!AC53+'Future EndUse Share'!AD53)</f>
        <v>11287.02913239034</v>
      </c>
      <c r="AG45" s="103">
        <f>'Future Type Share'!C43*'Future Type Share'!K43*0.5*('Future EndUse Share'!Z53+'Future EndUse Share'!AB53+'Future EndUse Share'!AC53+'Future EndUse Share'!AD53)</f>
        <v>0</v>
      </c>
      <c r="AH45" s="103">
        <f>'Future Type Share'!C43*'Future Type Share'!I43*('Future EndUse Share'!O53+'Future EndUse Share'!Q53+'Future EndUse Share'!R53+'Future EndUse Share'!S53)</f>
        <v>7171.1985088764304</v>
      </c>
      <c r="AI45" s="62">
        <f t="shared" si="23"/>
        <v>0</v>
      </c>
      <c r="AJ45" s="103">
        <f t="shared" si="24"/>
        <v>0</v>
      </c>
      <c r="AK45" s="103">
        <f t="shared" si="25"/>
        <v>0</v>
      </c>
      <c r="AO45" s="103">
        <v>2042</v>
      </c>
      <c r="AP45" s="62">
        <f>'Future Type Share'!L43*('Future EndUse Share'!AE53)</f>
        <v>3082.6764582811315</v>
      </c>
      <c r="AQ45" s="62">
        <f>'Future Type Share'!J43*0.5*('Future EndUse Share'!T42)</f>
        <v>0</v>
      </c>
      <c r="AR45" s="62">
        <f>'Future Type Share'!H43*0.5*('Future EndUse Share'!T53)</f>
        <v>0.45444857470699812</v>
      </c>
      <c r="AS45" s="62">
        <f t="shared" si="26"/>
        <v>0</v>
      </c>
      <c r="AT45" s="103">
        <f t="shared" si="27"/>
        <v>0</v>
      </c>
      <c r="AU45" s="103">
        <f t="shared" si="28"/>
        <v>0</v>
      </c>
    </row>
    <row r="46" spans="1:47">
      <c r="A46" s="103">
        <v>2043</v>
      </c>
      <c r="B46" s="62">
        <f>'Future Type Share'!L44*'Future EndUse Share'!AA54</f>
        <v>2280.0698464753091</v>
      </c>
      <c r="C46" s="103">
        <f>'Future Type Share'!C44*'Future Type Share'!I44*0.5*'Future EndUse Share'!P54</f>
        <v>0</v>
      </c>
      <c r="D46" s="103">
        <f>'Future Type Share'!H44*'Future EndUse Share'!P54</f>
        <v>0</v>
      </c>
      <c r="E46" s="62">
        <f t="shared" si="12"/>
        <v>0</v>
      </c>
      <c r="F46" s="103">
        <f t="shared" si="13"/>
        <v>0</v>
      </c>
      <c r="G46" s="103">
        <f t="shared" si="14"/>
        <v>0</v>
      </c>
      <c r="K46" s="103">
        <v>2043</v>
      </c>
      <c r="L46" s="62">
        <f>'Future Type Share'!L44*'Future EndUse Share'!Y54</f>
        <v>14229.617272015681</v>
      </c>
      <c r="M46" s="62">
        <f t="shared" si="15"/>
        <v>0</v>
      </c>
      <c r="N46" s="62">
        <f>'Future Type Share'!H44*'Future EndUse Share'!N54</f>
        <v>0</v>
      </c>
      <c r="O46" s="62">
        <f t="shared" si="16"/>
        <v>0</v>
      </c>
      <c r="P46" s="62">
        <f t="shared" si="17"/>
        <v>0</v>
      </c>
      <c r="Q46" s="62">
        <f t="shared" si="18"/>
        <v>0</v>
      </c>
      <c r="U46" s="103">
        <v>2043</v>
      </c>
      <c r="V46" s="62">
        <f t="shared" si="10"/>
        <v>0</v>
      </c>
      <c r="W46" s="62">
        <f t="shared" si="19"/>
        <v>0</v>
      </c>
      <c r="X46" s="62">
        <f t="shared" si="20"/>
        <v>0</v>
      </c>
      <c r="Y46" s="62">
        <f t="shared" si="21"/>
        <v>0</v>
      </c>
      <c r="Z46" s="62">
        <f t="shared" si="22"/>
        <v>0</v>
      </c>
      <c r="AA46" s="62">
        <f t="shared" si="11"/>
        <v>0</v>
      </c>
      <c r="AE46" s="103">
        <v>2043</v>
      </c>
      <c r="AF46" s="62">
        <f>'Future Type Share'!L44*('Future EndUse Share'!Z54+'Future EndUse Share'!AB54+'Future EndUse Share'!AC54+'Future EndUse Share'!AD54)</f>
        <v>11341.962896410076</v>
      </c>
      <c r="AG46" s="103">
        <f>'Future Type Share'!C44*'Future Type Share'!K44*0.5*('Future EndUse Share'!Z54+'Future EndUse Share'!AB54+'Future EndUse Share'!AC54+'Future EndUse Share'!AD54)</f>
        <v>0</v>
      </c>
      <c r="AH46" s="103">
        <f>'Future Type Share'!C44*'Future Type Share'!I44*('Future EndUse Share'!O54+'Future EndUse Share'!Q54+'Future EndUse Share'!R54+'Future EndUse Share'!S54)</f>
        <v>7039.6870847783412</v>
      </c>
      <c r="AI46" s="62">
        <f t="shared" si="23"/>
        <v>0</v>
      </c>
      <c r="AJ46" s="103">
        <f t="shared" si="24"/>
        <v>0</v>
      </c>
      <c r="AK46" s="103">
        <f t="shared" si="25"/>
        <v>0</v>
      </c>
      <c r="AO46" s="103">
        <v>2043</v>
      </c>
      <c r="AP46" s="62">
        <f>'Future Type Share'!L44*('Future EndUse Share'!AE54)</f>
        <v>3108.9347792075828</v>
      </c>
      <c r="AQ46" s="62">
        <f>'Future Type Share'!J44*0.5*('Future EndUse Share'!T43)</f>
        <v>0</v>
      </c>
      <c r="AR46" s="62">
        <f>'Future Type Share'!H44*0.5*('Future EndUse Share'!T54)</f>
        <v>0.44611451741307617</v>
      </c>
      <c r="AS46" s="62">
        <f t="shared" si="26"/>
        <v>0</v>
      </c>
      <c r="AT46" s="103">
        <f t="shared" si="27"/>
        <v>0</v>
      </c>
      <c r="AU46" s="103">
        <f t="shared" si="28"/>
        <v>0</v>
      </c>
    </row>
    <row r="47" spans="1:47">
      <c r="A47" s="103">
        <v>2044</v>
      </c>
      <c r="B47" s="62">
        <f>'Future Type Share'!L45*'Future EndUse Share'!AA55</f>
        <v>2288.0643385044064</v>
      </c>
      <c r="C47" s="103">
        <f>'Future Type Share'!C45*'Future Type Share'!I45*0.5*'Future EndUse Share'!P55</f>
        <v>0</v>
      </c>
      <c r="D47" s="103">
        <f>'Future Type Share'!H45*'Future EndUse Share'!P55</f>
        <v>0</v>
      </c>
      <c r="E47" s="62">
        <f t="shared" si="12"/>
        <v>0</v>
      </c>
      <c r="F47" s="103">
        <f t="shared" si="13"/>
        <v>0</v>
      </c>
      <c r="G47" s="103">
        <f t="shared" si="14"/>
        <v>0</v>
      </c>
      <c r="K47" s="103">
        <v>2044</v>
      </c>
      <c r="L47" s="62">
        <f>'Future Type Share'!L45*'Future EndUse Share'!Y55</f>
        <v>14412.565687708035</v>
      </c>
      <c r="M47" s="62">
        <f t="shared" si="15"/>
        <v>0</v>
      </c>
      <c r="N47" s="62">
        <f>'Future Type Share'!H45*'Future EndUse Share'!N55</f>
        <v>0</v>
      </c>
      <c r="O47" s="62">
        <f t="shared" si="16"/>
        <v>0</v>
      </c>
      <c r="P47" s="62">
        <f t="shared" si="17"/>
        <v>0</v>
      </c>
      <c r="Q47" s="62">
        <f t="shared" si="18"/>
        <v>0</v>
      </c>
      <c r="U47" s="103">
        <v>2044</v>
      </c>
      <c r="V47" s="62">
        <f t="shared" si="10"/>
        <v>0</v>
      </c>
      <c r="W47" s="62">
        <f t="shared" si="19"/>
        <v>0</v>
      </c>
      <c r="X47" s="62">
        <f t="shared" si="20"/>
        <v>0</v>
      </c>
      <c r="Y47" s="62">
        <f t="shared" si="21"/>
        <v>0</v>
      </c>
      <c r="Z47" s="62">
        <f t="shared" si="22"/>
        <v>0</v>
      </c>
      <c r="AA47" s="62">
        <f t="shared" si="11"/>
        <v>0</v>
      </c>
      <c r="AE47" s="103">
        <v>2044</v>
      </c>
      <c r="AF47" s="62">
        <f>'Future Type Share'!L45*('Future EndUse Share'!Z55+'Future EndUse Share'!AB55+'Future EndUse Share'!AC55+'Future EndUse Share'!AD55)</f>
        <v>11393.607680050402</v>
      </c>
      <c r="AG47" s="103">
        <f>'Future Type Share'!C45*'Future Type Share'!K45*0.5*('Future EndUse Share'!Z55+'Future EndUse Share'!AB55+'Future EndUse Share'!AC55+'Future EndUse Share'!AD55)</f>
        <v>0</v>
      </c>
      <c r="AH47" s="103">
        <f>'Future Type Share'!C45*'Future Type Share'!I45*('Future EndUse Share'!O55+'Future EndUse Share'!Q55+'Future EndUse Share'!R55+'Future EndUse Share'!S55)</f>
        <v>6904.9190371372833</v>
      </c>
      <c r="AI47" s="62">
        <f t="shared" si="23"/>
        <v>0</v>
      </c>
      <c r="AJ47" s="103">
        <f t="shared" si="24"/>
        <v>0</v>
      </c>
      <c r="AK47" s="103">
        <f t="shared" si="25"/>
        <v>0</v>
      </c>
      <c r="AO47" s="103">
        <v>2044</v>
      </c>
      <c r="AP47" s="62">
        <f>'Future Type Share'!L45*('Future EndUse Share'!AE55)</f>
        <v>3134.3737501730429</v>
      </c>
      <c r="AQ47" s="62">
        <f>'Future Type Share'!J45*0.5*('Future EndUse Share'!T44)</f>
        <v>0</v>
      </c>
      <c r="AR47" s="62">
        <f>'Future Type Share'!H45*0.5*('Future EndUse Share'!T55)</f>
        <v>0.43757408346877591</v>
      </c>
      <c r="AS47" s="62">
        <f t="shared" si="26"/>
        <v>0</v>
      </c>
      <c r="AT47" s="103">
        <f t="shared" si="27"/>
        <v>0</v>
      </c>
      <c r="AU47" s="103">
        <f t="shared" si="28"/>
        <v>0</v>
      </c>
    </row>
    <row r="48" spans="1:47">
      <c r="A48" s="103">
        <v>2045</v>
      </c>
      <c r="B48" s="62">
        <f>'Future Type Share'!L46*'Future EndUse Share'!AA56</f>
        <v>2295.1757114397483</v>
      </c>
      <c r="C48" s="103">
        <f>'Future Type Share'!C46*'Future Type Share'!I46*0.5*'Future EndUse Share'!P56</f>
        <v>0</v>
      </c>
      <c r="D48" s="103">
        <f>'Future Type Share'!H46*'Future EndUse Share'!P56</f>
        <v>0</v>
      </c>
      <c r="E48" s="62">
        <f t="shared" si="12"/>
        <v>0</v>
      </c>
      <c r="F48" s="103">
        <f t="shared" si="13"/>
        <v>0</v>
      </c>
      <c r="G48" s="103">
        <f t="shared" si="14"/>
        <v>0</v>
      </c>
      <c r="K48" s="103">
        <v>2045</v>
      </c>
      <c r="L48" s="62">
        <f>'Future Type Share'!L46*'Future EndUse Share'!Y56</f>
        <v>14590.829755916666</v>
      </c>
      <c r="M48" s="62">
        <f t="shared" si="15"/>
        <v>0</v>
      </c>
      <c r="N48" s="62">
        <f>'Future Type Share'!H46*'Future EndUse Share'!N56</f>
        <v>0</v>
      </c>
      <c r="O48" s="62">
        <f t="shared" si="16"/>
        <v>0</v>
      </c>
      <c r="P48" s="62">
        <f t="shared" si="17"/>
        <v>0</v>
      </c>
      <c r="Q48" s="62">
        <f t="shared" si="18"/>
        <v>0</v>
      </c>
      <c r="U48" s="103">
        <v>2045</v>
      </c>
      <c r="V48" s="62">
        <f t="shared" si="10"/>
        <v>0</v>
      </c>
      <c r="W48" s="62">
        <f t="shared" si="19"/>
        <v>0</v>
      </c>
      <c r="X48" s="62">
        <f t="shared" si="20"/>
        <v>0</v>
      </c>
      <c r="Y48" s="62">
        <f t="shared" si="21"/>
        <v>0</v>
      </c>
      <c r="Z48" s="62">
        <f t="shared" si="22"/>
        <v>0</v>
      </c>
      <c r="AA48" s="62">
        <f t="shared" si="11"/>
        <v>0</v>
      </c>
      <c r="AE48" s="103">
        <v>2045</v>
      </c>
      <c r="AF48" s="62">
        <f>'Future Type Share'!L46*('Future EndUse Share'!Z56+'Future EndUse Share'!AB56+'Future EndUse Share'!AC56+'Future EndUse Share'!AD56)</f>
        <v>11440.933310879996</v>
      </c>
      <c r="AG48" s="103">
        <f>'Future Type Share'!C46*'Future Type Share'!K46*0.5*('Future EndUse Share'!Z56+'Future EndUse Share'!AB56+'Future EndUse Share'!AC56+'Future EndUse Share'!AD56)</f>
        <v>0</v>
      </c>
      <c r="AH48" s="103">
        <f>'Future Type Share'!C46*'Future Type Share'!I46*('Future EndUse Share'!O56+'Future EndUse Share'!Q56+'Future EndUse Share'!R56+'Future EndUse Share'!S56)</f>
        <v>6766.4332136924795</v>
      </c>
      <c r="AI48" s="62">
        <f t="shared" si="23"/>
        <v>0</v>
      </c>
      <c r="AJ48" s="103">
        <f t="shared" si="24"/>
        <v>0</v>
      </c>
      <c r="AK48" s="103">
        <f t="shared" si="25"/>
        <v>0</v>
      </c>
      <c r="AO48" s="103">
        <v>2045</v>
      </c>
      <c r="AP48" s="62">
        <f>'Future Type Share'!L46*('Future EndUse Share'!AE56)</f>
        <v>3158.6989359688564</v>
      </c>
      <c r="AQ48" s="62">
        <f>'Future Type Share'!J46*0.5*('Future EndUse Share'!T45)</f>
        <v>0</v>
      </c>
      <c r="AR48" s="62">
        <f>'Future Type Share'!H46*0.5*('Future EndUse Share'!T56)</f>
        <v>0.42879804902994167</v>
      </c>
      <c r="AS48" s="62">
        <f t="shared" si="26"/>
        <v>0</v>
      </c>
      <c r="AT48" s="103">
        <f t="shared" si="27"/>
        <v>0</v>
      </c>
      <c r="AU48" s="103">
        <f t="shared" si="28"/>
        <v>0</v>
      </c>
    </row>
    <row r="49" spans="1:47">
      <c r="A49" s="103">
        <v>2046</v>
      </c>
      <c r="B49" s="62">
        <f>'Future Type Share'!L47*'Future EndUse Share'!AA57</f>
        <v>2301.505143660544</v>
      </c>
      <c r="C49" s="103">
        <f>'Future Type Share'!C47*'Future Type Share'!I47*0.5*'Future EndUse Share'!P57</f>
        <v>0</v>
      </c>
      <c r="D49" s="103">
        <f>'Future Type Share'!H47*'Future EndUse Share'!P57</f>
        <v>0</v>
      </c>
      <c r="E49" s="62">
        <f t="shared" si="12"/>
        <v>0</v>
      </c>
      <c r="F49" s="103">
        <f t="shared" si="13"/>
        <v>0</v>
      </c>
      <c r="G49" s="103">
        <f t="shared" si="14"/>
        <v>0</v>
      </c>
      <c r="K49" s="103">
        <v>2046</v>
      </c>
      <c r="L49" s="62">
        <f>'Future Type Share'!L47*'Future EndUse Share'!Y57</f>
        <v>14764.90450307605</v>
      </c>
      <c r="M49" s="62">
        <f t="shared" si="15"/>
        <v>0</v>
      </c>
      <c r="N49" s="62">
        <f>'Future Type Share'!H47*'Future EndUse Share'!N57</f>
        <v>0</v>
      </c>
      <c r="O49" s="62">
        <f t="shared" si="16"/>
        <v>0</v>
      </c>
      <c r="P49" s="62">
        <f t="shared" si="17"/>
        <v>0</v>
      </c>
      <c r="Q49" s="62">
        <f t="shared" si="18"/>
        <v>0</v>
      </c>
      <c r="U49" s="103">
        <v>2046</v>
      </c>
      <c r="V49" s="62">
        <f t="shared" si="10"/>
        <v>0</v>
      </c>
      <c r="W49" s="62">
        <f t="shared" si="19"/>
        <v>0</v>
      </c>
      <c r="X49" s="62">
        <f t="shared" si="20"/>
        <v>0</v>
      </c>
      <c r="Y49" s="62">
        <f t="shared" si="21"/>
        <v>0</v>
      </c>
      <c r="Z49" s="62">
        <f t="shared" si="22"/>
        <v>0</v>
      </c>
      <c r="AA49" s="62">
        <f t="shared" si="11"/>
        <v>0</v>
      </c>
      <c r="AE49" s="103">
        <v>2046</v>
      </c>
      <c r="AF49" s="62">
        <f>'Future Type Share'!L47*('Future EndUse Share'!Z57+'Future EndUse Share'!AB57+'Future EndUse Share'!AC57+'Future EndUse Share'!AD57)</f>
        <v>11484.43091304038</v>
      </c>
      <c r="AG49" s="103">
        <f>'Future Type Share'!C47*'Future Type Share'!K47*0.5*('Future EndUse Share'!Z57+'Future EndUse Share'!AB57+'Future EndUse Share'!AC57+'Future EndUse Share'!AD57)</f>
        <v>0</v>
      </c>
      <c r="AH49" s="103">
        <f>'Future Type Share'!C47*'Future Type Share'!I47*('Future EndUse Share'!O57+'Future EndUse Share'!Q57+'Future EndUse Share'!R57+'Future EndUse Share'!S57)</f>
        <v>6624.7054773975797</v>
      </c>
      <c r="AI49" s="62">
        <f t="shared" si="23"/>
        <v>0</v>
      </c>
      <c r="AJ49" s="103">
        <f t="shared" si="24"/>
        <v>0</v>
      </c>
      <c r="AK49" s="103">
        <f t="shared" si="25"/>
        <v>0</v>
      </c>
      <c r="AO49" s="103">
        <v>2046</v>
      </c>
      <c r="AP49" s="62">
        <f>'Future Type Share'!L47*('Future EndUse Share'!AE57)</f>
        <v>3182.0333906941582</v>
      </c>
      <c r="AQ49" s="62">
        <f>'Future Type Share'!J47*0.5*('Future EndUse Share'!T46)</f>
        <v>0</v>
      </c>
      <c r="AR49" s="62">
        <f>'Future Type Share'!H47*0.5*('Future EndUse Share'!T57)</f>
        <v>0.41981657017728646</v>
      </c>
      <c r="AS49" s="62">
        <f t="shared" si="26"/>
        <v>0</v>
      </c>
      <c r="AT49" s="103">
        <f t="shared" si="27"/>
        <v>0</v>
      </c>
      <c r="AU49" s="103">
        <f t="shared" si="28"/>
        <v>0</v>
      </c>
    </row>
    <row r="50" spans="1:47">
      <c r="A50" s="103">
        <v>2047</v>
      </c>
      <c r="B50" s="62">
        <f>'Future Type Share'!L48*'Future EndUse Share'!AA58</f>
        <v>2306.7614787087032</v>
      </c>
      <c r="C50" s="103">
        <f>'Future Type Share'!C48*'Future Type Share'!I48*0.5*'Future EndUse Share'!P58</f>
        <v>0</v>
      </c>
      <c r="D50" s="103">
        <f>'Future Type Share'!H48*'Future EndUse Share'!P58</f>
        <v>0</v>
      </c>
      <c r="E50" s="62">
        <f t="shared" si="12"/>
        <v>0</v>
      </c>
      <c r="F50" s="103">
        <f t="shared" si="13"/>
        <v>0</v>
      </c>
      <c r="G50" s="103">
        <f t="shared" si="14"/>
        <v>0</v>
      </c>
      <c r="K50" s="103">
        <v>2047</v>
      </c>
      <c r="L50" s="62">
        <f>'Future Type Share'!L48*'Future EndUse Share'!Y58</f>
        <v>14932.768719803855</v>
      </c>
      <c r="M50" s="62">
        <f t="shared" si="15"/>
        <v>0</v>
      </c>
      <c r="N50" s="62">
        <f>'Future Type Share'!H48*'Future EndUse Share'!N58</f>
        <v>0</v>
      </c>
      <c r="O50" s="62">
        <f t="shared" si="16"/>
        <v>0</v>
      </c>
      <c r="P50" s="62">
        <f t="shared" si="17"/>
        <v>0</v>
      </c>
      <c r="Q50" s="62">
        <f t="shared" si="18"/>
        <v>0</v>
      </c>
      <c r="U50" s="103">
        <v>2047</v>
      </c>
      <c r="V50" s="62">
        <f t="shared" si="10"/>
        <v>0</v>
      </c>
      <c r="W50" s="62">
        <f t="shared" si="19"/>
        <v>0</v>
      </c>
      <c r="X50" s="62">
        <f t="shared" si="20"/>
        <v>0</v>
      </c>
      <c r="Y50" s="62">
        <f t="shared" si="21"/>
        <v>0</v>
      </c>
      <c r="Z50" s="62">
        <f t="shared" si="22"/>
        <v>0</v>
      </c>
      <c r="AA50" s="62">
        <f t="shared" si="11"/>
        <v>0</v>
      </c>
      <c r="AE50" s="103">
        <v>2047</v>
      </c>
      <c r="AF50" s="62">
        <f>'Future Type Share'!L48*('Future EndUse Share'!Z58+'Future EndUse Share'!AB58+'Future EndUse Share'!AC58+'Future EndUse Share'!AD58)</f>
        <v>11522.633937686584</v>
      </c>
      <c r="AG50" s="103">
        <f>'Future Type Share'!C48*'Future Type Share'!K48*0.5*('Future EndUse Share'!Z58+'Future EndUse Share'!AB58+'Future EndUse Share'!AC58+'Future EndUse Share'!AD58)</f>
        <v>0</v>
      </c>
      <c r="AH50" s="103">
        <f>'Future Type Share'!C48*'Future Type Share'!I48*('Future EndUse Share'!O58+'Future EndUse Share'!Q58+'Future EndUse Share'!R58+'Future EndUse Share'!S58)</f>
        <v>6479.0815229163327</v>
      </c>
      <c r="AI50" s="62">
        <f t="shared" si="23"/>
        <v>0</v>
      </c>
      <c r="AJ50" s="103">
        <f t="shared" si="24"/>
        <v>0</v>
      </c>
      <c r="AK50" s="103">
        <f t="shared" si="25"/>
        <v>0</v>
      </c>
      <c r="AO50" s="103">
        <v>2047</v>
      </c>
      <c r="AP50" s="62">
        <f>'Future Type Share'!L48*('Future EndUse Share'!AE58)</f>
        <v>3203.9578096641903</v>
      </c>
      <c r="AQ50" s="62">
        <f>'Future Type Share'!J48*0.5*('Future EndUse Share'!T47)</f>
        <v>0</v>
      </c>
      <c r="AR50" s="62">
        <f>'Future Type Share'!H48*0.5*('Future EndUse Share'!T58)</f>
        <v>0.41058818269431768</v>
      </c>
      <c r="AS50" s="62">
        <f t="shared" si="26"/>
        <v>0</v>
      </c>
      <c r="AT50" s="103">
        <f t="shared" si="27"/>
        <v>0</v>
      </c>
      <c r="AU50" s="103">
        <f t="shared" si="28"/>
        <v>0</v>
      </c>
    </row>
    <row r="51" spans="1:47">
      <c r="A51" s="103">
        <v>2048</v>
      </c>
      <c r="B51" s="62">
        <f>'Future Type Share'!L49*'Future EndUse Share'!AA59</f>
        <v>2311.383913770519</v>
      </c>
      <c r="C51" s="103">
        <f>'Future Type Share'!C49*'Future Type Share'!I49*0.5*'Future EndUse Share'!P59</f>
        <v>0</v>
      </c>
      <c r="D51" s="103">
        <f>'Future Type Share'!H49*'Future EndUse Share'!P59</f>
        <v>0</v>
      </c>
      <c r="E51" s="62">
        <f t="shared" si="12"/>
        <v>0</v>
      </c>
      <c r="F51" s="103">
        <f t="shared" si="13"/>
        <v>0</v>
      </c>
      <c r="G51" s="103">
        <f t="shared" si="14"/>
        <v>0</v>
      </c>
      <c r="K51" s="103">
        <v>2048</v>
      </c>
      <c r="L51" s="62">
        <f>'Future Type Share'!L49*'Future EndUse Share'!Y59</f>
        <v>15097.103870804469</v>
      </c>
      <c r="M51" s="62">
        <f t="shared" si="15"/>
        <v>0</v>
      </c>
      <c r="N51" s="62">
        <f>'Future Type Share'!H49*'Future EndUse Share'!N59</f>
        <v>0</v>
      </c>
      <c r="O51" s="62">
        <f t="shared" si="16"/>
        <v>0</v>
      </c>
      <c r="P51" s="62">
        <f t="shared" si="17"/>
        <v>0</v>
      </c>
      <c r="Q51" s="62">
        <f t="shared" si="18"/>
        <v>0</v>
      </c>
      <c r="U51" s="103">
        <v>2048</v>
      </c>
      <c r="V51" s="62">
        <f t="shared" si="10"/>
        <v>0</v>
      </c>
      <c r="W51" s="62">
        <f t="shared" si="19"/>
        <v>0</v>
      </c>
      <c r="X51" s="62">
        <f t="shared" si="20"/>
        <v>0</v>
      </c>
      <c r="Y51" s="62">
        <f t="shared" si="21"/>
        <v>0</v>
      </c>
      <c r="Z51" s="62">
        <f t="shared" si="22"/>
        <v>0</v>
      </c>
      <c r="AA51" s="62">
        <f t="shared" si="11"/>
        <v>0</v>
      </c>
      <c r="AE51" s="103">
        <v>2048</v>
      </c>
      <c r="AF51" s="62">
        <f>'Future Type Share'!L49*('Future EndUse Share'!Z59+'Future EndUse Share'!AB59+'Future EndUse Share'!AC59+'Future EndUse Share'!AD59)</f>
        <v>11557.721812270174</v>
      </c>
      <c r="AG51" s="103">
        <f>'Future Type Share'!C49*'Future Type Share'!K49*0.5*('Future EndUse Share'!Z59+'Future EndUse Share'!AB59+'Future EndUse Share'!AC59+'Future EndUse Share'!AD59)</f>
        <v>0</v>
      </c>
      <c r="AH51" s="103">
        <f>'Future Type Share'!C49*'Future Type Share'!I49*('Future EndUse Share'!O59+'Future EndUse Share'!Q59+'Future EndUse Share'!R59+'Future EndUse Share'!S59)</f>
        <v>6330.9886783190077</v>
      </c>
      <c r="AI51" s="62">
        <f t="shared" si="23"/>
        <v>0</v>
      </c>
      <c r="AJ51" s="103">
        <f t="shared" si="24"/>
        <v>0</v>
      </c>
      <c r="AK51" s="103">
        <f t="shared" si="25"/>
        <v>0</v>
      </c>
      <c r="AO51" s="103">
        <v>2048</v>
      </c>
      <c r="AP51" s="62">
        <f>'Future Type Share'!L49*('Future EndUse Share'!AE59)</f>
        <v>3225.0645476678878</v>
      </c>
      <c r="AQ51" s="62">
        <f>'Future Type Share'!J49*0.5*('Future EndUse Share'!T48)</f>
        <v>0</v>
      </c>
      <c r="AR51" s="62">
        <f>'Future Type Share'!H49*0.5*('Future EndUse Share'!T59)</f>
        <v>0.40120333829651506</v>
      </c>
      <c r="AS51" s="62">
        <f t="shared" si="26"/>
        <v>0</v>
      </c>
      <c r="AT51" s="103">
        <f t="shared" si="27"/>
        <v>0</v>
      </c>
      <c r="AU51" s="103">
        <f t="shared" si="28"/>
        <v>0</v>
      </c>
    </row>
    <row r="52" spans="1:47">
      <c r="A52" s="103">
        <v>2049</v>
      </c>
      <c r="B52" s="62">
        <f>'Future Type Share'!L50*'Future EndUse Share'!AA60</f>
        <v>2315.109564642647</v>
      </c>
      <c r="C52" s="103">
        <f>'Future Type Share'!C50*'Future Type Share'!I50*0.5*'Future EndUse Share'!P60</f>
        <v>0</v>
      </c>
      <c r="D52" s="103">
        <f>'Future Type Share'!H50*'Future EndUse Share'!P60</f>
        <v>0</v>
      </c>
      <c r="E52" s="62">
        <f t="shared" si="12"/>
        <v>0</v>
      </c>
      <c r="F52" s="103">
        <f t="shared" si="13"/>
        <v>0</v>
      </c>
      <c r="G52" s="103">
        <f t="shared" si="14"/>
        <v>0</v>
      </c>
      <c r="K52" s="103">
        <v>2049</v>
      </c>
      <c r="L52" s="62">
        <f>'Future Type Share'!L50*'Future EndUse Share'!Y60</f>
        <v>15256.067018600306</v>
      </c>
      <c r="M52" s="62">
        <f t="shared" si="15"/>
        <v>0</v>
      </c>
      <c r="N52" s="62">
        <f>'Future Type Share'!H50*'Future EndUse Share'!N60</f>
        <v>0</v>
      </c>
      <c r="O52" s="62">
        <f t="shared" si="16"/>
        <v>0</v>
      </c>
      <c r="P52" s="62">
        <f t="shared" si="17"/>
        <v>0</v>
      </c>
      <c r="Q52" s="62">
        <f t="shared" si="18"/>
        <v>0</v>
      </c>
      <c r="U52" s="103">
        <v>2049</v>
      </c>
      <c r="V52" s="62">
        <f t="shared" si="10"/>
        <v>0</v>
      </c>
      <c r="W52" s="62">
        <f t="shared" si="19"/>
        <v>0</v>
      </c>
      <c r="X52" s="62">
        <f t="shared" si="20"/>
        <v>0</v>
      </c>
      <c r="Y52" s="62">
        <f t="shared" si="21"/>
        <v>0</v>
      </c>
      <c r="Z52" s="62">
        <f t="shared" si="22"/>
        <v>0</v>
      </c>
      <c r="AA52" s="62">
        <f t="shared" si="11"/>
        <v>0</v>
      </c>
      <c r="AE52" s="103">
        <v>2049</v>
      </c>
      <c r="AF52" s="62">
        <f>'Future Type Share'!L50*('Future EndUse Share'!Z60+'Future EndUse Share'!AB60+'Future EndUse Share'!AC60+'Future EndUse Share'!AD60)</f>
        <v>11588.368788460415</v>
      </c>
      <c r="AG52" s="103">
        <f>'Future Type Share'!C50*'Future Type Share'!K50*0.5*('Future EndUse Share'!Z60+'Future EndUse Share'!AB60+'Future EndUse Share'!AC60+'Future EndUse Share'!AD60)</f>
        <v>0</v>
      </c>
      <c r="AH52" s="103">
        <f>'Future Type Share'!C50*'Future Type Share'!I50*('Future EndUse Share'!O60+'Future EndUse Share'!Q60+'Future EndUse Share'!R60+'Future EndUse Share'!S60)</f>
        <v>6179.8577373117196</v>
      </c>
      <c r="AI52" s="62">
        <f t="shared" si="23"/>
        <v>0</v>
      </c>
      <c r="AJ52" s="103">
        <f t="shared" si="24"/>
        <v>0</v>
      </c>
      <c r="AK52" s="103">
        <f t="shared" si="25"/>
        <v>0</v>
      </c>
      <c r="AO52" s="103">
        <v>2049</v>
      </c>
      <c r="AP52" s="62">
        <f>'Future Type Share'!L50*('Future EndUse Share'!AE60)</f>
        <v>3244.9730497644778</v>
      </c>
      <c r="AQ52" s="62">
        <f>'Future Type Share'!J50*0.5*('Future EndUse Share'!T49)</f>
        <v>0</v>
      </c>
      <c r="AR52" s="62">
        <f>'Future Type Share'!H50*0.5*('Future EndUse Share'!T60)</f>
        <v>0.39162596560910773</v>
      </c>
      <c r="AS52" s="62">
        <f t="shared" si="26"/>
        <v>0</v>
      </c>
      <c r="AT52" s="103">
        <f t="shared" si="27"/>
        <v>0</v>
      </c>
      <c r="AU52" s="103">
        <f t="shared" si="28"/>
        <v>0</v>
      </c>
    </row>
    <row r="53" spans="1:47">
      <c r="A53" s="103">
        <v>2050</v>
      </c>
      <c r="B53" s="62">
        <f>'Future Type Share'!L51*'Future EndUse Share'!AA61</f>
        <v>2317.9848773182684</v>
      </c>
      <c r="C53" s="103">
        <f>'Future Type Share'!C51*'Future Type Share'!I51*0.5*'Future EndUse Share'!P61</f>
        <v>0</v>
      </c>
      <c r="D53" s="103">
        <f>'Future Type Share'!H51*'Future EndUse Share'!P61</f>
        <v>0</v>
      </c>
      <c r="E53" s="62">
        <f t="shared" si="12"/>
        <v>0</v>
      </c>
      <c r="F53" s="103">
        <f t="shared" si="13"/>
        <v>0</v>
      </c>
      <c r="G53" s="103">
        <f t="shared" si="14"/>
        <v>0</v>
      </c>
      <c r="K53" s="103">
        <v>2050</v>
      </c>
      <c r="L53" s="62">
        <f>'Future Type Share'!L51*'Future EndUse Share'!Y61</f>
        <v>15409.810483329151</v>
      </c>
      <c r="M53" s="62">
        <f t="shared" si="15"/>
        <v>0</v>
      </c>
      <c r="N53" s="62">
        <f>'Future Type Share'!H51*'Future EndUse Share'!N61</f>
        <v>0</v>
      </c>
      <c r="O53" s="62">
        <f t="shared" si="16"/>
        <v>0</v>
      </c>
      <c r="P53" s="62">
        <f t="shared" si="17"/>
        <v>0</v>
      </c>
      <c r="Q53" s="62">
        <f t="shared" si="18"/>
        <v>0</v>
      </c>
      <c r="U53" s="103">
        <v>2050</v>
      </c>
      <c r="V53" s="62">
        <f t="shared" si="10"/>
        <v>0</v>
      </c>
      <c r="W53" s="62">
        <f t="shared" si="19"/>
        <v>0</v>
      </c>
      <c r="X53" s="62">
        <f t="shared" si="20"/>
        <v>0</v>
      </c>
      <c r="Y53" s="62">
        <f t="shared" si="21"/>
        <v>0</v>
      </c>
      <c r="Z53" s="62">
        <f t="shared" si="22"/>
        <v>0</v>
      </c>
      <c r="AA53" s="62">
        <f t="shared" si="11"/>
        <v>0</v>
      </c>
      <c r="AE53" s="103">
        <v>2050</v>
      </c>
      <c r="AF53" s="62">
        <f>'Future Type Share'!L51*('Future EndUse Share'!Z61+'Future EndUse Share'!AB61+'Future EndUse Share'!AC61+'Future EndUse Share'!AD61)</f>
        <v>11614.793629268168</v>
      </c>
      <c r="AG53" s="103">
        <f>'Future Type Share'!C51*'Future Type Share'!K51*0.5*('Future EndUse Share'!Z61+'Future EndUse Share'!AB61+'Future EndUse Share'!AC61+'Future EndUse Share'!AD61)</f>
        <v>0</v>
      </c>
      <c r="AH53" s="103">
        <f>'Future Type Share'!C51*'Future Type Share'!I51*('Future EndUse Share'!O61+'Future EndUse Share'!Q61+'Future EndUse Share'!R61+'Future EndUse Share'!S61)</f>
        <v>6025.9969298323231</v>
      </c>
      <c r="AI53" s="62">
        <f t="shared" si="23"/>
        <v>0</v>
      </c>
      <c r="AJ53" s="103">
        <f t="shared" si="24"/>
        <v>0</v>
      </c>
      <c r="AK53" s="103">
        <f t="shared" si="25"/>
        <v>0</v>
      </c>
      <c r="AO53" s="103">
        <v>2050</v>
      </c>
      <c r="AP53" s="62">
        <f>'Future Type Share'!L51*('Future EndUse Share'!AE61)</f>
        <v>3263.7316176947324</v>
      </c>
      <c r="AQ53" s="62">
        <f>'Future Type Share'!J51*0.5*('Future EndUse Share'!T50)</f>
        <v>0</v>
      </c>
      <c r="AR53" s="62">
        <f>'Future Type Share'!H51*0.5*('Future EndUse Share'!T61)</f>
        <v>0.38187559758126255</v>
      </c>
      <c r="AS53" s="62">
        <f t="shared" si="26"/>
        <v>0</v>
      </c>
      <c r="AT53" s="103">
        <f t="shared" si="27"/>
        <v>0</v>
      </c>
      <c r="AU53" s="103">
        <f t="shared" si="28"/>
        <v>0</v>
      </c>
    </row>
    <row r="64" spans="1:47">
      <c r="U64" s="62"/>
      <c r="V64" s="62"/>
    </row>
    <row r="65" spans="19:22">
      <c r="S65" s="566"/>
      <c r="T65" s="62"/>
      <c r="U65" s="62"/>
      <c r="V65" s="62"/>
    </row>
    <row r="66" spans="19:22">
      <c r="S66" s="566"/>
      <c r="T66" s="62"/>
      <c r="U66" s="62"/>
      <c r="V66" s="62"/>
    </row>
    <row r="67" spans="19:22">
      <c r="S67" s="566"/>
      <c r="T67" s="62"/>
      <c r="U67" s="62"/>
      <c r="V67" s="62"/>
    </row>
    <row r="68" spans="19:22">
      <c r="S68" s="566"/>
      <c r="T68" s="62"/>
    </row>
  </sheetData>
  <phoneticPr fontId="3"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U55"/>
  <sheetViews>
    <sheetView zoomScale="85" workbookViewId="0">
      <selection activeCell="I32" sqref="I32"/>
    </sheetView>
  </sheetViews>
  <sheetFormatPr defaultRowHeight="15"/>
  <cols>
    <col min="1" max="1" width="5.85546875" style="103" customWidth="1"/>
    <col min="2" max="2" width="11.28515625" style="103" customWidth="1"/>
    <col min="3" max="10" width="8.7109375" style="103"/>
    <col min="11" max="11" width="6.28515625" style="103" customWidth="1"/>
    <col min="12" max="12" width="8.7109375" style="103"/>
  </cols>
  <sheetData>
    <row r="1" spans="1:47" ht="21">
      <c r="A1" s="121" t="s">
        <v>673</v>
      </c>
    </row>
    <row r="2" spans="1:47" s="103" customFormat="1" ht="21">
      <c r="A2" s="121"/>
      <c r="C2" s="103" t="s">
        <v>766</v>
      </c>
    </row>
    <row r="3" spans="1:47" s="64" customFormat="1">
      <c r="A3" s="174" t="s">
        <v>28</v>
      </c>
    </row>
    <row r="4" spans="1:47">
      <c r="B4" s="103" t="s">
        <v>0</v>
      </c>
      <c r="C4" s="103">
        <v>2006</v>
      </c>
      <c r="D4" s="103">
        <v>2007</v>
      </c>
      <c r="E4" s="103">
        <v>2008</v>
      </c>
      <c r="F4" s="103">
        <v>2009</v>
      </c>
      <c r="G4" s="103">
        <v>2010</v>
      </c>
      <c r="H4" s="103">
        <v>2011</v>
      </c>
      <c r="I4" s="103">
        <v>2012</v>
      </c>
      <c r="J4" s="103">
        <v>2013</v>
      </c>
      <c r="K4" s="103">
        <v>2014</v>
      </c>
      <c r="L4" s="103">
        <v>2015</v>
      </c>
      <c r="M4" s="103">
        <v>2016</v>
      </c>
      <c r="N4" s="103">
        <v>2017</v>
      </c>
      <c r="O4" s="103">
        <v>2018</v>
      </c>
      <c r="P4" s="103">
        <v>2019</v>
      </c>
      <c r="Q4" s="103">
        <v>2020</v>
      </c>
      <c r="R4" s="103">
        <v>2021</v>
      </c>
      <c r="S4" s="103">
        <v>2022</v>
      </c>
      <c r="T4" s="103">
        <v>2023</v>
      </c>
      <c r="U4" s="103">
        <v>2024</v>
      </c>
      <c r="V4" s="103">
        <v>2025</v>
      </c>
      <c r="W4" s="103">
        <v>2026</v>
      </c>
      <c r="X4" s="103">
        <v>2027</v>
      </c>
      <c r="Y4" s="103">
        <v>2028</v>
      </c>
      <c r="Z4" s="103">
        <v>2029</v>
      </c>
      <c r="AA4" s="103">
        <v>2030</v>
      </c>
      <c r="AB4" s="103">
        <v>2031</v>
      </c>
      <c r="AC4" s="103">
        <v>2032</v>
      </c>
      <c r="AD4" s="103">
        <v>2033</v>
      </c>
      <c r="AE4" s="103">
        <v>2034</v>
      </c>
      <c r="AF4" s="103">
        <v>2035</v>
      </c>
      <c r="AG4" s="103">
        <v>2036</v>
      </c>
      <c r="AH4" s="103">
        <v>2037</v>
      </c>
      <c r="AI4" s="103">
        <v>2038</v>
      </c>
      <c r="AJ4" s="103">
        <v>2039</v>
      </c>
      <c r="AK4" s="103">
        <v>2040</v>
      </c>
      <c r="AL4" s="103">
        <v>2041</v>
      </c>
      <c r="AM4" s="103">
        <v>2042</v>
      </c>
      <c r="AN4" s="103">
        <v>2043</v>
      </c>
      <c r="AO4" s="103">
        <v>2044</v>
      </c>
      <c r="AP4" s="103">
        <v>2045</v>
      </c>
      <c r="AQ4" s="103">
        <v>2046</v>
      </c>
      <c r="AR4" s="103">
        <v>2047</v>
      </c>
      <c r="AS4" s="103">
        <v>2048</v>
      </c>
      <c r="AT4" s="103">
        <v>2049</v>
      </c>
      <c r="AU4" s="103">
        <v>2050</v>
      </c>
    </row>
    <row r="5" spans="1:47">
      <c r="B5" s="103" t="s">
        <v>558</v>
      </c>
      <c r="C5" s="103">
        <f t="array" ref="C5:AU10">TRANSPOSE(Private_1!B9:G53)</f>
        <v>2062.5449866785084</v>
      </c>
      <c r="D5" s="103">
        <v>2020.5925866236907</v>
      </c>
      <c r="E5" s="103">
        <v>1948.9996524355449</v>
      </c>
      <c r="F5" s="103">
        <v>2086.3738412698417</v>
      </c>
      <c r="G5" s="103">
        <v>2067.0811458436051</v>
      </c>
      <c r="H5" s="103">
        <v>2104.1627002266264</v>
      </c>
      <c r="I5" s="103">
        <v>2103.8161528662417</v>
      </c>
      <c r="J5" s="103">
        <v>1975.9632058536586</v>
      </c>
      <c r="K5" s="103">
        <v>1974.2573483704821</v>
      </c>
      <c r="L5" s="103">
        <v>1880.4692931633836</v>
      </c>
      <c r="M5" s="103">
        <v>1994.6354485776803</v>
      </c>
      <c r="N5">
        <v>1849.6123030300207</v>
      </c>
      <c r="O5">
        <v>1872.3890812117243</v>
      </c>
      <c r="P5">
        <v>1893.3476419294061</v>
      </c>
      <c r="Q5">
        <v>1915.4019501955217</v>
      </c>
      <c r="R5">
        <v>1936.2474172774357</v>
      </c>
      <c r="S5">
        <v>1956.9395028595309</v>
      </c>
      <c r="T5">
        <v>1977.3197380241468</v>
      </c>
      <c r="U5">
        <v>1996.5828609307719</v>
      </c>
      <c r="V5">
        <v>2015.2299692817985</v>
      </c>
      <c r="W5">
        <v>2032.9652435118144</v>
      </c>
      <c r="X5">
        <v>2050.2185700565342</v>
      </c>
      <c r="Y5">
        <v>2067.8460592424863</v>
      </c>
      <c r="Z5">
        <v>2085.4554718683839</v>
      </c>
      <c r="AA5">
        <v>2102.5953800810685</v>
      </c>
      <c r="AB5">
        <v>2119.5493550104957</v>
      </c>
      <c r="AC5">
        <v>2136.3926561931366</v>
      </c>
      <c r="AD5">
        <v>2153.3353360097481</v>
      </c>
      <c r="AE5">
        <v>2169.8397592047677</v>
      </c>
      <c r="AF5">
        <v>2185.5214576217172</v>
      </c>
      <c r="AG5">
        <v>2200.5577254265891</v>
      </c>
      <c r="AH5">
        <v>2214.8845711971308</v>
      </c>
      <c r="AI5">
        <v>2228.3282376518468</v>
      </c>
      <c r="AJ5">
        <v>2240.6031619924956</v>
      </c>
      <c r="AK5">
        <v>2251.9410648230214</v>
      </c>
      <c r="AL5">
        <v>2262.1642706536509</v>
      </c>
      <c r="AM5">
        <v>2271.3967792596181</v>
      </c>
      <c r="AN5">
        <v>2280.0698464753091</v>
      </c>
      <c r="AO5">
        <v>2288.0643385044064</v>
      </c>
      <c r="AP5">
        <v>2295.1757114397483</v>
      </c>
      <c r="AQ5">
        <v>2301.505143660544</v>
      </c>
      <c r="AR5">
        <v>2306.7614787087032</v>
      </c>
      <c r="AS5">
        <v>2311.383913770519</v>
      </c>
      <c r="AT5">
        <v>2315.109564642647</v>
      </c>
      <c r="AU5">
        <v>2317.9848773182684</v>
      </c>
    </row>
    <row r="6" spans="1:47">
      <c r="B6" s="103" t="s">
        <v>559</v>
      </c>
      <c r="C6" s="103">
        <v>0</v>
      </c>
      <c r="D6" s="103">
        <v>0</v>
      </c>
      <c r="E6" s="103">
        <v>0</v>
      </c>
      <c r="F6" s="103">
        <v>0</v>
      </c>
      <c r="G6" s="103">
        <v>0</v>
      </c>
      <c r="H6" s="103">
        <v>0</v>
      </c>
      <c r="I6" s="103">
        <v>0</v>
      </c>
      <c r="J6" s="103">
        <v>0</v>
      </c>
      <c r="K6" s="103">
        <v>0</v>
      </c>
      <c r="L6" s="103">
        <v>0</v>
      </c>
      <c r="M6" s="103">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row>
    <row r="7" spans="1:47">
      <c r="B7" s="103" t="s">
        <v>560</v>
      </c>
      <c r="C7" s="103">
        <v>0</v>
      </c>
      <c r="D7" s="103">
        <v>0</v>
      </c>
      <c r="E7" s="103">
        <v>0</v>
      </c>
      <c r="F7" s="103">
        <v>0</v>
      </c>
      <c r="G7" s="103">
        <v>0</v>
      </c>
      <c r="H7" s="103">
        <v>0</v>
      </c>
      <c r="I7" s="103">
        <v>0</v>
      </c>
      <c r="J7" s="103">
        <v>0</v>
      </c>
      <c r="K7" s="103">
        <v>0</v>
      </c>
      <c r="L7" s="103">
        <v>0</v>
      </c>
      <c r="M7" s="103">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row>
    <row r="8" spans="1:47">
      <c r="B8" s="103" t="s">
        <v>561</v>
      </c>
      <c r="C8" s="103">
        <v>0</v>
      </c>
      <c r="D8" s="103">
        <v>0</v>
      </c>
      <c r="E8" s="103">
        <v>0</v>
      </c>
      <c r="F8" s="103">
        <v>0</v>
      </c>
      <c r="G8" s="103">
        <v>0</v>
      </c>
      <c r="H8" s="103">
        <v>0</v>
      </c>
      <c r="I8" s="103">
        <v>0</v>
      </c>
      <c r="J8" s="103">
        <v>0</v>
      </c>
      <c r="K8" s="103">
        <v>0</v>
      </c>
      <c r="L8" s="103">
        <v>0</v>
      </c>
      <c r="M8" s="103">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row>
    <row r="9" spans="1:47">
      <c r="B9" s="103" t="s">
        <v>562</v>
      </c>
      <c r="C9" s="103">
        <v>0</v>
      </c>
      <c r="D9" s="103">
        <v>0</v>
      </c>
      <c r="E9" s="103">
        <v>0</v>
      </c>
      <c r="F9" s="103">
        <v>0</v>
      </c>
      <c r="G9" s="103">
        <v>0</v>
      </c>
      <c r="H9" s="103">
        <v>0</v>
      </c>
      <c r="I9" s="103">
        <v>0</v>
      </c>
      <c r="J9" s="103">
        <v>0</v>
      </c>
      <c r="K9" s="103">
        <v>0</v>
      </c>
      <c r="L9" s="103">
        <v>0</v>
      </c>
      <c r="M9" s="103">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row>
    <row r="10" spans="1:47">
      <c r="B10" s="103" t="s">
        <v>563</v>
      </c>
      <c r="C10" s="103">
        <v>0</v>
      </c>
      <c r="D10" s="103">
        <v>0</v>
      </c>
      <c r="E10" s="103">
        <v>0</v>
      </c>
      <c r="F10" s="103">
        <v>0</v>
      </c>
      <c r="G10" s="103">
        <v>0</v>
      </c>
      <c r="H10" s="103">
        <v>0</v>
      </c>
      <c r="I10" s="103">
        <v>0</v>
      </c>
      <c r="J10" s="103">
        <v>0</v>
      </c>
      <c r="K10" s="103">
        <v>0</v>
      </c>
      <c r="L10" s="103">
        <v>0</v>
      </c>
      <c r="M10" s="103">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row>
    <row r="12" spans="1:47" s="64" customFormat="1">
      <c r="A12" s="124" t="s">
        <v>87</v>
      </c>
    </row>
    <row r="13" spans="1:47">
      <c r="B13" s="103" t="s">
        <v>0</v>
      </c>
      <c r="C13" s="103">
        <v>2006</v>
      </c>
      <c r="D13" s="103">
        <v>2007</v>
      </c>
      <c r="E13" s="103">
        <v>2008</v>
      </c>
      <c r="F13" s="103">
        <v>2009</v>
      </c>
      <c r="G13" s="103">
        <v>2010</v>
      </c>
      <c r="H13" s="103">
        <v>2011</v>
      </c>
      <c r="I13" s="103">
        <v>2012</v>
      </c>
      <c r="J13" s="103">
        <v>2013</v>
      </c>
      <c r="K13" s="103">
        <v>2014</v>
      </c>
      <c r="L13" s="103">
        <v>2015</v>
      </c>
      <c r="M13" s="103">
        <v>2016</v>
      </c>
      <c r="N13" s="103">
        <v>2017</v>
      </c>
      <c r="O13" s="103">
        <v>2018</v>
      </c>
      <c r="P13" s="103">
        <v>2019</v>
      </c>
      <c r="Q13" s="103">
        <v>2020</v>
      </c>
      <c r="R13" s="103">
        <v>2021</v>
      </c>
      <c r="S13" s="103">
        <v>2022</v>
      </c>
      <c r="T13" s="103">
        <v>2023</v>
      </c>
      <c r="U13" s="103">
        <v>2024</v>
      </c>
      <c r="V13" s="103">
        <v>2025</v>
      </c>
      <c r="W13" s="103">
        <v>2026</v>
      </c>
      <c r="X13" s="103">
        <v>2027</v>
      </c>
      <c r="Y13" s="103">
        <v>2028</v>
      </c>
      <c r="Z13" s="103">
        <v>2029</v>
      </c>
      <c r="AA13" s="103">
        <v>2030</v>
      </c>
      <c r="AB13" s="103">
        <v>2031</v>
      </c>
      <c r="AC13" s="103">
        <v>2032</v>
      </c>
      <c r="AD13" s="103">
        <v>2033</v>
      </c>
      <c r="AE13" s="103">
        <v>2034</v>
      </c>
      <c r="AF13" s="103">
        <v>2035</v>
      </c>
      <c r="AG13" s="103">
        <v>2036</v>
      </c>
      <c r="AH13" s="103">
        <v>2037</v>
      </c>
      <c r="AI13" s="103">
        <v>2038</v>
      </c>
      <c r="AJ13" s="103">
        <v>2039</v>
      </c>
      <c r="AK13" s="103">
        <v>2040</v>
      </c>
      <c r="AL13" s="103">
        <v>2041</v>
      </c>
      <c r="AM13" s="103">
        <v>2042</v>
      </c>
      <c r="AN13" s="103">
        <v>2043</v>
      </c>
      <c r="AO13" s="103">
        <v>2044</v>
      </c>
      <c r="AP13" s="103">
        <v>2045</v>
      </c>
      <c r="AQ13" s="103">
        <v>2046</v>
      </c>
      <c r="AR13" s="103">
        <v>2047</v>
      </c>
      <c r="AS13" s="103">
        <v>2048</v>
      </c>
      <c r="AT13" s="103">
        <v>2049</v>
      </c>
      <c r="AU13" s="103">
        <v>2050</v>
      </c>
    </row>
    <row r="14" spans="1:47">
      <c r="B14" s="103" t="s">
        <v>558</v>
      </c>
      <c r="C14" s="103">
        <f t="array" ref="C14:AU19">TRANSPOSE(Private_1!L9:Q53)</f>
        <v>5878.4452553285973</v>
      </c>
      <c r="D14" s="103">
        <v>5942.4665785656725</v>
      </c>
      <c r="E14" s="103">
        <v>5918.1303314831148</v>
      </c>
      <c r="F14" s="103">
        <v>6489.2292063492068</v>
      </c>
      <c r="G14" s="103">
        <v>6595.108761463367</v>
      </c>
      <c r="H14" s="103">
        <v>6874.8074429818225</v>
      </c>
      <c r="I14" s="103">
        <v>7016.5317707006361</v>
      </c>
      <c r="J14" s="103">
        <v>6131.4223082926837</v>
      </c>
      <c r="K14" s="103">
        <v>7981.3426871503416</v>
      </c>
      <c r="L14" s="103">
        <v>7631.4924681344155</v>
      </c>
      <c r="M14" s="103">
        <v>7759.8608315098463</v>
      </c>
      <c r="N14">
        <v>8746.6563642629571</v>
      </c>
      <c r="O14">
        <v>8963.2492075511909</v>
      </c>
      <c r="P14">
        <v>9173.6814282689757</v>
      </c>
      <c r="Q14">
        <v>9391.9240747422755</v>
      </c>
      <c r="R14">
        <v>9606.7340396093859</v>
      </c>
      <c r="S14">
        <v>9823.1984963833856</v>
      </c>
      <c r="T14">
        <v>10040.486009051909</v>
      </c>
      <c r="U14">
        <v>10254.406365921155</v>
      </c>
      <c r="V14">
        <v>10467.367446444459</v>
      </c>
      <c r="W14">
        <v>10677.708054959767</v>
      </c>
      <c r="X14">
        <v>10887.552000029817</v>
      </c>
      <c r="Y14">
        <v>11101.411305487327</v>
      </c>
      <c r="Z14">
        <v>11317.222666612963</v>
      </c>
      <c r="AA14">
        <v>11532.506897175617</v>
      </c>
      <c r="AB14">
        <v>11748.753936179264</v>
      </c>
      <c r="AC14">
        <v>11966.352889744432</v>
      </c>
      <c r="AD14">
        <v>12186.473209566619</v>
      </c>
      <c r="AE14">
        <v>12406.058303441636</v>
      </c>
      <c r="AF14">
        <v>12622.811160449457</v>
      </c>
      <c r="AG14">
        <v>12837.622550392221</v>
      </c>
      <c r="AH14">
        <v>13050.002839099905</v>
      </c>
      <c r="AI14">
        <v>13258.79438869739</v>
      </c>
      <c r="AJ14">
        <v>13462.127387212839</v>
      </c>
      <c r="AK14">
        <v>13661.203652872391</v>
      </c>
      <c r="AL14">
        <v>13854.771531217519</v>
      </c>
      <c r="AM14">
        <v>14043.403211703368</v>
      </c>
      <c r="AN14">
        <v>14229.617272015681</v>
      </c>
      <c r="AO14">
        <v>14412.565687708035</v>
      </c>
      <c r="AP14">
        <v>14590.829755916666</v>
      </c>
      <c r="AQ14">
        <v>14764.90450307605</v>
      </c>
      <c r="AR14">
        <v>14932.768719803855</v>
      </c>
      <c r="AS14">
        <v>15097.103870804469</v>
      </c>
      <c r="AT14">
        <v>15256.067018600306</v>
      </c>
      <c r="AU14">
        <v>15409.810483329151</v>
      </c>
    </row>
    <row r="15" spans="1:47">
      <c r="B15" s="103" t="s">
        <v>559</v>
      </c>
      <c r="C15" s="103">
        <v>0</v>
      </c>
      <c r="D15" s="103">
        <v>0</v>
      </c>
      <c r="E15" s="103">
        <v>0</v>
      </c>
      <c r="F15" s="103">
        <v>0</v>
      </c>
      <c r="G15" s="103">
        <v>0</v>
      </c>
      <c r="H15" s="103">
        <v>0</v>
      </c>
      <c r="I15" s="103">
        <v>0</v>
      </c>
      <c r="J15" s="103">
        <v>0</v>
      </c>
      <c r="K15" s="103">
        <v>0</v>
      </c>
      <c r="L15" s="103">
        <v>0</v>
      </c>
      <c r="M15" s="103">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row>
    <row r="16" spans="1:47">
      <c r="B16" s="103" t="s">
        <v>560</v>
      </c>
      <c r="C16" s="103">
        <v>0</v>
      </c>
      <c r="D16" s="103">
        <v>0</v>
      </c>
      <c r="E16" s="103">
        <v>0</v>
      </c>
      <c r="F16" s="103">
        <v>0</v>
      </c>
      <c r="G16" s="103">
        <v>0</v>
      </c>
      <c r="H16" s="103">
        <v>0</v>
      </c>
      <c r="I16" s="103">
        <v>0</v>
      </c>
      <c r="J16" s="103">
        <v>0</v>
      </c>
      <c r="K16" s="103">
        <v>0</v>
      </c>
      <c r="L16" s="103">
        <v>0</v>
      </c>
      <c r="M16" s="103">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row>
    <row r="17" spans="1:47">
      <c r="B17" s="103" t="s">
        <v>561</v>
      </c>
      <c r="C17" s="103">
        <v>0</v>
      </c>
      <c r="D17" s="103">
        <v>0</v>
      </c>
      <c r="E17" s="103">
        <v>0</v>
      </c>
      <c r="F17" s="103">
        <v>0</v>
      </c>
      <c r="G17" s="103">
        <v>0</v>
      </c>
      <c r="H17" s="103">
        <v>0</v>
      </c>
      <c r="I17" s="103">
        <v>0</v>
      </c>
      <c r="J17" s="103">
        <v>0</v>
      </c>
      <c r="K17" s="103">
        <v>0</v>
      </c>
      <c r="L17" s="103">
        <v>0</v>
      </c>
      <c r="M17" s="103">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row>
    <row r="18" spans="1:47">
      <c r="B18" s="103" t="s">
        <v>562</v>
      </c>
      <c r="C18" s="103">
        <v>0</v>
      </c>
      <c r="D18" s="103">
        <v>0</v>
      </c>
      <c r="E18" s="103">
        <v>0</v>
      </c>
      <c r="F18" s="103">
        <v>0</v>
      </c>
      <c r="G18" s="103">
        <v>0</v>
      </c>
      <c r="H18" s="103">
        <v>0</v>
      </c>
      <c r="I18" s="103">
        <v>0</v>
      </c>
      <c r="J18" s="103">
        <v>0</v>
      </c>
      <c r="K18" s="103">
        <v>0</v>
      </c>
      <c r="L18" s="103">
        <v>0</v>
      </c>
      <c r="M18" s="103">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row>
    <row r="19" spans="1:47">
      <c r="B19" s="103" t="s">
        <v>563</v>
      </c>
      <c r="C19" s="103">
        <v>0</v>
      </c>
      <c r="D19" s="103">
        <v>0</v>
      </c>
      <c r="E19" s="103">
        <v>0</v>
      </c>
      <c r="F19" s="103">
        <v>0</v>
      </c>
      <c r="G19" s="103">
        <v>0</v>
      </c>
      <c r="H19" s="103">
        <v>0</v>
      </c>
      <c r="I19" s="103">
        <v>0</v>
      </c>
      <c r="J19" s="103">
        <v>0</v>
      </c>
      <c r="K19" s="103">
        <v>0</v>
      </c>
      <c r="L19" s="103">
        <v>0</v>
      </c>
      <c r="M19" s="103">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row>
    <row r="21" spans="1:47" s="64" customFormat="1">
      <c r="A21" s="124" t="s">
        <v>88</v>
      </c>
    </row>
    <row r="22" spans="1:47">
      <c r="B22" s="103" t="s">
        <v>1</v>
      </c>
      <c r="C22" s="103">
        <v>2006</v>
      </c>
      <c r="D22" s="103">
        <v>2007</v>
      </c>
      <c r="E22" s="103">
        <v>2008</v>
      </c>
      <c r="F22" s="103">
        <v>2009</v>
      </c>
      <c r="G22" s="103">
        <v>2010</v>
      </c>
      <c r="H22" s="103">
        <v>2011</v>
      </c>
      <c r="I22" s="103">
        <v>2012</v>
      </c>
      <c r="J22" s="103">
        <v>2013</v>
      </c>
      <c r="K22" s="103">
        <v>2014</v>
      </c>
      <c r="L22" s="103">
        <v>2015</v>
      </c>
      <c r="M22" s="103">
        <v>2016</v>
      </c>
      <c r="N22" s="103">
        <v>2017</v>
      </c>
      <c r="O22" s="103">
        <v>2018</v>
      </c>
      <c r="P22" s="103">
        <v>2019</v>
      </c>
      <c r="Q22" s="103">
        <v>2020</v>
      </c>
      <c r="R22" s="103">
        <v>2021</v>
      </c>
      <c r="S22" s="103">
        <v>2022</v>
      </c>
      <c r="T22" s="103">
        <v>2023</v>
      </c>
      <c r="U22" s="103">
        <v>2024</v>
      </c>
      <c r="V22" s="103">
        <v>2025</v>
      </c>
      <c r="W22" s="103">
        <v>2026</v>
      </c>
      <c r="X22" s="103">
        <v>2027</v>
      </c>
      <c r="Y22" s="103">
        <v>2028</v>
      </c>
      <c r="Z22" s="103">
        <v>2029</v>
      </c>
      <c r="AA22" s="103">
        <v>2030</v>
      </c>
      <c r="AB22" s="103">
        <v>2031</v>
      </c>
      <c r="AC22" s="103">
        <v>2032</v>
      </c>
      <c r="AD22" s="103">
        <v>2033</v>
      </c>
      <c r="AE22" s="103">
        <v>2034</v>
      </c>
      <c r="AF22" s="103">
        <v>2035</v>
      </c>
      <c r="AG22" s="103">
        <v>2036</v>
      </c>
      <c r="AH22" s="103">
        <v>2037</v>
      </c>
      <c r="AI22" s="103">
        <v>2038</v>
      </c>
      <c r="AJ22" s="103">
        <v>2039</v>
      </c>
      <c r="AK22" s="103">
        <v>2040</v>
      </c>
      <c r="AL22" s="103">
        <v>2041</v>
      </c>
      <c r="AM22" s="103">
        <v>2042</v>
      </c>
      <c r="AN22" s="103">
        <v>2043</v>
      </c>
      <c r="AO22" s="103">
        <v>2044</v>
      </c>
      <c r="AP22" s="103">
        <v>2045</v>
      </c>
      <c r="AQ22" s="103">
        <v>2046</v>
      </c>
      <c r="AR22" s="103">
        <v>2047</v>
      </c>
      <c r="AS22" s="103">
        <v>2048</v>
      </c>
      <c r="AT22" s="103">
        <v>2049</v>
      </c>
      <c r="AU22" s="103">
        <v>2050</v>
      </c>
    </row>
    <row r="23" spans="1:47">
      <c r="B23" s="103" t="s">
        <v>40</v>
      </c>
      <c r="C23" s="103">
        <f t="array" ref="C23:AU28">TRANSPOSE(Private_1!V9:AA53)</f>
        <v>0</v>
      </c>
      <c r="D23" s="103">
        <v>0</v>
      </c>
      <c r="E23" s="103">
        <v>0</v>
      </c>
      <c r="F23" s="103">
        <v>0</v>
      </c>
      <c r="G23" s="103">
        <v>0</v>
      </c>
      <c r="H23" s="103">
        <v>0</v>
      </c>
      <c r="I23" s="103">
        <v>0</v>
      </c>
      <c r="J23" s="103">
        <v>0</v>
      </c>
      <c r="K23" s="103">
        <v>0</v>
      </c>
      <c r="L23" s="103">
        <v>0</v>
      </c>
      <c r="M23" s="10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B24" s="103" t="s">
        <v>82</v>
      </c>
      <c r="C24" s="103">
        <v>0</v>
      </c>
      <c r="D24" s="103">
        <v>0</v>
      </c>
      <c r="E24" s="103">
        <v>0</v>
      </c>
      <c r="F24" s="103">
        <v>0</v>
      </c>
      <c r="G24" s="103">
        <v>0</v>
      </c>
      <c r="H24" s="103">
        <v>0</v>
      </c>
      <c r="I24" s="103">
        <v>0</v>
      </c>
      <c r="J24" s="103">
        <v>0</v>
      </c>
      <c r="K24" s="103">
        <v>0</v>
      </c>
      <c r="L24" s="103">
        <v>0</v>
      </c>
      <c r="M24" s="103">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B25" s="103" t="s">
        <v>81</v>
      </c>
      <c r="C25" s="103">
        <v>0</v>
      </c>
      <c r="D25" s="103">
        <v>0</v>
      </c>
      <c r="E25" s="103">
        <v>0</v>
      </c>
      <c r="F25" s="103">
        <v>0</v>
      </c>
      <c r="G25" s="103">
        <v>0</v>
      </c>
      <c r="H25" s="103">
        <v>0</v>
      </c>
      <c r="I25" s="103">
        <v>0</v>
      </c>
      <c r="J25" s="103">
        <v>0</v>
      </c>
      <c r="K25" s="103">
        <v>0</v>
      </c>
      <c r="L25" s="103">
        <v>0</v>
      </c>
      <c r="M25" s="103">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B26" s="103" t="s">
        <v>83</v>
      </c>
      <c r="C26" s="103">
        <v>0</v>
      </c>
      <c r="D26" s="103">
        <v>0</v>
      </c>
      <c r="E26" s="103">
        <v>0</v>
      </c>
      <c r="F26" s="103">
        <v>0</v>
      </c>
      <c r="G26" s="103">
        <v>0</v>
      </c>
      <c r="H26" s="103">
        <v>0</v>
      </c>
      <c r="I26" s="103">
        <v>0</v>
      </c>
      <c r="J26" s="103">
        <v>0</v>
      </c>
      <c r="K26" s="103">
        <v>0</v>
      </c>
      <c r="L26" s="103">
        <v>0</v>
      </c>
      <c r="M26" s="103">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row>
    <row r="27" spans="1:47">
      <c r="B27" s="103" t="s">
        <v>85</v>
      </c>
      <c r="C27" s="103">
        <v>0</v>
      </c>
      <c r="D27" s="103">
        <v>0</v>
      </c>
      <c r="E27" s="103">
        <v>0</v>
      </c>
      <c r="F27" s="103">
        <v>0</v>
      </c>
      <c r="G27" s="103">
        <v>0</v>
      </c>
      <c r="H27" s="103">
        <v>0</v>
      </c>
      <c r="I27" s="103">
        <v>0</v>
      </c>
      <c r="J27" s="103">
        <v>0</v>
      </c>
      <c r="K27" s="103">
        <v>0</v>
      </c>
      <c r="L27" s="103">
        <v>0</v>
      </c>
      <c r="M27" s="103">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row>
    <row r="28" spans="1:47">
      <c r="B28" s="103" t="s">
        <v>84</v>
      </c>
      <c r="C28" s="103">
        <v>0</v>
      </c>
      <c r="D28" s="103">
        <v>0</v>
      </c>
      <c r="E28" s="103">
        <v>0</v>
      </c>
      <c r="F28" s="103">
        <v>0</v>
      </c>
      <c r="G28" s="103">
        <v>0</v>
      </c>
      <c r="H28" s="103">
        <v>0</v>
      </c>
      <c r="I28" s="103">
        <v>0</v>
      </c>
      <c r="J28" s="103">
        <v>0</v>
      </c>
      <c r="K28" s="103">
        <v>0</v>
      </c>
      <c r="L28" s="103">
        <v>0</v>
      </c>
      <c r="M28" s="103">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row>
    <row r="30" spans="1:47" s="64" customFormat="1">
      <c r="A30" s="124" t="s">
        <v>89</v>
      </c>
    </row>
    <row r="31" spans="1:47">
      <c r="B31" s="103" t="s">
        <v>0</v>
      </c>
      <c r="C31" s="103">
        <v>2006</v>
      </c>
      <c r="D31" s="103">
        <v>2007</v>
      </c>
      <c r="E31" s="103">
        <v>2008</v>
      </c>
      <c r="F31" s="103">
        <v>2009</v>
      </c>
      <c r="G31" s="103">
        <v>2010</v>
      </c>
      <c r="H31" s="103">
        <v>2011</v>
      </c>
      <c r="I31" s="103">
        <v>2012</v>
      </c>
      <c r="J31" s="103">
        <v>2013</v>
      </c>
      <c r="K31" s="103">
        <v>2014</v>
      </c>
      <c r="L31" s="103">
        <v>2015</v>
      </c>
      <c r="M31" s="103">
        <v>2016</v>
      </c>
      <c r="N31" s="103">
        <v>2017</v>
      </c>
      <c r="O31" s="103">
        <v>2018</v>
      </c>
      <c r="P31" s="103">
        <v>2019</v>
      </c>
      <c r="Q31" s="103">
        <v>2020</v>
      </c>
      <c r="R31" s="103">
        <v>2021</v>
      </c>
      <c r="S31" s="103">
        <v>2022</v>
      </c>
      <c r="T31" s="103">
        <v>2023</v>
      </c>
      <c r="U31" s="103">
        <v>2024</v>
      </c>
      <c r="V31" s="103">
        <v>2025</v>
      </c>
      <c r="W31" s="103">
        <v>2026</v>
      </c>
      <c r="X31" s="103">
        <v>2027</v>
      </c>
      <c r="Y31" s="103">
        <v>2028</v>
      </c>
      <c r="Z31" s="103">
        <v>2029</v>
      </c>
      <c r="AA31" s="103">
        <v>2030</v>
      </c>
      <c r="AB31" s="103">
        <v>2031</v>
      </c>
      <c r="AC31" s="103">
        <v>2032</v>
      </c>
      <c r="AD31" s="103">
        <v>2033</v>
      </c>
      <c r="AE31" s="103">
        <v>2034</v>
      </c>
      <c r="AF31" s="103">
        <v>2035</v>
      </c>
      <c r="AG31" s="103">
        <v>2036</v>
      </c>
      <c r="AH31" s="103">
        <v>2037</v>
      </c>
      <c r="AI31" s="103">
        <v>2038</v>
      </c>
      <c r="AJ31" s="103">
        <v>2039</v>
      </c>
      <c r="AK31" s="103">
        <v>2040</v>
      </c>
      <c r="AL31" s="103">
        <v>2041</v>
      </c>
      <c r="AM31" s="103">
        <v>2042</v>
      </c>
      <c r="AN31" s="103">
        <v>2043</v>
      </c>
      <c r="AO31" s="103">
        <v>2044</v>
      </c>
      <c r="AP31" s="103">
        <v>2045</v>
      </c>
      <c r="AQ31" s="103">
        <v>2046</v>
      </c>
      <c r="AR31" s="103">
        <v>2047</v>
      </c>
      <c r="AS31" s="103">
        <v>2048</v>
      </c>
      <c r="AT31" s="103">
        <v>2049</v>
      </c>
      <c r="AU31" s="103">
        <v>2050</v>
      </c>
    </row>
    <row r="32" spans="1:47">
      <c r="B32" s="103" t="s">
        <v>558</v>
      </c>
      <c r="C32" s="103">
        <f t="array" ref="C32:AU37">TRANSPOSE(Private_1!AF9:AK53)</f>
        <v>8503.6770959147434</v>
      </c>
      <c r="D32" s="103">
        <v>9044.5572925060424</v>
      </c>
      <c r="E32" s="103">
        <v>9474.6990403071013</v>
      </c>
      <c r="F32" s="103">
        <v>9718.4391111111127</v>
      </c>
      <c r="G32" s="103">
        <v>9324.6429099694305</v>
      </c>
      <c r="H32" s="103">
        <v>9289.2482183326119</v>
      </c>
      <c r="I32" s="103">
        <v>9160.3661656050954</v>
      </c>
      <c r="J32" s="103">
        <v>9179.7012643902453</v>
      </c>
      <c r="K32" s="103">
        <v>9351.1968741674809</v>
      </c>
      <c r="L32" s="103">
        <v>8943.0961761297804</v>
      </c>
      <c r="M32" s="103">
        <v>9394.761362925914</v>
      </c>
      <c r="N32">
        <v>8951.0695785066546</v>
      </c>
      <c r="O32">
        <v>9071.0155309900019</v>
      </c>
      <c r="P32">
        <v>9182.3799332803719</v>
      </c>
      <c r="Q32">
        <v>9299.2817792111473</v>
      </c>
      <c r="R32">
        <v>9410.5373849221978</v>
      </c>
      <c r="S32">
        <v>9521.2631428062086</v>
      </c>
      <c r="T32">
        <v>9630.6848295052223</v>
      </c>
      <c r="U32">
        <v>9734.8713201949522</v>
      </c>
      <c r="V32">
        <v>9836.2510549230683</v>
      </c>
      <c r="W32">
        <v>9933.3690225658393</v>
      </c>
      <c r="X32">
        <v>10028.313743715136</v>
      </c>
      <c r="Y32">
        <v>10125.26968284658</v>
      </c>
      <c r="Z32">
        <v>10222.320019679086</v>
      </c>
      <c r="AA32">
        <v>10317.249356209635</v>
      </c>
      <c r="AB32">
        <v>10411.443311437964</v>
      </c>
      <c r="AC32">
        <v>10505.269063104815</v>
      </c>
      <c r="AD32">
        <v>10599.758867227672</v>
      </c>
      <c r="AE32">
        <v>10692.264979621441</v>
      </c>
      <c r="AF32">
        <v>10780.884045670013</v>
      </c>
      <c r="AG32">
        <v>10866.478742043664</v>
      </c>
      <c r="AH32">
        <v>10948.72269226639</v>
      </c>
      <c r="AI32">
        <v>11026.745021585033</v>
      </c>
      <c r="AJ32">
        <v>11099.117404361567</v>
      </c>
      <c r="AK32">
        <v>11166.97070103419</v>
      </c>
      <c r="AL32">
        <v>11229.408336650473</v>
      </c>
      <c r="AM32">
        <v>11287.02913239034</v>
      </c>
      <c r="AN32">
        <v>11341.962896410076</v>
      </c>
      <c r="AO32">
        <v>11393.607680050402</v>
      </c>
      <c r="AP32">
        <v>11440.933310879996</v>
      </c>
      <c r="AQ32">
        <v>11484.43091304038</v>
      </c>
      <c r="AR32">
        <v>11522.633937686584</v>
      </c>
      <c r="AS32">
        <v>11557.721812270174</v>
      </c>
      <c r="AT32">
        <v>11588.368788460415</v>
      </c>
      <c r="AU32">
        <v>11614.793629268168</v>
      </c>
    </row>
    <row r="33" spans="1:47">
      <c r="B33" s="103" t="s">
        <v>559</v>
      </c>
      <c r="C33" s="103">
        <v>0</v>
      </c>
      <c r="D33" s="103">
        <v>0</v>
      </c>
      <c r="E33" s="103">
        <v>0</v>
      </c>
      <c r="F33" s="103">
        <v>0</v>
      </c>
      <c r="G33" s="103">
        <v>0</v>
      </c>
      <c r="H33" s="103">
        <v>0</v>
      </c>
      <c r="I33" s="103">
        <v>0</v>
      </c>
      <c r="J33" s="103">
        <v>0</v>
      </c>
      <c r="K33" s="103">
        <v>0</v>
      </c>
      <c r="L33" s="103">
        <v>0</v>
      </c>
      <c r="M33" s="10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row>
    <row r="34" spans="1:47">
      <c r="B34" s="103" t="s">
        <v>560</v>
      </c>
      <c r="C34" s="103">
        <v>8903.0403148261139</v>
      </c>
      <c r="D34" s="103">
        <v>8812.1096341463417</v>
      </c>
      <c r="E34" s="103">
        <v>9130.4784686609692</v>
      </c>
      <c r="F34" s="103">
        <v>9129.7221374045803</v>
      </c>
      <c r="G34" s="103">
        <v>9476.4109374999989</v>
      </c>
      <c r="H34" s="103">
        <v>9315.2157364526156</v>
      </c>
      <c r="I34" s="103">
        <v>9073.08</v>
      </c>
      <c r="J34" s="103">
        <v>9087.9407107626157</v>
      </c>
      <c r="K34" s="103">
        <v>9142.8509675797941</v>
      </c>
      <c r="L34" s="103">
        <v>8736.342715231789</v>
      </c>
      <c r="M34" s="103">
        <v>9082.8973260676703</v>
      </c>
      <c r="N34">
        <v>9061.951748503805</v>
      </c>
      <c r="O34">
        <v>9043.0605108666969</v>
      </c>
      <c r="P34">
        <v>9012.3400105862474</v>
      </c>
      <c r="Q34">
        <v>8983.8377849494773</v>
      </c>
      <c r="R34">
        <v>8946.6761083921301</v>
      </c>
      <c r="S34">
        <v>8905.9110385431795</v>
      </c>
      <c r="T34">
        <v>8860.8645031441538</v>
      </c>
      <c r="U34">
        <v>8808.0492364200345</v>
      </c>
      <c r="V34">
        <v>8749.8744898440855</v>
      </c>
      <c r="W34">
        <v>8685.2052539888646</v>
      </c>
      <c r="X34">
        <v>8616.0387576617031</v>
      </c>
      <c r="Y34">
        <v>8546.0138998879775</v>
      </c>
      <c r="Z34">
        <v>8473.4587410854419</v>
      </c>
      <c r="AA34">
        <v>8396.5743134182921</v>
      </c>
      <c r="AB34">
        <v>8316.5714343872696</v>
      </c>
      <c r="AC34">
        <v>8233.779030566775</v>
      </c>
      <c r="AD34">
        <v>8149.0151555838429</v>
      </c>
      <c r="AE34">
        <v>8060.2618895918895</v>
      </c>
      <c r="AF34">
        <v>7966.2094728802185</v>
      </c>
      <c r="AG34">
        <v>7867.6637885379851</v>
      </c>
      <c r="AH34">
        <v>7764.5354437638252</v>
      </c>
      <c r="AI34">
        <v>7656.3757359219317</v>
      </c>
      <c r="AJ34">
        <v>7542.4080334566461</v>
      </c>
      <c r="AK34">
        <v>7423.6405577437517</v>
      </c>
      <c r="AL34">
        <v>7299.6958720376078</v>
      </c>
      <c r="AM34">
        <v>7171.1985088764304</v>
      </c>
      <c r="AN34">
        <v>7039.6870847783412</v>
      </c>
      <c r="AO34">
        <v>6904.9190371372833</v>
      </c>
      <c r="AP34">
        <v>6766.4332136924795</v>
      </c>
      <c r="AQ34">
        <v>6624.7054773975797</v>
      </c>
      <c r="AR34">
        <v>6479.0815229163327</v>
      </c>
      <c r="AS34">
        <v>6330.9886783190077</v>
      </c>
      <c r="AT34">
        <v>6179.8577373117196</v>
      </c>
      <c r="AU34">
        <v>6025.9969298323231</v>
      </c>
    </row>
    <row r="35" spans="1:47">
      <c r="B35" s="103" t="s">
        <v>561</v>
      </c>
      <c r="C35" s="103">
        <v>0</v>
      </c>
      <c r="D35" s="103">
        <v>0</v>
      </c>
      <c r="E35" s="103">
        <v>0</v>
      </c>
      <c r="F35" s="103">
        <v>0</v>
      </c>
      <c r="G35" s="103">
        <v>0</v>
      </c>
      <c r="H35" s="103">
        <v>0</v>
      </c>
      <c r="I35" s="103">
        <v>0</v>
      </c>
      <c r="J35" s="103">
        <v>0</v>
      </c>
      <c r="K35" s="103">
        <v>0</v>
      </c>
      <c r="L35" s="103">
        <v>0</v>
      </c>
      <c r="M35" s="103">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B36" s="103" t="s">
        <v>562</v>
      </c>
      <c r="C36" s="103">
        <v>0</v>
      </c>
      <c r="D36" s="103">
        <v>0</v>
      </c>
      <c r="E36" s="103">
        <v>0</v>
      </c>
      <c r="F36" s="103">
        <v>0</v>
      </c>
      <c r="G36" s="103">
        <v>0</v>
      </c>
      <c r="H36" s="103">
        <v>0</v>
      </c>
      <c r="I36" s="103">
        <v>0</v>
      </c>
      <c r="J36" s="103">
        <v>0</v>
      </c>
      <c r="K36" s="103">
        <v>0</v>
      </c>
      <c r="L36" s="103">
        <v>0</v>
      </c>
      <c r="M36" s="103">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B37" s="103" t="s">
        <v>563</v>
      </c>
      <c r="C37" s="103">
        <v>0</v>
      </c>
      <c r="D37" s="103">
        <v>0</v>
      </c>
      <c r="E37" s="103">
        <v>0</v>
      </c>
      <c r="F37" s="103">
        <v>0</v>
      </c>
      <c r="G37" s="103">
        <v>0</v>
      </c>
      <c r="H37" s="103">
        <v>0</v>
      </c>
      <c r="I37" s="103">
        <v>0</v>
      </c>
      <c r="J37" s="103">
        <v>0</v>
      </c>
      <c r="K37" s="103">
        <v>0</v>
      </c>
      <c r="L37" s="103">
        <v>0</v>
      </c>
      <c r="M37" s="103">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9" spans="1:47" s="64" customFormat="1">
      <c r="A39" s="124" t="s">
        <v>33</v>
      </c>
    </row>
    <row r="40" spans="1:47">
      <c r="B40" s="103" t="s">
        <v>0</v>
      </c>
      <c r="C40" s="103">
        <v>2006</v>
      </c>
      <c r="D40" s="103">
        <v>2007</v>
      </c>
      <c r="E40" s="103">
        <v>2008</v>
      </c>
      <c r="F40" s="103">
        <v>2009</v>
      </c>
      <c r="G40" s="103">
        <v>2010</v>
      </c>
      <c r="H40" s="103">
        <v>2011</v>
      </c>
      <c r="I40" s="103">
        <v>2012</v>
      </c>
      <c r="J40" s="103">
        <v>2013</v>
      </c>
      <c r="K40" s="103">
        <v>2014</v>
      </c>
      <c r="L40" s="103">
        <v>2015</v>
      </c>
      <c r="M40" s="103">
        <v>2016</v>
      </c>
      <c r="N40" s="103">
        <v>2017</v>
      </c>
      <c r="O40" s="103">
        <v>2018</v>
      </c>
      <c r="P40" s="103">
        <v>2019</v>
      </c>
      <c r="Q40" s="103">
        <v>2020</v>
      </c>
      <c r="R40" s="103">
        <v>2021</v>
      </c>
      <c r="S40" s="103">
        <v>2022</v>
      </c>
      <c r="T40" s="103">
        <v>2023</v>
      </c>
      <c r="U40" s="103">
        <v>2024</v>
      </c>
      <c r="V40" s="103">
        <v>2025</v>
      </c>
      <c r="W40" s="103">
        <v>2026</v>
      </c>
      <c r="X40" s="103">
        <v>2027</v>
      </c>
      <c r="Y40" s="103">
        <v>2028</v>
      </c>
      <c r="Z40" s="103">
        <v>2029</v>
      </c>
      <c r="AA40" s="103">
        <v>2030</v>
      </c>
      <c r="AB40" s="103">
        <v>2031</v>
      </c>
      <c r="AC40" s="103">
        <v>2032</v>
      </c>
      <c r="AD40" s="103">
        <v>2033</v>
      </c>
      <c r="AE40" s="103">
        <v>2034</v>
      </c>
      <c r="AF40" s="103">
        <v>2035</v>
      </c>
      <c r="AG40" s="103">
        <v>2036</v>
      </c>
      <c r="AH40" s="103">
        <v>2037</v>
      </c>
      <c r="AI40" s="103">
        <v>2038</v>
      </c>
      <c r="AJ40" s="103">
        <v>2039</v>
      </c>
      <c r="AK40" s="103">
        <v>2040</v>
      </c>
      <c r="AL40" s="103">
        <v>2041</v>
      </c>
      <c r="AM40" s="103">
        <v>2042</v>
      </c>
      <c r="AN40" s="103">
        <v>2043</v>
      </c>
      <c r="AO40" s="103">
        <v>2044</v>
      </c>
      <c r="AP40" s="103">
        <v>2045</v>
      </c>
      <c r="AQ40" s="103">
        <v>2046</v>
      </c>
      <c r="AR40" s="103">
        <v>2047</v>
      </c>
      <c r="AS40" s="103">
        <v>2048</v>
      </c>
      <c r="AT40" s="103">
        <v>2049</v>
      </c>
      <c r="AU40" s="103">
        <v>2050</v>
      </c>
    </row>
    <row r="41" spans="1:47">
      <c r="B41" s="103" t="s">
        <v>558</v>
      </c>
      <c r="C41" s="62">
        <f t="array" ref="C41:AU46">TRANSPOSE(Private_1!AP9:AU53)</f>
        <v>854.59266207815278</v>
      </c>
      <c r="D41" s="63">
        <v>903.49354230459312</v>
      </c>
      <c r="E41" s="63">
        <v>940.83097577423871</v>
      </c>
      <c r="F41" s="63">
        <v>1114.9150476190478</v>
      </c>
      <c r="G41" s="63">
        <v>1262.2671827235974</v>
      </c>
      <c r="H41" s="63">
        <v>1531.3416384589423</v>
      </c>
      <c r="I41" s="62">
        <v>1912.3002802547771</v>
      </c>
      <c r="J41" s="62">
        <v>2030.6155024390246</v>
      </c>
      <c r="K41" s="62">
        <v>2029.2030903116952</v>
      </c>
      <c r="L41" s="62">
        <v>1932.4420625724217</v>
      </c>
      <c r="M41" s="62">
        <v>2050.4890278211938</v>
      </c>
      <c r="N41">
        <v>2216.4331865202921</v>
      </c>
      <c r="O41">
        <v>2255.6242142258725</v>
      </c>
      <c r="P41">
        <v>2292.9027696747121</v>
      </c>
      <c r="Q41">
        <v>2331.7816115259334</v>
      </c>
      <c r="R41">
        <v>2369.4614117601204</v>
      </c>
      <c r="S41">
        <v>2407.2174410794028</v>
      </c>
      <c r="T41">
        <v>2444.8508373432887</v>
      </c>
      <c r="U41">
        <v>2481.3548759957116</v>
      </c>
      <c r="V41">
        <v>2517.3342113781532</v>
      </c>
      <c r="W41">
        <v>2552.4056970332358</v>
      </c>
      <c r="X41">
        <v>2587.0944093576704</v>
      </c>
      <c r="Y41">
        <v>2622.4768949294303</v>
      </c>
      <c r="Z41">
        <v>2658.0603494171642</v>
      </c>
      <c r="AA41">
        <v>2693.2661831974019</v>
      </c>
      <c r="AB41">
        <v>2728.4504816726894</v>
      </c>
      <c r="AC41">
        <v>2763.7070587896942</v>
      </c>
      <c r="AD41">
        <v>2799.30687015791</v>
      </c>
      <c r="AE41">
        <v>2834.5494754327069</v>
      </c>
      <c r="AF41">
        <v>2868.9218314119212</v>
      </c>
      <c r="AG41">
        <v>2902.6421149947132</v>
      </c>
      <c r="AH41">
        <v>2935.6132086764155</v>
      </c>
      <c r="AI41">
        <v>2967.5901871808042</v>
      </c>
      <c r="AJ41">
        <v>2998.1741009333227</v>
      </c>
      <c r="AK41">
        <v>3027.6542115709576</v>
      </c>
      <c r="AL41">
        <v>3055.7726504145216</v>
      </c>
      <c r="AM41">
        <v>3082.6764582811315</v>
      </c>
      <c r="AN41">
        <v>3108.9347792075828</v>
      </c>
      <c r="AO41">
        <v>3134.3737501730429</v>
      </c>
      <c r="AP41">
        <v>3158.6989359688564</v>
      </c>
      <c r="AQ41">
        <v>3182.0333906941582</v>
      </c>
      <c r="AR41">
        <v>3203.9578096641903</v>
      </c>
      <c r="AS41">
        <v>3225.0645476678878</v>
      </c>
      <c r="AT41">
        <v>3244.9730497644778</v>
      </c>
      <c r="AU41">
        <v>3263.7316176947324</v>
      </c>
    </row>
    <row r="42" spans="1:47">
      <c r="B42" s="103" t="s">
        <v>559</v>
      </c>
      <c r="C42" s="62">
        <v>0</v>
      </c>
      <c r="D42" s="63">
        <v>0</v>
      </c>
      <c r="E42" s="63">
        <v>0</v>
      </c>
      <c r="F42" s="63">
        <v>0</v>
      </c>
      <c r="G42" s="63">
        <v>0</v>
      </c>
      <c r="H42" s="63">
        <v>0</v>
      </c>
      <c r="I42" s="62">
        <v>0</v>
      </c>
      <c r="J42" s="62">
        <v>0</v>
      </c>
      <c r="K42" s="62">
        <v>0</v>
      </c>
      <c r="L42" s="62">
        <v>0</v>
      </c>
      <c r="M42" s="6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row>
    <row r="43" spans="1:47">
      <c r="B43" s="103" t="s">
        <v>560</v>
      </c>
      <c r="C43" s="62">
        <v>8.6996851738865164</v>
      </c>
      <c r="D43" s="63">
        <v>9.7803658536585374</v>
      </c>
      <c r="E43" s="63">
        <v>10.851531339031338</v>
      </c>
      <c r="F43" s="63">
        <v>6.5367938931297713</v>
      </c>
      <c r="G43" s="63">
        <v>3.3667968749999999</v>
      </c>
      <c r="H43" s="63">
        <v>2.2242635473860108</v>
      </c>
      <c r="I43" s="62">
        <v>1.1238795986622074</v>
      </c>
      <c r="J43" s="62">
        <v>0</v>
      </c>
      <c r="K43" s="62">
        <v>1.1490324202060818</v>
      </c>
      <c r="L43" s="62">
        <v>1.1572847682119205</v>
      </c>
      <c r="M43" s="62">
        <v>1.1513369661639843</v>
      </c>
      <c r="N43">
        <v>0.5742681716415593</v>
      </c>
      <c r="O43">
        <v>0.57307100829320012</v>
      </c>
      <c r="P43">
        <v>0.5711242085289131</v>
      </c>
      <c r="Q43">
        <v>0.56931798383710253</v>
      </c>
      <c r="R43">
        <v>0.56696299799696637</v>
      </c>
      <c r="S43">
        <v>0.56437966023721042</v>
      </c>
      <c r="T43">
        <v>0.56152500019924934</v>
      </c>
      <c r="U43">
        <v>0.55817802512167514</v>
      </c>
      <c r="V43">
        <v>0.554491412537648</v>
      </c>
      <c r="W43">
        <v>0.5503932353605111</v>
      </c>
      <c r="X43">
        <v>0.54601006068832092</v>
      </c>
      <c r="Y43">
        <v>0.54157249048719758</v>
      </c>
      <c r="Z43">
        <v>0.53697457167841844</v>
      </c>
      <c r="AA43">
        <v>0.53210230123056346</v>
      </c>
      <c r="AB43">
        <v>0.52703241029070158</v>
      </c>
      <c r="AC43">
        <v>0.52178574338192496</v>
      </c>
      <c r="AD43">
        <v>0.51641414167197996</v>
      </c>
      <c r="AE43">
        <v>0.51078972684359247</v>
      </c>
      <c r="AF43">
        <v>0.50482949764766916</v>
      </c>
      <c r="AG43">
        <v>0.49858452398846548</v>
      </c>
      <c r="AH43">
        <v>0.4920491409229294</v>
      </c>
      <c r="AI43">
        <v>0.48519491355652294</v>
      </c>
      <c r="AJ43">
        <v>0.47797262569433752</v>
      </c>
      <c r="AK43">
        <v>0.470446169692253</v>
      </c>
      <c r="AL43">
        <v>0.4625916268718383</v>
      </c>
      <c r="AM43">
        <v>0.45444857470699812</v>
      </c>
      <c r="AN43">
        <v>0.44611451741307617</v>
      </c>
      <c r="AO43">
        <v>0.43757408346877591</v>
      </c>
      <c r="AP43">
        <v>0.42879804902994167</v>
      </c>
      <c r="AQ43">
        <v>0.41981657017728646</v>
      </c>
      <c r="AR43">
        <v>0.41058818269431768</v>
      </c>
      <c r="AS43">
        <v>0.40120333829651506</v>
      </c>
      <c r="AT43">
        <v>0.39162596560910773</v>
      </c>
      <c r="AU43">
        <v>0.38187559758126255</v>
      </c>
    </row>
    <row r="44" spans="1:47">
      <c r="B44" s="103" t="s">
        <v>561</v>
      </c>
      <c r="C44" s="62">
        <v>0</v>
      </c>
      <c r="D44" s="63">
        <v>0</v>
      </c>
      <c r="E44" s="63">
        <v>0</v>
      </c>
      <c r="F44" s="63">
        <v>0</v>
      </c>
      <c r="G44" s="63">
        <v>0</v>
      </c>
      <c r="H44" s="63">
        <v>0</v>
      </c>
      <c r="I44" s="62">
        <v>0</v>
      </c>
      <c r="J44" s="62">
        <v>0</v>
      </c>
      <c r="K44" s="62">
        <v>0</v>
      </c>
      <c r="L44" s="62">
        <v>0</v>
      </c>
      <c r="M44" s="62">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row>
    <row r="45" spans="1:47">
      <c r="B45" s="103" t="s">
        <v>562</v>
      </c>
      <c r="C45" s="103">
        <v>0</v>
      </c>
      <c r="D45" s="63">
        <v>0</v>
      </c>
      <c r="E45" s="63">
        <v>0</v>
      </c>
      <c r="F45" s="63">
        <v>0</v>
      </c>
      <c r="G45" s="63">
        <v>0</v>
      </c>
      <c r="H45" s="63">
        <v>0</v>
      </c>
      <c r="I45" s="103">
        <v>0</v>
      </c>
      <c r="J45" s="103">
        <v>0</v>
      </c>
      <c r="K45" s="103">
        <v>0</v>
      </c>
      <c r="L45" s="103">
        <v>0</v>
      </c>
      <c r="M45" s="103">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row>
    <row r="46" spans="1:47">
      <c r="B46" s="103" t="s">
        <v>563</v>
      </c>
      <c r="C46" s="103">
        <v>0</v>
      </c>
      <c r="D46" s="63">
        <v>0</v>
      </c>
      <c r="E46" s="63">
        <v>0</v>
      </c>
      <c r="F46" s="63">
        <v>0</v>
      </c>
      <c r="G46" s="63">
        <v>0</v>
      </c>
      <c r="H46" s="63">
        <v>0</v>
      </c>
      <c r="I46" s="103">
        <v>0</v>
      </c>
      <c r="J46" s="103">
        <v>0</v>
      </c>
      <c r="K46" s="103">
        <v>0</v>
      </c>
      <c r="L46" s="103">
        <v>0</v>
      </c>
      <c r="M46" s="103">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8" spans="1:47" s="19" customFormat="1">
      <c r="A48" s="187" t="s">
        <v>765</v>
      </c>
    </row>
    <row r="49" spans="2:47" s="103" customFormat="1">
      <c r="B49" s="103" t="s">
        <v>0</v>
      </c>
      <c r="C49" s="103">
        <v>2006</v>
      </c>
      <c r="D49" s="103">
        <v>2007</v>
      </c>
      <c r="E49" s="103">
        <v>2008</v>
      </c>
      <c r="F49" s="103">
        <v>2009</v>
      </c>
      <c r="G49" s="103">
        <v>2010</v>
      </c>
      <c r="H49" s="103">
        <v>2011</v>
      </c>
      <c r="I49" s="103">
        <v>2012</v>
      </c>
      <c r="J49" s="103">
        <v>2013</v>
      </c>
      <c r="K49" s="103">
        <v>2014</v>
      </c>
      <c r="L49" s="103">
        <v>2015</v>
      </c>
      <c r="M49" s="103">
        <v>2016</v>
      </c>
      <c r="N49" s="103">
        <v>2017</v>
      </c>
      <c r="O49" s="103">
        <v>2018</v>
      </c>
      <c r="P49" s="103">
        <v>2019</v>
      </c>
      <c r="Q49" s="103">
        <v>2020</v>
      </c>
      <c r="R49" s="103">
        <v>2021</v>
      </c>
      <c r="S49" s="103">
        <v>2022</v>
      </c>
      <c r="T49" s="103">
        <v>2023</v>
      </c>
      <c r="U49" s="103">
        <v>2024</v>
      </c>
      <c r="V49" s="103">
        <v>2025</v>
      </c>
      <c r="W49" s="103">
        <v>2026</v>
      </c>
      <c r="X49" s="103">
        <v>2027</v>
      </c>
      <c r="Y49" s="103">
        <v>2028</v>
      </c>
      <c r="Z49" s="103">
        <v>2029</v>
      </c>
      <c r="AA49" s="103">
        <v>2030</v>
      </c>
      <c r="AB49" s="103">
        <v>2031</v>
      </c>
      <c r="AC49" s="103">
        <v>2032</v>
      </c>
      <c r="AD49" s="103">
        <v>2033</v>
      </c>
      <c r="AE49" s="103">
        <v>2034</v>
      </c>
      <c r="AF49" s="103">
        <v>2035</v>
      </c>
      <c r="AG49" s="103">
        <v>2036</v>
      </c>
      <c r="AH49" s="103">
        <v>2037</v>
      </c>
      <c r="AI49" s="103">
        <v>2038</v>
      </c>
      <c r="AJ49" s="103">
        <v>2039</v>
      </c>
      <c r="AK49" s="103">
        <v>2040</v>
      </c>
      <c r="AL49" s="103">
        <v>2041</v>
      </c>
      <c r="AM49" s="103">
        <v>2042</v>
      </c>
      <c r="AN49" s="103">
        <v>2043</v>
      </c>
      <c r="AO49" s="103">
        <v>2044</v>
      </c>
      <c r="AP49" s="103">
        <v>2045</v>
      </c>
      <c r="AQ49" s="103">
        <v>2046</v>
      </c>
      <c r="AR49" s="103">
        <v>2047</v>
      </c>
      <c r="AS49" s="103">
        <v>2048</v>
      </c>
      <c r="AT49" s="103">
        <v>2049</v>
      </c>
      <c r="AU49" s="103">
        <v>2050</v>
      </c>
    </row>
    <row r="50" spans="2:47">
      <c r="B50" s="103" t="s">
        <v>558</v>
      </c>
      <c r="C50" s="62">
        <f t="shared" ref="C50:C55" si="0">SUM(C5,C14,C23,C32,C41)</f>
        <v>17299.260000000002</v>
      </c>
      <c r="D50" s="62">
        <f t="shared" ref="D50:AU55" si="1">SUM(D5,D14,D23,D32,D41)</f>
        <v>17911.109999999997</v>
      </c>
      <c r="E50" s="62">
        <f t="shared" si="1"/>
        <v>18282.66</v>
      </c>
      <c r="F50" s="62">
        <f t="shared" si="1"/>
        <v>19408.957206349209</v>
      </c>
      <c r="G50" s="62">
        <f t="shared" si="1"/>
        <v>19249.099999999999</v>
      </c>
      <c r="H50" s="62">
        <f t="shared" si="1"/>
        <v>19799.560000000005</v>
      </c>
      <c r="I50" s="62">
        <f t="shared" si="1"/>
        <v>20193.014369426754</v>
      </c>
      <c r="J50" s="62">
        <f t="shared" si="1"/>
        <v>19317.702280975613</v>
      </c>
      <c r="K50" s="62">
        <f t="shared" si="1"/>
        <v>21335.999999999996</v>
      </c>
      <c r="L50" s="62">
        <f t="shared" si="1"/>
        <v>20387.500000000004</v>
      </c>
      <c r="M50" s="62">
        <f t="shared" si="1"/>
        <v>21199.746670834636</v>
      </c>
      <c r="N50" s="62">
        <f t="shared" si="1"/>
        <v>21763.771432319925</v>
      </c>
      <c r="O50" s="62">
        <f t="shared" si="1"/>
        <v>22162.278033978786</v>
      </c>
      <c r="P50" s="62">
        <f t="shared" si="1"/>
        <v>22542.311773153462</v>
      </c>
      <c r="Q50" s="62">
        <f t="shared" si="1"/>
        <v>22938.389415674879</v>
      </c>
      <c r="R50" s="62">
        <f t="shared" si="1"/>
        <v>23322.980253569138</v>
      </c>
      <c r="S50" s="62">
        <f t="shared" si="1"/>
        <v>23708.618583128529</v>
      </c>
      <c r="T50" s="62">
        <f t="shared" si="1"/>
        <v>24093.341413924569</v>
      </c>
      <c r="U50" s="62">
        <f t="shared" si="1"/>
        <v>24467.215423042591</v>
      </c>
      <c r="V50" s="62">
        <f t="shared" si="1"/>
        <v>24836.18268202748</v>
      </c>
      <c r="W50" s="62">
        <f t="shared" si="1"/>
        <v>25196.448018070656</v>
      </c>
      <c r="X50" s="62">
        <f t="shared" si="1"/>
        <v>25553.178723159159</v>
      </c>
      <c r="Y50" s="62">
        <f t="shared" si="1"/>
        <v>25917.00394250582</v>
      </c>
      <c r="Z50" s="62">
        <f t="shared" si="1"/>
        <v>26283.058507577596</v>
      </c>
      <c r="AA50" s="62">
        <f t="shared" si="1"/>
        <v>26645.617816663726</v>
      </c>
      <c r="AB50" s="62">
        <f t="shared" si="1"/>
        <v>27008.197084300416</v>
      </c>
      <c r="AC50" s="62">
        <f t="shared" si="1"/>
        <v>27371.721667832076</v>
      </c>
      <c r="AD50" s="62">
        <f t="shared" si="1"/>
        <v>27738.874282961951</v>
      </c>
      <c r="AE50" s="62">
        <f t="shared" si="1"/>
        <v>28102.712517700551</v>
      </c>
      <c r="AF50" s="62">
        <f t="shared" si="1"/>
        <v>28458.138495153107</v>
      </c>
      <c r="AG50" s="62">
        <f t="shared" si="1"/>
        <v>28807.301132857188</v>
      </c>
      <c r="AH50" s="62">
        <f t="shared" si="1"/>
        <v>29149.223311239843</v>
      </c>
      <c r="AI50" s="62">
        <f t="shared" si="1"/>
        <v>29481.457835115074</v>
      </c>
      <c r="AJ50" s="62">
        <f t="shared" si="1"/>
        <v>29800.022054500227</v>
      </c>
      <c r="AK50" s="62">
        <f t="shared" si="1"/>
        <v>30107.769630300561</v>
      </c>
      <c r="AL50" s="62">
        <f t="shared" si="1"/>
        <v>30402.116788936164</v>
      </c>
      <c r="AM50" s="62">
        <f t="shared" si="1"/>
        <v>30684.505581634454</v>
      </c>
      <c r="AN50" s="62">
        <f t="shared" si="1"/>
        <v>30960.58479410865</v>
      </c>
      <c r="AO50" s="62">
        <f t="shared" si="1"/>
        <v>31228.611456435887</v>
      </c>
      <c r="AP50" s="62">
        <f t="shared" si="1"/>
        <v>31485.63771420527</v>
      </c>
      <c r="AQ50" s="62">
        <f t="shared" si="1"/>
        <v>31732.873950471134</v>
      </c>
      <c r="AR50" s="62">
        <f t="shared" si="1"/>
        <v>31966.121945863331</v>
      </c>
      <c r="AS50" s="62">
        <f t="shared" si="1"/>
        <v>32191.274144513049</v>
      </c>
      <c r="AT50" s="62">
        <f t="shared" si="1"/>
        <v>32404.518421467845</v>
      </c>
      <c r="AU50" s="62">
        <f t="shared" si="1"/>
        <v>32606.32060761032</v>
      </c>
    </row>
    <row r="51" spans="2:47">
      <c r="B51" s="103" t="s">
        <v>559</v>
      </c>
      <c r="C51" s="62">
        <f t="shared" si="0"/>
        <v>0</v>
      </c>
      <c r="D51" s="62">
        <f t="shared" ref="D51:R51" si="2">SUM(D6,D15,D24,D33,D42)</f>
        <v>0</v>
      </c>
      <c r="E51" s="62">
        <f t="shared" si="2"/>
        <v>0</v>
      </c>
      <c r="F51" s="62">
        <f t="shared" si="2"/>
        <v>0</v>
      </c>
      <c r="G51" s="62">
        <f t="shared" si="2"/>
        <v>0</v>
      </c>
      <c r="H51" s="62">
        <f t="shared" si="2"/>
        <v>0</v>
      </c>
      <c r="I51" s="62">
        <f t="shared" si="2"/>
        <v>0</v>
      </c>
      <c r="J51" s="62">
        <f t="shared" si="2"/>
        <v>0</v>
      </c>
      <c r="K51" s="62">
        <f t="shared" si="2"/>
        <v>0</v>
      </c>
      <c r="L51" s="62">
        <f t="shared" si="2"/>
        <v>0</v>
      </c>
      <c r="M51" s="62">
        <f t="shared" si="2"/>
        <v>0</v>
      </c>
      <c r="N51" s="62">
        <f t="shared" si="2"/>
        <v>0</v>
      </c>
      <c r="O51" s="62">
        <f t="shared" si="2"/>
        <v>0</v>
      </c>
      <c r="P51" s="62">
        <f t="shared" si="2"/>
        <v>0</v>
      </c>
      <c r="Q51" s="62">
        <f t="shared" si="2"/>
        <v>0</v>
      </c>
      <c r="R51" s="62">
        <f t="shared" si="2"/>
        <v>0</v>
      </c>
      <c r="S51" s="62">
        <f t="shared" si="1"/>
        <v>0</v>
      </c>
      <c r="T51" s="62">
        <f t="shared" si="1"/>
        <v>0</v>
      </c>
      <c r="U51" s="62">
        <f t="shared" si="1"/>
        <v>0</v>
      </c>
      <c r="V51" s="62">
        <f t="shared" si="1"/>
        <v>0</v>
      </c>
      <c r="W51" s="62">
        <f t="shared" si="1"/>
        <v>0</v>
      </c>
      <c r="X51" s="62">
        <f t="shared" si="1"/>
        <v>0</v>
      </c>
      <c r="Y51" s="62">
        <f t="shared" si="1"/>
        <v>0</v>
      </c>
      <c r="Z51" s="62">
        <f t="shared" si="1"/>
        <v>0</v>
      </c>
      <c r="AA51" s="62">
        <f t="shared" si="1"/>
        <v>0</v>
      </c>
      <c r="AB51" s="62">
        <f t="shared" si="1"/>
        <v>0</v>
      </c>
      <c r="AC51" s="62">
        <f t="shared" si="1"/>
        <v>0</v>
      </c>
      <c r="AD51" s="62">
        <f t="shared" si="1"/>
        <v>0</v>
      </c>
      <c r="AE51" s="62">
        <f t="shared" si="1"/>
        <v>0</v>
      </c>
      <c r="AF51" s="62">
        <f t="shared" si="1"/>
        <v>0</v>
      </c>
      <c r="AG51" s="62">
        <f t="shared" si="1"/>
        <v>0</v>
      </c>
      <c r="AH51" s="62">
        <f t="shared" si="1"/>
        <v>0</v>
      </c>
      <c r="AI51" s="62">
        <f t="shared" si="1"/>
        <v>0</v>
      </c>
      <c r="AJ51" s="62">
        <f t="shared" si="1"/>
        <v>0</v>
      </c>
      <c r="AK51" s="62">
        <f t="shared" si="1"/>
        <v>0</v>
      </c>
      <c r="AL51" s="62">
        <f t="shared" si="1"/>
        <v>0</v>
      </c>
      <c r="AM51" s="62">
        <f t="shared" si="1"/>
        <v>0</v>
      </c>
      <c r="AN51" s="62">
        <f t="shared" si="1"/>
        <v>0</v>
      </c>
      <c r="AO51" s="62">
        <f t="shared" si="1"/>
        <v>0</v>
      </c>
      <c r="AP51" s="62">
        <f t="shared" si="1"/>
        <v>0</v>
      </c>
      <c r="AQ51" s="62">
        <f t="shared" si="1"/>
        <v>0</v>
      </c>
      <c r="AR51" s="62">
        <f t="shared" si="1"/>
        <v>0</v>
      </c>
      <c r="AS51" s="62">
        <f t="shared" si="1"/>
        <v>0</v>
      </c>
      <c r="AT51" s="62">
        <f t="shared" si="1"/>
        <v>0</v>
      </c>
      <c r="AU51" s="62">
        <f t="shared" si="1"/>
        <v>0</v>
      </c>
    </row>
    <row r="52" spans="2:47">
      <c r="B52" s="103" t="s">
        <v>560</v>
      </c>
      <c r="C52" s="62">
        <f t="shared" si="0"/>
        <v>8911.74</v>
      </c>
      <c r="D52" s="62">
        <f t="shared" si="1"/>
        <v>8821.89</v>
      </c>
      <c r="E52" s="62">
        <f t="shared" si="1"/>
        <v>9141.33</v>
      </c>
      <c r="F52" s="62">
        <f t="shared" si="1"/>
        <v>9136.2589312977107</v>
      </c>
      <c r="G52" s="62">
        <f t="shared" si="1"/>
        <v>9479.7777343749985</v>
      </c>
      <c r="H52" s="62">
        <f t="shared" si="1"/>
        <v>9317.4400000000023</v>
      </c>
      <c r="I52" s="62">
        <f t="shared" si="1"/>
        <v>9074.2038795986628</v>
      </c>
      <c r="J52" s="62">
        <f t="shared" si="1"/>
        <v>9087.9407107626157</v>
      </c>
      <c r="K52" s="62">
        <f t="shared" si="1"/>
        <v>9144</v>
      </c>
      <c r="L52" s="62">
        <f t="shared" si="1"/>
        <v>8737.5000000000018</v>
      </c>
      <c r="M52" s="62">
        <f t="shared" si="1"/>
        <v>9084.0486630338346</v>
      </c>
      <c r="N52" s="62">
        <f t="shared" si="1"/>
        <v>9062.526016675447</v>
      </c>
      <c r="O52" s="62">
        <f t="shared" si="1"/>
        <v>9043.6335818749903</v>
      </c>
      <c r="P52" s="62">
        <f t="shared" si="1"/>
        <v>9012.9111347947764</v>
      </c>
      <c r="Q52" s="62">
        <f t="shared" si="1"/>
        <v>8984.4071029333136</v>
      </c>
      <c r="R52" s="62">
        <f t="shared" si="1"/>
        <v>8947.2430713901267</v>
      </c>
      <c r="S52" s="62">
        <f t="shared" si="1"/>
        <v>8906.4754182034176</v>
      </c>
      <c r="T52" s="62">
        <f t="shared" si="1"/>
        <v>8861.426028144353</v>
      </c>
      <c r="U52" s="62">
        <f t="shared" si="1"/>
        <v>8808.6074144451559</v>
      </c>
      <c r="V52" s="62">
        <f t="shared" si="1"/>
        <v>8750.428981256624</v>
      </c>
      <c r="W52" s="62">
        <f t="shared" si="1"/>
        <v>8685.755647224225</v>
      </c>
      <c r="X52" s="62">
        <f t="shared" si="1"/>
        <v>8616.5847677223919</v>
      </c>
      <c r="Y52" s="62">
        <f t="shared" si="1"/>
        <v>8546.5554723784644</v>
      </c>
      <c r="Z52" s="62">
        <f t="shared" si="1"/>
        <v>8473.9957156571199</v>
      </c>
      <c r="AA52" s="62">
        <f t="shared" si="1"/>
        <v>8397.1064157195233</v>
      </c>
      <c r="AB52" s="62">
        <f t="shared" si="1"/>
        <v>8317.0984667975608</v>
      </c>
      <c r="AC52" s="62">
        <f t="shared" si="1"/>
        <v>8234.3008163101567</v>
      </c>
      <c r="AD52" s="62">
        <f t="shared" si="1"/>
        <v>8149.5315697255146</v>
      </c>
      <c r="AE52" s="62">
        <f t="shared" si="1"/>
        <v>8060.772679318733</v>
      </c>
      <c r="AF52" s="62">
        <f t="shared" si="1"/>
        <v>7966.7143023778663</v>
      </c>
      <c r="AG52" s="62">
        <f t="shared" si="1"/>
        <v>7868.1623730619731</v>
      </c>
      <c r="AH52" s="62">
        <f t="shared" si="1"/>
        <v>7765.0274929047482</v>
      </c>
      <c r="AI52" s="62">
        <f t="shared" si="1"/>
        <v>7656.860930835488</v>
      </c>
      <c r="AJ52" s="62">
        <f t="shared" si="1"/>
        <v>7542.8860060823408</v>
      </c>
      <c r="AK52" s="62">
        <f t="shared" si="1"/>
        <v>7424.1110039134437</v>
      </c>
      <c r="AL52" s="62">
        <f t="shared" si="1"/>
        <v>7300.1584636644793</v>
      </c>
      <c r="AM52" s="62">
        <f t="shared" si="1"/>
        <v>7171.6529574511378</v>
      </c>
      <c r="AN52" s="62">
        <f t="shared" si="1"/>
        <v>7040.1331992957539</v>
      </c>
      <c r="AO52" s="62">
        <f t="shared" si="1"/>
        <v>6905.3566112207518</v>
      </c>
      <c r="AP52" s="62">
        <f t="shared" si="1"/>
        <v>6766.8620117415094</v>
      </c>
      <c r="AQ52" s="62">
        <f t="shared" si="1"/>
        <v>6625.125293967757</v>
      </c>
      <c r="AR52" s="62">
        <f t="shared" si="1"/>
        <v>6479.4921110990272</v>
      </c>
      <c r="AS52" s="62">
        <f t="shared" si="1"/>
        <v>6331.3898816573046</v>
      </c>
      <c r="AT52" s="62">
        <f t="shared" si="1"/>
        <v>6180.2493632773285</v>
      </c>
      <c r="AU52" s="62">
        <f t="shared" si="1"/>
        <v>6026.3788054299048</v>
      </c>
    </row>
    <row r="53" spans="2:47">
      <c r="B53" s="103" t="s">
        <v>561</v>
      </c>
      <c r="C53" s="62">
        <f t="shared" si="0"/>
        <v>0</v>
      </c>
      <c r="D53" s="62">
        <f t="shared" si="1"/>
        <v>0</v>
      </c>
      <c r="E53" s="62">
        <f t="shared" si="1"/>
        <v>0</v>
      </c>
      <c r="F53" s="62">
        <f t="shared" si="1"/>
        <v>0</v>
      </c>
      <c r="G53" s="62">
        <f t="shared" si="1"/>
        <v>0</v>
      </c>
      <c r="H53" s="62">
        <f t="shared" si="1"/>
        <v>0</v>
      </c>
      <c r="I53" s="62">
        <f t="shared" si="1"/>
        <v>0</v>
      </c>
      <c r="J53" s="62">
        <f t="shared" si="1"/>
        <v>0</v>
      </c>
      <c r="K53" s="62">
        <f t="shared" si="1"/>
        <v>0</v>
      </c>
      <c r="L53" s="62">
        <f t="shared" si="1"/>
        <v>0</v>
      </c>
      <c r="M53" s="62">
        <f t="shared" si="1"/>
        <v>0</v>
      </c>
      <c r="N53" s="62">
        <f t="shared" si="1"/>
        <v>0</v>
      </c>
      <c r="O53" s="62">
        <f t="shared" si="1"/>
        <v>0</v>
      </c>
      <c r="P53" s="62">
        <f t="shared" si="1"/>
        <v>0</v>
      </c>
      <c r="Q53" s="62">
        <f t="shared" si="1"/>
        <v>0</v>
      </c>
      <c r="R53" s="62">
        <f t="shared" si="1"/>
        <v>0</v>
      </c>
      <c r="S53" s="62">
        <f t="shared" si="1"/>
        <v>0</v>
      </c>
      <c r="T53" s="62">
        <f t="shared" si="1"/>
        <v>0</v>
      </c>
      <c r="U53" s="62">
        <f t="shared" si="1"/>
        <v>0</v>
      </c>
      <c r="V53" s="62">
        <f t="shared" si="1"/>
        <v>0</v>
      </c>
      <c r="W53" s="62">
        <f t="shared" si="1"/>
        <v>0</v>
      </c>
      <c r="X53" s="62">
        <f t="shared" si="1"/>
        <v>0</v>
      </c>
      <c r="Y53" s="62">
        <f t="shared" si="1"/>
        <v>0</v>
      </c>
      <c r="Z53" s="62">
        <f t="shared" si="1"/>
        <v>0</v>
      </c>
      <c r="AA53" s="62">
        <f t="shared" si="1"/>
        <v>0</v>
      </c>
      <c r="AB53" s="62">
        <f t="shared" si="1"/>
        <v>0</v>
      </c>
      <c r="AC53" s="62">
        <f t="shared" si="1"/>
        <v>0</v>
      </c>
      <c r="AD53" s="62">
        <f t="shared" si="1"/>
        <v>0</v>
      </c>
      <c r="AE53" s="62">
        <f t="shared" si="1"/>
        <v>0</v>
      </c>
      <c r="AF53" s="62">
        <f t="shared" si="1"/>
        <v>0</v>
      </c>
      <c r="AG53" s="62">
        <f t="shared" si="1"/>
        <v>0</v>
      </c>
      <c r="AH53" s="62">
        <f t="shared" si="1"/>
        <v>0</v>
      </c>
      <c r="AI53" s="62">
        <f t="shared" si="1"/>
        <v>0</v>
      </c>
      <c r="AJ53" s="62">
        <f t="shared" si="1"/>
        <v>0</v>
      </c>
      <c r="AK53" s="62">
        <f t="shared" si="1"/>
        <v>0</v>
      </c>
      <c r="AL53" s="62">
        <f t="shared" si="1"/>
        <v>0</v>
      </c>
      <c r="AM53" s="62">
        <f t="shared" si="1"/>
        <v>0</v>
      </c>
      <c r="AN53" s="62">
        <f t="shared" si="1"/>
        <v>0</v>
      </c>
      <c r="AO53" s="62">
        <f t="shared" si="1"/>
        <v>0</v>
      </c>
      <c r="AP53" s="62">
        <f t="shared" si="1"/>
        <v>0</v>
      </c>
      <c r="AQ53" s="62">
        <f t="shared" si="1"/>
        <v>0</v>
      </c>
      <c r="AR53" s="62">
        <f t="shared" si="1"/>
        <v>0</v>
      </c>
      <c r="AS53" s="62">
        <f t="shared" si="1"/>
        <v>0</v>
      </c>
      <c r="AT53" s="62">
        <f t="shared" si="1"/>
        <v>0</v>
      </c>
      <c r="AU53" s="62">
        <f t="shared" si="1"/>
        <v>0</v>
      </c>
    </row>
    <row r="54" spans="2:47">
      <c r="B54" s="103" t="s">
        <v>562</v>
      </c>
      <c r="C54" s="62">
        <f t="shared" si="0"/>
        <v>0</v>
      </c>
      <c r="D54" s="62">
        <f t="shared" si="1"/>
        <v>0</v>
      </c>
      <c r="E54" s="62">
        <f t="shared" si="1"/>
        <v>0</v>
      </c>
      <c r="F54" s="62">
        <f t="shared" si="1"/>
        <v>0</v>
      </c>
      <c r="G54" s="62">
        <f t="shared" si="1"/>
        <v>0</v>
      </c>
      <c r="H54" s="62">
        <f t="shared" si="1"/>
        <v>0</v>
      </c>
      <c r="I54" s="62">
        <f t="shared" si="1"/>
        <v>0</v>
      </c>
      <c r="J54" s="62">
        <f t="shared" si="1"/>
        <v>0</v>
      </c>
      <c r="K54" s="62">
        <f t="shared" si="1"/>
        <v>0</v>
      </c>
      <c r="L54" s="62">
        <f t="shared" si="1"/>
        <v>0</v>
      </c>
      <c r="M54" s="62">
        <f t="shared" si="1"/>
        <v>0</v>
      </c>
      <c r="N54" s="62">
        <f t="shared" si="1"/>
        <v>0</v>
      </c>
      <c r="O54" s="62">
        <f t="shared" si="1"/>
        <v>0</v>
      </c>
      <c r="P54" s="62">
        <f t="shared" si="1"/>
        <v>0</v>
      </c>
      <c r="Q54" s="62">
        <f t="shared" si="1"/>
        <v>0</v>
      </c>
      <c r="R54" s="62">
        <f t="shared" si="1"/>
        <v>0</v>
      </c>
      <c r="S54" s="62">
        <f t="shared" si="1"/>
        <v>0</v>
      </c>
      <c r="T54" s="62">
        <f t="shared" si="1"/>
        <v>0</v>
      </c>
      <c r="U54" s="62">
        <f t="shared" si="1"/>
        <v>0</v>
      </c>
      <c r="V54" s="62">
        <f t="shared" si="1"/>
        <v>0</v>
      </c>
      <c r="W54" s="62">
        <f t="shared" si="1"/>
        <v>0</v>
      </c>
      <c r="X54" s="62">
        <f t="shared" si="1"/>
        <v>0</v>
      </c>
      <c r="Y54" s="62">
        <f t="shared" si="1"/>
        <v>0</v>
      </c>
      <c r="Z54" s="62">
        <f t="shared" si="1"/>
        <v>0</v>
      </c>
      <c r="AA54" s="62">
        <f t="shared" si="1"/>
        <v>0</v>
      </c>
      <c r="AB54" s="62">
        <f t="shared" si="1"/>
        <v>0</v>
      </c>
      <c r="AC54" s="62">
        <f t="shared" si="1"/>
        <v>0</v>
      </c>
      <c r="AD54" s="62">
        <f t="shared" si="1"/>
        <v>0</v>
      </c>
      <c r="AE54" s="62">
        <f t="shared" si="1"/>
        <v>0</v>
      </c>
      <c r="AF54" s="62">
        <f t="shared" si="1"/>
        <v>0</v>
      </c>
      <c r="AG54" s="62">
        <f t="shared" si="1"/>
        <v>0</v>
      </c>
      <c r="AH54" s="62">
        <f t="shared" si="1"/>
        <v>0</v>
      </c>
      <c r="AI54" s="62">
        <f t="shared" si="1"/>
        <v>0</v>
      </c>
      <c r="AJ54" s="62">
        <f t="shared" si="1"/>
        <v>0</v>
      </c>
      <c r="AK54" s="62">
        <f t="shared" si="1"/>
        <v>0</v>
      </c>
      <c r="AL54" s="62">
        <f t="shared" si="1"/>
        <v>0</v>
      </c>
      <c r="AM54" s="62">
        <f t="shared" si="1"/>
        <v>0</v>
      </c>
      <c r="AN54" s="62">
        <f t="shared" si="1"/>
        <v>0</v>
      </c>
      <c r="AO54" s="62">
        <f t="shared" si="1"/>
        <v>0</v>
      </c>
      <c r="AP54" s="62">
        <f t="shared" si="1"/>
        <v>0</v>
      </c>
      <c r="AQ54" s="62">
        <f t="shared" si="1"/>
        <v>0</v>
      </c>
      <c r="AR54" s="62">
        <f t="shared" si="1"/>
        <v>0</v>
      </c>
      <c r="AS54" s="62">
        <f t="shared" si="1"/>
        <v>0</v>
      </c>
      <c r="AT54" s="62">
        <f t="shared" si="1"/>
        <v>0</v>
      </c>
      <c r="AU54" s="62">
        <f t="shared" si="1"/>
        <v>0</v>
      </c>
    </row>
    <row r="55" spans="2:47">
      <c r="B55" s="103" t="s">
        <v>563</v>
      </c>
      <c r="C55" s="62">
        <f t="shared" si="0"/>
        <v>0</v>
      </c>
      <c r="D55" s="62">
        <f t="shared" si="1"/>
        <v>0</v>
      </c>
      <c r="E55" s="62">
        <f t="shared" si="1"/>
        <v>0</v>
      </c>
      <c r="F55" s="62">
        <f t="shared" si="1"/>
        <v>0</v>
      </c>
      <c r="G55" s="62">
        <f t="shared" si="1"/>
        <v>0</v>
      </c>
      <c r="H55" s="62">
        <f t="shared" si="1"/>
        <v>0</v>
      </c>
      <c r="I55" s="62">
        <f t="shared" si="1"/>
        <v>0</v>
      </c>
      <c r="J55" s="62">
        <f t="shared" si="1"/>
        <v>0</v>
      </c>
      <c r="K55" s="62">
        <f t="shared" si="1"/>
        <v>0</v>
      </c>
      <c r="L55" s="62">
        <f t="shared" si="1"/>
        <v>0</v>
      </c>
      <c r="M55" s="62">
        <f t="shared" si="1"/>
        <v>0</v>
      </c>
      <c r="N55" s="62">
        <f t="shared" si="1"/>
        <v>0</v>
      </c>
      <c r="O55" s="62">
        <f t="shared" si="1"/>
        <v>0</v>
      </c>
      <c r="P55" s="62">
        <f t="shared" si="1"/>
        <v>0</v>
      </c>
      <c r="Q55" s="62">
        <f t="shared" si="1"/>
        <v>0</v>
      </c>
      <c r="R55" s="62">
        <f t="shared" si="1"/>
        <v>0</v>
      </c>
      <c r="S55" s="62">
        <f t="shared" si="1"/>
        <v>0</v>
      </c>
      <c r="T55" s="62">
        <f t="shared" si="1"/>
        <v>0</v>
      </c>
      <c r="U55" s="62">
        <f t="shared" si="1"/>
        <v>0</v>
      </c>
      <c r="V55" s="62">
        <f t="shared" si="1"/>
        <v>0</v>
      </c>
      <c r="W55" s="62">
        <f t="shared" si="1"/>
        <v>0</v>
      </c>
      <c r="X55" s="62">
        <f t="shared" si="1"/>
        <v>0</v>
      </c>
      <c r="Y55" s="62">
        <f t="shared" si="1"/>
        <v>0</v>
      </c>
      <c r="Z55" s="62">
        <f t="shared" si="1"/>
        <v>0</v>
      </c>
      <c r="AA55" s="62">
        <f t="shared" si="1"/>
        <v>0</v>
      </c>
      <c r="AB55" s="62">
        <f t="shared" si="1"/>
        <v>0</v>
      </c>
      <c r="AC55" s="62">
        <f t="shared" si="1"/>
        <v>0</v>
      </c>
      <c r="AD55" s="62">
        <f t="shared" si="1"/>
        <v>0</v>
      </c>
      <c r="AE55" s="62">
        <f t="shared" si="1"/>
        <v>0</v>
      </c>
      <c r="AF55" s="62">
        <f t="shared" si="1"/>
        <v>0</v>
      </c>
      <c r="AG55" s="62">
        <f t="shared" si="1"/>
        <v>0</v>
      </c>
      <c r="AH55" s="62">
        <f t="shared" si="1"/>
        <v>0</v>
      </c>
      <c r="AI55" s="62">
        <f t="shared" si="1"/>
        <v>0</v>
      </c>
      <c r="AJ55" s="62">
        <f t="shared" si="1"/>
        <v>0</v>
      </c>
      <c r="AK55" s="62">
        <f t="shared" si="1"/>
        <v>0</v>
      </c>
      <c r="AL55" s="62">
        <f t="shared" si="1"/>
        <v>0</v>
      </c>
      <c r="AM55" s="62">
        <f t="shared" si="1"/>
        <v>0</v>
      </c>
      <c r="AN55" s="62">
        <f t="shared" si="1"/>
        <v>0</v>
      </c>
      <c r="AO55" s="62">
        <f t="shared" si="1"/>
        <v>0</v>
      </c>
      <c r="AP55" s="62">
        <f t="shared" si="1"/>
        <v>0</v>
      </c>
      <c r="AQ55" s="62">
        <f t="shared" si="1"/>
        <v>0</v>
      </c>
      <c r="AR55" s="62">
        <f t="shared" si="1"/>
        <v>0</v>
      </c>
      <c r="AS55" s="62">
        <f t="shared" si="1"/>
        <v>0</v>
      </c>
      <c r="AT55" s="62">
        <f t="shared" si="1"/>
        <v>0</v>
      </c>
      <c r="AU55" s="62">
        <f t="shared" si="1"/>
        <v>0</v>
      </c>
    </row>
  </sheetData>
  <phoneticPr fontId="3"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U64"/>
  <sheetViews>
    <sheetView zoomScale="80" workbookViewId="0">
      <selection activeCell="I32" sqref="I32"/>
    </sheetView>
  </sheetViews>
  <sheetFormatPr defaultColWidth="8.7109375" defaultRowHeight="15"/>
  <cols>
    <col min="1" max="1" width="14.5703125" style="103" customWidth="1"/>
    <col min="2" max="2" width="11.140625" style="103" bestFit="1" customWidth="1"/>
    <col min="3" max="3" width="9.42578125" style="103" customWidth="1"/>
    <col min="4" max="4" width="9.7109375" style="103" bestFit="1" customWidth="1"/>
    <col min="5" max="6" width="8.7109375" style="103"/>
    <col min="7" max="7" width="10.85546875" style="103" bestFit="1" customWidth="1"/>
    <col min="8" max="8" width="5.85546875" style="103" customWidth="1"/>
    <col min="9" max="9" width="6.140625" style="563" customWidth="1"/>
    <col min="10" max="10" width="5.85546875" style="103" customWidth="1"/>
    <col min="11" max="18" width="8.7109375" style="103"/>
    <col min="19" max="19" width="6.42578125" style="563" customWidth="1"/>
    <col min="20" max="20" width="6.28515625" style="103" customWidth="1"/>
    <col min="21" max="28" width="8.7109375" style="103"/>
    <col min="29" max="29" width="6" style="563" customWidth="1"/>
    <col min="30" max="38" width="8.7109375" style="103"/>
    <col min="39" max="39" width="6.7109375" style="563" customWidth="1"/>
    <col min="40" max="41" width="8.7109375" style="103"/>
    <col min="42" max="42" width="10.140625" style="103" bestFit="1" customWidth="1"/>
    <col min="43" max="16384" width="8.7109375" style="103"/>
  </cols>
  <sheetData>
    <row r="1" spans="1:47" ht="26.1" customHeight="1">
      <c r="A1" s="121" t="s">
        <v>965</v>
      </c>
    </row>
    <row r="2" spans="1:47">
      <c r="A2" s="18"/>
    </row>
    <row r="3" spans="1:47" s="561" customFormat="1" ht="15.75">
      <c r="A3" s="560" t="s">
        <v>28</v>
      </c>
      <c r="I3" s="564"/>
      <c r="K3" s="562" t="s">
        <v>87</v>
      </c>
      <c r="S3" s="564"/>
      <c r="U3" s="562" t="s">
        <v>88</v>
      </c>
      <c r="AC3" s="564"/>
      <c r="AE3" s="562" t="s">
        <v>89</v>
      </c>
      <c r="AM3" s="564"/>
      <c r="AO3" s="562" t="s">
        <v>33</v>
      </c>
    </row>
    <row r="4" spans="1:47" s="60" customFormat="1">
      <c r="A4" s="60" t="s">
        <v>1</v>
      </c>
      <c r="B4" s="60" t="s">
        <v>40</v>
      </c>
      <c r="C4" s="60" t="s">
        <v>82</v>
      </c>
      <c r="D4" s="60" t="s">
        <v>81</v>
      </c>
      <c r="E4" s="60" t="s">
        <v>83</v>
      </c>
      <c r="F4" s="60" t="s">
        <v>85</v>
      </c>
      <c r="G4" s="60" t="s">
        <v>84</v>
      </c>
      <c r="I4" s="565"/>
      <c r="K4" s="60" t="s">
        <v>1</v>
      </c>
      <c r="L4" s="60" t="s">
        <v>40</v>
      </c>
      <c r="M4" s="60" t="s">
        <v>82</v>
      </c>
      <c r="N4" s="60" t="s">
        <v>81</v>
      </c>
      <c r="O4" s="60" t="s">
        <v>83</v>
      </c>
      <c r="P4" s="60" t="s">
        <v>85</v>
      </c>
      <c r="Q4" s="60" t="s">
        <v>84</v>
      </c>
      <c r="S4" s="565"/>
      <c r="U4" s="60" t="s">
        <v>1</v>
      </c>
      <c r="V4" s="60" t="s">
        <v>40</v>
      </c>
      <c r="W4" s="60" t="s">
        <v>82</v>
      </c>
      <c r="X4" s="60" t="s">
        <v>81</v>
      </c>
      <c r="Y4" s="60" t="s">
        <v>83</v>
      </c>
      <c r="Z4" s="60" t="s">
        <v>85</v>
      </c>
      <c r="AA4" s="60" t="s">
        <v>84</v>
      </c>
      <c r="AC4" s="565"/>
      <c r="AE4" s="60" t="s">
        <v>1</v>
      </c>
      <c r="AF4" s="60" t="s">
        <v>40</v>
      </c>
      <c r="AG4" s="60" t="s">
        <v>82</v>
      </c>
      <c r="AH4" s="60" t="s">
        <v>81</v>
      </c>
      <c r="AI4" s="60" t="s">
        <v>83</v>
      </c>
      <c r="AJ4" s="60" t="s">
        <v>85</v>
      </c>
      <c r="AK4" s="60" t="s">
        <v>84</v>
      </c>
      <c r="AM4" s="565"/>
      <c r="AO4" s="60" t="s">
        <v>1</v>
      </c>
      <c r="AP4" s="60" t="s">
        <v>40</v>
      </c>
      <c r="AQ4" s="60" t="s">
        <v>82</v>
      </c>
      <c r="AR4" s="60" t="s">
        <v>81</v>
      </c>
      <c r="AS4" s="60" t="s">
        <v>83</v>
      </c>
      <c r="AT4" s="60" t="s">
        <v>85</v>
      </c>
      <c r="AU4" s="60" t="s">
        <v>84</v>
      </c>
    </row>
    <row r="5" spans="1:47">
      <c r="A5" s="64">
        <v>2006</v>
      </c>
      <c r="B5" s="559">
        <f>'Future Type Share'!U7*'Future EndUse Share'!AA68</f>
        <v>1911.1477561779245</v>
      </c>
      <c r="C5" s="64">
        <f>'Future Type Share'!Q7*0.5*'Future EndUse Share'!P68</f>
        <v>0</v>
      </c>
      <c r="D5" s="64">
        <f>'Future Type Share'!Q7*'Future EndUse Share'!P68</f>
        <v>0</v>
      </c>
      <c r="E5" s="559">
        <f>C5</f>
        <v>0</v>
      </c>
      <c r="F5" s="64">
        <v>0</v>
      </c>
      <c r="G5" s="64">
        <v>0</v>
      </c>
      <c r="K5" s="567">
        <v>2006</v>
      </c>
      <c r="L5" s="559">
        <f>'Future Type Share'!U7*'Future EndUse Share'!Y68</f>
        <v>5435.9123110378914</v>
      </c>
      <c r="M5" s="568">
        <f>'Future Type Share'!S7*0.5*'Future EndUse Share'!N68</f>
        <v>0</v>
      </c>
      <c r="N5" s="568">
        <f>'Future Type Share'!Q7*'Future EndUse Share'!N68</f>
        <v>0</v>
      </c>
      <c r="O5" s="568">
        <f>M5</f>
        <v>0</v>
      </c>
      <c r="P5" s="567">
        <v>0</v>
      </c>
      <c r="Q5" s="567">
        <v>0</v>
      </c>
      <c r="U5" s="64">
        <v>2006</v>
      </c>
      <c r="V5" s="64">
        <v>0</v>
      </c>
      <c r="W5" s="64">
        <v>0</v>
      </c>
      <c r="X5" s="64">
        <v>0</v>
      </c>
      <c r="Y5" s="64">
        <v>0</v>
      </c>
      <c r="Z5" s="64">
        <v>0</v>
      </c>
      <c r="AA5" s="64">
        <v>0</v>
      </c>
      <c r="AE5" s="64">
        <v>2006</v>
      </c>
      <c r="AF5" s="559">
        <f>'Future Type Share'!U7*('Future EndUse Share'!Z68+'Future EndUse Share'!AB68+'Future EndUse Share'!AC68+'Future EndUse Share'!AD68)</f>
        <v>8152.7825871499181</v>
      </c>
      <c r="AG5" s="559">
        <f>'Future Type Share'!S7*0.5*('Future EndUse Share'!O68+'Future EndUse Share'!Q68+'Future EndUse Share'!R68+'Future EndUse Share'!S68)</f>
        <v>0</v>
      </c>
      <c r="AH5" s="559">
        <f>'Future Type Share'!Q7*('Future EndUse Share'!O68+'Future EndUse Share'!Q68+'Future EndUse Share'!R68+'Future EndUse Share'!S68)</f>
        <v>8447.1683333333349</v>
      </c>
      <c r="AI5" s="559">
        <f>AG5</f>
        <v>0</v>
      </c>
      <c r="AJ5" s="64">
        <v>0</v>
      </c>
      <c r="AK5" s="64">
        <v>0</v>
      </c>
      <c r="AO5" s="64">
        <v>2006</v>
      </c>
      <c r="AP5" s="559">
        <f>'Future Type Share'!U7*('Future EndUse Share'!AE68)</f>
        <v>980.54910444810548</v>
      </c>
      <c r="AQ5" s="559">
        <f>'Future Type Share'!S7*0.5*('Future EndUse Share'!T68)</f>
        <v>0</v>
      </c>
      <c r="AR5" s="559">
        <f>'Future Type Share'!Q7*'Future EndUse Share'!T68</f>
        <v>39.010937500000004</v>
      </c>
      <c r="AS5" s="559">
        <f>AQ5</f>
        <v>0</v>
      </c>
      <c r="AT5" s="64">
        <v>0</v>
      </c>
      <c r="AU5" s="64">
        <v>0</v>
      </c>
    </row>
    <row r="6" spans="1:47">
      <c r="A6" s="64">
        <v>2007</v>
      </c>
      <c r="B6" s="559">
        <f>'Future Type Share'!U8*'Future EndUse Share'!AA69</f>
        <v>1850.1046096105729</v>
      </c>
      <c r="C6" s="64">
        <f>'Future Type Share'!Q8*0.5*'Future EndUse Share'!P69</f>
        <v>0</v>
      </c>
      <c r="D6" s="64">
        <f>'Future Type Share'!Q8*'Future EndUse Share'!P69</f>
        <v>0</v>
      </c>
      <c r="E6" s="559">
        <f t="shared" ref="E6:E15" si="0">C6</f>
        <v>0</v>
      </c>
      <c r="F6" s="559">
        <f t="shared" ref="F6:G10" si="1">TREND(F$11:F$15,$A$11:$A$15,$A6)</f>
        <v>0</v>
      </c>
      <c r="G6" s="559">
        <f t="shared" si="1"/>
        <v>0</v>
      </c>
      <c r="K6" s="567">
        <v>2007</v>
      </c>
      <c r="L6" s="559">
        <f>'Future Type Share'!U8*'Future EndUse Share'!Y69</f>
        <v>5372.7730705074746</v>
      </c>
      <c r="M6" s="568">
        <f>'Future Type Share'!S8*0.5*'Future EndUse Share'!N69</f>
        <v>0</v>
      </c>
      <c r="N6" s="568">
        <f>'Future Type Share'!Q8*'Future EndUse Share'!N69</f>
        <v>0</v>
      </c>
      <c r="O6" s="568">
        <f t="shared" ref="O6:O15" si="2">M6</f>
        <v>0</v>
      </c>
      <c r="P6" s="567">
        <v>0</v>
      </c>
      <c r="Q6" s="567">
        <v>0</v>
      </c>
      <c r="U6" s="64">
        <v>2007</v>
      </c>
      <c r="V6" s="64">
        <v>0</v>
      </c>
      <c r="W6" s="64">
        <v>0</v>
      </c>
      <c r="X6" s="64">
        <v>0</v>
      </c>
      <c r="Y6" s="64">
        <v>0</v>
      </c>
      <c r="Z6" s="64">
        <v>0</v>
      </c>
      <c r="AA6" s="64">
        <v>0</v>
      </c>
      <c r="AE6" s="64">
        <v>2007</v>
      </c>
      <c r="AF6" s="559">
        <f>'Future Type Share'!U8*('Future EndUse Share'!Z69+'Future EndUse Share'!AB69+'Future EndUse Share'!AC69+'Future EndUse Share'!AD69)</f>
        <v>8630.2129595175484</v>
      </c>
      <c r="AG6" s="559">
        <f>'Future Type Share'!S8*0.5*('Future EndUse Share'!O69+'Future EndUse Share'!Q69+'Future EndUse Share'!R69+'Future EndUse Share'!S69)</f>
        <v>0</v>
      </c>
      <c r="AH6" s="559">
        <f>'Future Type Share'!Q8*('Future EndUse Share'!O69+'Future EndUse Share'!Q69+'Future EndUse Share'!R69+'Future EndUse Share'!S69)</f>
        <v>8270.3520056261732</v>
      </c>
      <c r="AI6" s="559">
        <f t="shared" ref="AI6:AI49" si="3">AG6</f>
        <v>0</v>
      </c>
      <c r="AJ6" s="64">
        <v>0</v>
      </c>
      <c r="AK6" s="64">
        <v>0</v>
      </c>
      <c r="AO6" s="64">
        <v>2007</v>
      </c>
      <c r="AP6" s="559">
        <f>'Future Type Share'!U8*('Future EndUse Share'!AE69)</f>
        <v>1020.8593603644063</v>
      </c>
      <c r="AQ6" s="559">
        <f>'Future Type Share'!S8*0.5*('Future EndUse Share'!T69)</f>
        <v>0</v>
      </c>
      <c r="AR6" s="559">
        <f>'Future Type Share'!Q8*'Future EndUse Share'!T69</f>
        <v>40.697994373827882</v>
      </c>
      <c r="AS6" s="559">
        <f t="shared" ref="AS6:AS49" si="4">AQ6</f>
        <v>0</v>
      </c>
      <c r="AT6" s="64">
        <v>0</v>
      </c>
      <c r="AU6" s="64">
        <v>0</v>
      </c>
    </row>
    <row r="7" spans="1:47">
      <c r="A7" s="64">
        <v>2008</v>
      </c>
      <c r="B7" s="559">
        <f>'Future Type Share'!U9*'Future EndUse Share'!AA70</f>
        <v>1740.2225788002036</v>
      </c>
      <c r="C7" s="64">
        <f>'Future Type Share'!Q9*0.5*'Future EndUse Share'!P70</f>
        <v>0</v>
      </c>
      <c r="D7" s="64">
        <f>'Future Type Share'!Q9*'Future EndUse Share'!P70</f>
        <v>0</v>
      </c>
      <c r="E7" s="559">
        <f t="shared" si="0"/>
        <v>0</v>
      </c>
      <c r="F7" s="559">
        <f t="shared" si="1"/>
        <v>0</v>
      </c>
      <c r="G7" s="559">
        <f t="shared" si="1"/>
        <v>0</v>
      </c>
      <c r="K7" s="567">
        <v>2008</v>
      </c>
      <c r="L7" s="559">
        <f>'Future Type Share'!U9*'Future EndUse Share'!Y70</f>
        <v>5178.9023945094059</v>
      </c>
      <c r="M7" s="568">
        <f>'Future Type Share'!S9*0.5*'Future EndUse Share'!N70</f>
        <v>0</v>
      </c>
      <c r="N7" s="568">
        <f>'Future Type Share'!Q9*'Future EndUse Share'!N70</f>
        <v>0</v>
      </c>
      <c r="O7" s="568">
        <f t="shared" si="2"/>
        <v>0</v>
      </c>
      <c r="P7" s="567">
        <v>0</v>
      </c>
      <c r="Q7" s="567">
        <v>0</v>
      </c>
      <c r="U7" s="64">
        <v>2008</v>
      </c>
      <c r="V7" s="64">
        <v>0</v>
      </c>
      <c r="W7" s="64">
        <v>0</v>
      </c>
      <c r="X7" s="64">
        <v>0</v>
      </c>
      <c r="Y7" s="64">
        <v>0</v>
      </c>
      <c r="Z7" s="64">
        <v>0</v>
      </c>
      <c r="AA7" s="64">
        <v>0</v>
      </c>
      <c r="AE7" s="64">
        <v>2008</v>
      </c>
      <c r="AF7" s="559">
        <f>'Future Type Share'!U9*('Future EndUse Share'!Z70+'Future EndUse Share'!AB70+'Future EndUse Share'!AC70+'Future EndUse Share'!AD70)</f>
        <v>8899.2305414336552</v>
      </c>
      <c r="AG7" s="559">
        <f>'Future Type Share'!S9*0.5*('Future EndUse Share'!O70+'Future EndUse Share'!Q70+'Future EndUse Share'!R70+'Future EndUse Share'!S70)</f>
        <v>0</v>
      </c>
      <c r="AH7" s="559">
        <f>'Future Type Share'!Q9*('Future EndUse Share'!O70+'Future EndUse Share'!Q70+'Future EndUse Share'!R70+'Future EndUse Share'!S70)</f>
        <v>8382.0275533326549</v>
      </c>
      <c r="AI7" s="559">
        <f t="shared" si="3"/>
        <v>0</v>
      </c>
      <c r="AJ7" s="64">
        <v>0</v>
      </c>
      <c r="AK7" s="64">
        <v>0</v>
      </c>
      <c r="AO7" s="64">
        <v>2008</v>
      </c>
      <c r="AP7" s="559">
        <f>'Future Type Share'!U9*('Future EndUse Share'!AE70)</f>
        <v>1033.4244852567363</v>
      </c>
      <c r="AQ7" s="559">
        <f>'Future Type Share'!S9*0.5*('Future EndUse Share'!T70)</f>
        <v>0</v>
      </c>
      <c r="AR7" s="559">
        <f>'Future Type Share'!Q9*'Future EndUse Share'!T70</f>
        <v>44.722494641216706</v>
      </c>
      <c r="AS7" s="559">
        <f t="shared" si="4"/>
        <v>0</v>
      </c>
      <c r="AT7" s="64">
        <v>0</v>
      </c>
      <c r="AU7" s="64">
        <v>0</v>
      </c>
    </row>
    <row r="8" spans="1:47">
      <c r="A8" s="64">
        <v>2009</v>
      </c>
      <c r="B8" s="559">
        <f>'Future Type Share'!U10*'Future EndUse Share'!AA71</f>
        <v>1781.1002550269741</v>
      </c>
      <c r="C8" s="64">
        <f>'Future Type Share'!Q10*0.5*'Future EndUse Share'!P71</f>
        <v>0</v>
      </c>
      <c r="D8" s="64">
        <f>'Future Type Share'!Q10*'Future EndUse Share'!P71</f>
        <v>0</v>
      </c>
      <c r="E8" s="559">
        <f t="shared" si="0"/>
        <v>0</v>
      </c>
      <c r="F8" s="559">
        <f t="shared" si="1"/>
        <v>0</v>
      </c>
      <c r="G8" s="559">
        <f t="shared" si="1"/>
        <v>0</v>
      </c>
      <c r="K8" s="567">
        <v>2009</v>
      </c>
      <c r="L8" s="559">
        <f>'Future Type Share'!U10*'Future EndUse Share'!Y71</f>
        <v>5545.4268464933793</v>
      </c>
      <c r="M8" s="568">
        <f>'Future Type Share'!S10*0.5*'Future EndUse Share'!N71</f>
        <v>0</v>
      </c>
      <c r="N8" s="568">
        <f>'Future Type Share'!Q10*'Future EndUse Share'!N71</f>
        <v>0</v>
      </c>
      <c r="O8" s="568">
        <f t="shared" si="2"/>
        <v>0</v>
      </c>
      <c r="P8" s="567">
        <v>0</v>
      </c>
      <c r="Q8" s="567">
        <v>0</v>
      </c>
      <c r="U8" s="64">
        <v>2009</v>
      </c>
      <c r="V8" s="64">
        <v>0</v>
      </c>
      <c r="W8" s="64">
        <v>0</v>
      </c>
      <c r="X8" s="64">
        <v>0</v>
      </c>
      <c r="Y8" s="64">
        <v>0</v>
      </c>
      <c r="Z8" s="64">
        <v>0</v>
      </c>
      <c r="AA8" s="64">
        <v>0</v>
      </c>
      <c r="AE8" s="64">
        <v>2009</v>
      </c>
      <c r="AF8" s="559">
        <f>'Future Type Share'!U10*('Future EndUse Share'!Z71+'Future EndUse Share'!AB71+'Future EndUse Share'!AC71+'Future EndUse Share'!AD71)</f>
        <v>9210.8637959784228</v>
      </c>
      <c r="AG8" s="559">
        <f>'Future Type Share'!S10*0.5*('Future EndUse Share'!O71+'Future EndUse Share'!Q71+'Future EndUse Share'!R71+'Future EndUse Share'!S71)</f>
        <v>0</v>
      </c>
      <c r="AH8" s="559">
        <f>'Future Type Share'!Q10*('Future EndUse Share'!O71+'Future EndUse Share'!Q71+'Future EndUse Share'!R71+'Future EndUse Share'!S71)</f>
        <v>8303.2832472324717</v>
      </c>
      <c r="AI8" s="559">
        <f t="shared" si="3"/>
        <v>0</v>
      </c>
      <c r="AJ8" s="64">
        <v>0</v>
      </c>
      <c r="AK8" s="64">
        <v>0</v>
      </c>
      <c r="AO8" s="64">
        <v>2009</v>
      </c>
      <c r="AP8" s="559">
        <f>'Future Type Share'!U10*('Future EndUse Share'!AE71)</f>
        <v>1188.8491025012263</v>
      </c>
      <c r="AQ8" s="559">
        <f>'Future Type Share'!S10*0.5*('Future EndUse Share'!T71)</f>
        <v>0</v>
      </c>
      <c r="AR8" s="559">
        <f>'Future Type Share'!Q10*'Future EndUse Share'!T71</f>
        <v>38.476752767527678</v>
      </c>
      <c r="AS8" s="559">
        <f t="shared" si="4"/>
        <v>0</v>
      </c>
      <c r="AT8" s="64">
        <v>0</v>
      </c>
      <c r="AU8" s="64">
        <v>0</v>
      </c>
    </row>
    <row r="9" spans="1:47">
      <c r="A9" s="64">
        <v>2010</v>
      </c>
      <c r="B9" s="559">
        <f>'Future Type Share'!U11*'Future EndUse Share'!AA72</f>
        <v>1713.2586653605979</v>
      </c>
      <c r="C9" s="64">
        <f>'Future Type Share'!Q11*0.5*'Future EndUse Share'!P72</f>
        <v>0</v>
      </c>
      <c r="D9" s="64">
        <f>'Future Type Share'!Q11*'Future EndUse Share'!P72</f>
        <v>0</v>
      </c>
      <c r="E9" s="559">
        <f t="shared" si="0"/>
        <v>0</v>
      </c>
      <c r="F9" s="559">
        <f t="shared" si="1"/>
        <v>0</v>
      </c>
      <c r="G9" s="559">
        <f t="shared" si="1"/>
        <v>0</v>
      </c>
      <c r="K9" s="567">
        <v>2010</v>
      </c>
      <c r="L9" s="559">
        <f>'Future Type Share'!U11*'Future EndUse Share'!Y72</f>
        <v>5547.6434798579658</v>
      </c>
      <c r="M9" s="568">
        <f>'Future Type Share'!S11*0.5*'Future EndUse Share'!N72</f>
        <v>0</v>
      </c>
      <c r="N9" s="568">
        <f>'Future Type Share'!Q11*'Future EndUse Share'!N72</f>
        <v>0</v>
      </c>
      <c r="O9" s="568">
        <f t="shared" si="2"/>
        <v>0</v>
      </c>
      <c r="P9" s="567">
        <v>0</v>
      </c>
      <c r="Q9" s="567">
        <v>0</v>
      </c>
      <c r="U9" s="64">
        <v>2010</v>
      </c>
      <c r="V9" s="64">
        <v>0</v>
      </c>
      <c r="W9" s="64">
        <v>0</v>
      </c>
      <c r="X9" s="64">
        <v>0</v>
      </c>
      <c r="Y9" s="64">
        <v>0</v>
      </c>
      <c r="Z9" s="64">
        <v>0</v>
      </c>
      <c r="AA9" s="64">
        <v>0</v>
      </c>
      <c r="AE9" s="64">
        <v>2010</v>
      </c>
      <c r="AF9" s="559">
        <f>'Future Type Share'!U11*('Future EndUse Share'!Z72+'Future EndUse Share'!AB72+'Future EndUse Share'!AC72+'Future EndUse Share'!AD72)</f>
        <v>9004.2935006734442</v>
      </c>
      <c r="AG9" s="559">
        <f>'Future Type Share'!S11*0.5*('Future EndUse Share'!O72+'Future EndUse Share'!Q72+'Future EndUse Share'!R72+'Future EndUse Share'!S72)</f>
        <v>0</v>
      </c>
      <c r="AH9" s="559">
        <f>'Future Type Share'!Q11*('Future EndUse Share'!O72+'Future EndUse Share'!Q72+'Future EndUse Share'!R72+'Future EndUse Share'!S72)</f>
        <v>8622.9057321753189</v>
      </c>
      <c r="AI9" s="559">
        <f t="shared" si="3"/>
        <v>0</v>
      </c>
      <c r="AJ9" s="64">
        <v>0</v>
      </c>
      <c r="AK9" s="64">
        <v>0</v>
      </c>
      <c r="AO9" s="64">
        <v>2010</v>
      </c>
      <c r="AP9" s="559">
        <f>'Future Type Share'!U11*('Future EndUse Share'!AE72)</f>
        <v>1314.000521611363</v>
      </c>
      <c r="AQ9" s="559">
        <f>'Future Type Share'!S11*0.5*('Future EndUse Share'!T72)</f>
        <v>0</v>
      </c>
      <c r="AR9" s="559">
        <f>'Future Type Share'!Q11*'Future EndUse Share'!T72</f>
        <v>34.974267824681888</v>
      </c>
      <c r="AS9" s="559">
        <f t="shared" si="4"/>
        <v>0</v>
      </c>
      <c r="AT9" s="64">
        <v>0</v>
      </c>
      <c r="AU9" s="64">
        <v>0</v>
      </c>
    </row>
    <row r="10" spans="1:47">
      <c r="A10" s="64">
        <v>2011</v>
      </c>
      <c r="B10" s="559">
        <f>'Future Type Share'!U12*'Future EndUse Share'!AA73</f>
        <v>1671.5282266526758</v>
      </c>
      <c r="C10" s="64">
        <f>'Future Type Share'!Q12*0.5*'Future EndUse Share'!P73</f>
        <v>0</v>
      </c>
      <c r="D10" s="64">
        <f>'Future Type Share'!Q12*'Future EndUse Share'!P73</f>
        <v>0</v>
      </c>
      <c r="E10" s="559">
        <f t="shared" si="0"/>
        <v>0</v>
      </c>
      <c r="F10" s="559">
        <f t="shared" si="1"/>
        <v>0</v>
      </c>
      <c r="G10" s="559">
        <f t="shared" si="1"/>
        <v>0</v>
      </c>
      <c r="K10" s="567">
        <v>2011</v>
      </c>
      <c r="L10" s="559">
        <f>'Future Type Share'!U12*'Future EndUse Share'!Y73</f>
        <v>5576.1393494228751</v>
      </c>
      <c r="M10" s="568">
        <f>'Future Type Share'!S12*0.5*'Future EndUse Share'!N73</f>
        <v>0</v>
      </c>
      <c r="N10" s="568">
        <f>'Future Type Share'!Q12*'Future EndUse Share'!N73</f>
        <v>0</v>
      </c>
      <c r="O10" s="568">
        <f t="shared" si="2"/>
        <v>0</v>
      </c>
      <c r="P10" s="567">
        <v>0</v>
      </c>
      <c r="Q10" s="567">
        <v>0</v>
      </c>
      <c r="U10" s="64">
        <v>2011</v>
      </c>
      <c r="V10" s="64">
        <v>0</v>
      </c>
      <c r="W10" s="64">
        <v>0</v>
      </c>
      <c r="X10" s="64">
        <v>0</v>
      </c>
      <c r="Y10" s="64">
        <v>0</v>
      </c>
      <c r="Z10" s="64">
        <v>0</v>
      </c>
      <c r="AA10" s="64">
        <v>0</v>
      </c>
      <c r="AE10" s="64">
        <v>2011</v>
      </c>
      <c r="AF10" s="559">
        <f>'Future Type Share'!U12*('Future EndUse Share'!Z73+'Future EndUse Share'!AB73+'Future EndUse Share'!AC73+'Future EndUse Share'!AD73)</f>
        <v>8982.6854144805875</v>
      </c>
      <c r="AG10" s="559">
        <f>'Future Type Share'!S12*0.5*('Future EndUse Share'!O73+'Future EndUse Share'!Q73+'Future EndUse Share'!R73+'Future EndUse Share'!S73)</f>
        <v>0</v>
      </c>
      <c r="AH10" s="559">
        <f>'Future Type Share'!Q12*('Future EndUse Share'!O73+'Future EndUse Share'!Q73+'Future EndUse Share'!R73+'Future EndUse Share'!S73)</f>
        <v>8316.0326348820727</v>
      </c>
      <c r="AI10" s="559">
        <f t="shared" si="3"/>
        <v>0</v>
      </c>
      <c r="AJ10" s="64">
        <v>0</v>
      </c>
      <c r="AK10" s="64">
        <v>0</v>
      </c>
      <c r="AO10" s="64">
        <v>2011</v>
      </c>
      <c r="AP10" s="559">
        <f>'Future Type Share'!U12*('Future EndUse Share'!AE73)</f>
        <v>1502.9523609653725</v>
      </c>
      <c r="AQ10" s="559">
        <f>'Future Type Share'!S12*0.5*('Future EndUse Share'!T73)</f>
        <v>0</v>
      </c>
      <c r="AR10" s="559">
        <f>'Future Type Share'!Q12*'Future EndUse Share'!T73</f>
        <v>29.567365117926919</v>
      </c>
      <c r="AS10" s="559">
        <f t="shared" si="4"/>
        <v>0</v>
      </c>
      <c r="AT10" s="64">
        <v>0</v>
      </c>
      <c r="AU10" s="64">
        <v>0</v>
      </c>
    </row>
    <row r="11" spans="1:47">
      <c r="A11" s="64">
        <v>2012</v>
      </c>
      <c r="B11" s="559">
        <f>'Future Type Share'!U13*'Future EndUse Share'!AA74</f>
        <v>1681.4407310954484</v>
      </c>
      <c r="C11" s="64">
        <f>'Future Type Share'!Q13*0.5*'Future EndUse Share'!P74</f>
        <v>0</v>
      </c>
      <c r="D11" s="64">
        <f>'Future Type Share'!Q13*'Future EndUse Share'!P74</f>
        <v>0</v>
      </c>
      <c r="E11" s="559">
        <f t="shared" si="0"/>
        <v>0</v>
      </c>
      <c r="F11" s="64">
        <v>0</v>
      </c>
      <c r="G11" s="64">
        <v>0</v>
      </c>
      <c r="K11" s="567">
        <v>2012</v>
      </c>
      <c r="L11" s="559">
        <f>'Future Type Share'!U13*'Future EndUse Share'!Y74</f>
        <v>5701.0834977899885</v>
      </c>
      <c r="M11" s="568">
        <f>'Future Type Share'!S13*0.5*'Future EndUse Share'!N74</f>
        <v>0</v>
      </c>
      <c r="N11" s="568">
        <f>'Future Type Share'!Q13*'Future EndUse Share'!N74</f>
        <v>0</v>
      </c>
      <c r="O11" s="568">
        <f t="shared" si="2"/>
        <v>0</v>
      </c>
      <c r="P11" s="567">
        <v>0</v>
      </c>
      <c r="Q11" s="567">
        <v>0</v>
      </c>
      <c r="U11" s="64">
        <v>2012</v>
      </c>
      <c r="V11" s="64">
        <v>0</v>
      </c>
      <c r="W11" s="64">
        <v>0</v>
      </c>
      <c r="X11" s="64">
        <v>0</v>
      </c>
      <c r="Y11" s="64">
        <v>0</v>
      </c>
      <c r="Z11" s="64">
        <v>0</v>
      </c>
      <c r="AA11" s="64">
        <v>0</v>
      </c>
      <c r="AE11" s="64">
        <v>2012</v>
      </c>
      <c r="AF11" s="559">
        <f>'Future Type Share'!U13*('Future EndUse Share'!Z74+'Future EndUse Share'!AB74+'Future EndUse Share'!AC74+'Future EndUse Share'!AD74)</f>
        <v>9199.0513152550466</v>
      </c>
      <c r="AG11" s="559">
        <f>'Future Type Share'!S13*0.5*('Future EndUse Share'!O74+'Future EndUse Share'!Q74+'Future EndUse Share'!R74+'Future EndUse Share'!S74)</f>
        <v>0</v>
      </c>
      <c r="AH11" s="559">
        <f>'Future Type Share'!Q13*('Future EndUse Share'!O74+'Future EndUse Share'!Q74+'Future EndUse Share'!R74+'Future EndUse Share'!S74)</f>
        <v>8235.8621926105388</v>
      </c>
      <c r="AI11" s="559">
        <f t="shared" si="3"/>
        <v>0</v>
      </c>
      <c r="AJ11" s="64">
        <v>0</v>
      </c>
      <c r="AK11" s="64">
        <v>0</v>
      </c>
      <c r="AO11" s="64">
        <v>2012</v>
      </c>
      <c r="AP11" s="559">
        <f>'Future Type Share'!U13*('Future EndUse Share'!AE74)</f>
        <v>1804.4461928085057</v>
      </c>
      <c r="AQ11" s="559">
        <f>'Future Type Share'!S13*0.5*('Future EndUse Share'!T74)</f>
        <v>0</v>
      </c>
      <c r="AR11" s="559">
        <f>'Future Type Share'!Q13*'Future EndUse Share'!T74</f>
        <v>25.017807389460931</v>
      </c>
      <c r="AS11" s="559">
        <f t="shared" si="4"/>
        <v>0</v>
      </c>
      <c r="AT11" s="64">
        <v>0</v>
      </c>
      <c r="AU11" s="64">
        <v>0</v>
      </c>
    </row>
    <row r="12" spans="1:47">
      <c r="A12" s="64">
        <v>2013</v>
      </c>
      <c r="B12" s="559">
        <f>'Future Type Share'!U14*'Future EndUse Share'!AA75</f>
        <v>1602.3646453356264</v>
      </c>
      <c r="C12" s="64">
        <f>'Future Type Share'!Q14*0.5*'Future EndUse Share'!P75</f>
        <v>0</v>
      </c>
      <c r="D12" s="64">
        <f>'Future Type Share'!Q14*'Future EndUse Share'!P75</f>
        <v>0</v>
      </c>
      <c r="E12" s="559">
        <f t="shared" si="0"/>
        <v>0</v>
      </c>
      <c r="F12" s="64">
        <v>0</v>
      </c>
      <c r="G12" s="64">
        <v>0</v>
      </c>
      <c r="K12" s="567">
        <v>2013</v>
      </c>
      <c r="L12" s="559">
        <f>'Future Type Share'!U14*'Future EndUse Share'!Y75</f>
        <v>4996.6326500030718</v>
      </c>
      <c r="M12" s="568">
        <f>'Future Type Share'!S14*0.5*'Future EndUse Share'!N75</f>
        <v>0</v>
      </c>
      <c r="N12" s="568">
        <f>'Future Type Share'!Q14*'Future EndUse Share'!N75</f>
        <v>0</v>
      </c>
      <c r="O12" s="568">
        <f t="shared" si="2"/>
        <v>0</v>
      </c>
      <c r="P12" s="567">
        <v>0</v>
      </c>
      <c r="Q12" s="567">
        <v>0</v>
      </c>
      <c r="U12" s="64">
        <v>2013</v>
      </c>
      <c r="V12" s="64">
        <v>0</v>
      </c>
      <c r="W12" s="64">
        <v>0</v>
      </c>
      <c r="X12" s="64">
        <v>0</v>
      </c>
      <c r="Y12" s="64">
        <v>0</v>
      </c>
      <c r="Z12" s="64">
        <v>0</v>
      </c>
      <c r="AA12" s="64">
        <v>0</v>
      </c>
      <c r="AE12" s="64">
        <v>2013</v>
      </c>
      <c r="AF12" s="559">
        <f>'Future Type Share'!U14*('Future EndUse Share'!Z75+'Future EndUse Share'!AB75+'Future EndUse Share'!AC75+'Future EndUse Share'!AD75)</f>
        <v>9236.1997469753751</v>
      </c>
      <c r="AG12" s="559">
        <f>'Future Type Share'!S14*0.5*('Future EndUse Share'!O75+'Future EndUse Share'!Q75+'Future EndUse Share'!R75+'Future EndUse Share'!S75)</f>
        <v>0</v>
      </c>
      <c r="AH12" s="559">
        <f>'Future Type Share'!Q14*('Future EndUse Share'!O75+'Future EndUse Share'!Q75+'Future EndUse Share'!R75+'Future EndUse Share'!S75)</f>
        <v>8322.1825691255999</v>
      </c>
      <c r="AI12" s="559">
        <f t="shared" si="3"/>
        <v>0</v>
      </c>
      <c r="AJ12" s="64">
        <v>0</v>
      </c>
      <c r="AK12" s="64">
        <v>0</v>
      </c>
      <c r="AO12" s="64">
        <v>2013</v>
      </c>
      <c r="AP12" s="559">
        <f>'Future Type Share'!U14*('Future EndUse Share'!AE75)</f>
        <v>1900.8336547319293</v>
      </c>
      <c r="AQ12" s="559">
        <f>'Future Type Share'!S14*0.5*('Future EndUse Share'!T75)</f>
        <v>0</v>
      </c>
      <c r="AR12" s="559">
        <f>'Future Type Share'!Q14*'Future EndUse Share'!T75</f>
        <v>25.5490664217937</v>
      </c>
      <c r="AS12" s="559">
        <f t="shared" si="4"/>
        <v>0</v>
      </c>
      <c r="AT12" s="64">
        <v>0</v>
      </c>
      <c r="AU12" s="64">
        <v>0</v>
      </c>
    </row>
    <row r="13" spans="1:47">
      <c r="A13" s="64">
        <v>2014</v>
      </c>
      <c r="B13" s="559">
        <f>'Future Type Share'!U15*'Future EndUse Share'!AA76</f>
        <v>1584.3994533029611</v>
      </c>
      <c r="C13" s="64">
        <f>'Future Type Share'!Q15*0.5*'Future EndUse Share'!P76</f>
        <v>0</v>
      </c>
      <c r="D13" s="64">
        <f>'Future Type Share'!Q15*'Future EndUse Share'!P76</f>
        <v>0</v>
      </c>
      <c r="E13" s="559">
        <f t="shared" si="0"/>
        <v>0</v>
      </c>
      <c r="F13" s="64">
        <v>0</v>
      </c>
      <c r="G13" s="64">
        <v>0</v>
      </c>
      <c r="K13" s="567">
        <v>2014</v>
      </c>
      <c r="L13" s="559">
        <f>'Future Type Share'!U15*'Future EndUse Share'!Y76</f>
        <v>6380.1833257403187</v>
      </c>
      <c r="M13" s="568">
        <f>'Future Type Share'!S15*0.5*'Future EndUse Share'!N76</f>
        <v>0</v>
      </c>
      <c r="N13" s="568">
        <f>'Future Type Share'!Q15*'Future EndUse Share'!N76</f>
        <v>0</v>
      </c>
      <c r="O13" s="568">
        <f t="shared" si="2"/>
        <v>0</v>
      </c>
      <c r="P13" s="567">
        <v>0</v>
      </c>
      <c r="Q13" s="567">
        <v>0</v>
      </c>
      <c r="U13" s="64">
        <v>2014</v>
      </c>
      <c r="V13" s="64">
        <v>0</v>
      </c>
      <c r="W13" s="64">
        <v>0</v>
      </c>
      <c r="X13" s="64">
        <v>0</v>
      </c>
      <c r="Y13" s="64">
        <v>0</v>
      </c>
      <c r="Z13" s="64">
        <v>0</v>
      </c>
      <c r="AA13" s="64">
        <v>0</v>
      </c>
      <c r="AE13" s="64">
        <v>2014</v>
      </c>
      <c r="AF13" s="559">
        <f>'Future Type Share'!U15*('Future EndUse Share'!Z76+'Future EndUse Share'!AB76+'Future EndUse Share'!AC76+'Future EndUse Share'!AD76)</f>
        <v>9329.5030523917994</v>
      </c>
      <c r="AG13" s="559">
        <f>'Future Type Share'!S15*0.5*('Future EndUse Share'!O76+'Future EndUse Share'!Q76+'Future EndUse Share'!R76+'Future EndUse Share'!S76)</f>
        <v>0</v>
      </c>
      <c r="AH13" s="559">
        <f>'Future Type Share'!Q15*('Future EndUse Share'!O76+'Future EndUse Share'!Q76+'Future EndUse Share'!R76+'Future EndUse Share'!S76)</f>
        <v>8193.3617575264452</v>
      </c>
      <c r="AI13" s="559">
        <f t="shared" si="3"/>
        <v>0</v>
      </c>
      <c r="AJ13" s="64">
        <v>0</v>
      </c>
      <c r="AK13" s="64">
        <v>0</v>
      </c>
      <c r="AO13" s="64">
        <v>2014</v>
      </c>
      <c r="AP13" s="559">
        <f>'Future Type Share'!U15*('Future EndUse Share'!AE76)</f>
        <v>1880.31416856492</v>
      </c>
      <c r="AQ13" s="559">
        <f>'Future Type Share'!S15*0.5*('Future EndUse Share'!T76)</f>
        <v>0</v>
      </c>
      <c r="AR13" s="559">
        <f>'Future Type Share'!Q15*'Future EndUse Share'!T76</f>
        <v>25.074043938161108</v>
      </c>
      <c r="AS13" s="559">
        <f t="shared" si="4"/>
        <v>0</v>
      </c>
      <c r="AT13" s="64">
        <v>0</v>
      </c>
      <c r="AU13" s="64">
        <v>0</v>
      </c>
    </row>
    <row r="14" spans="1:47">
      <c r="A14" s="64">
        <v>2015</v>
      </c>
      <c r="B14" s="559">
        <f>'Future Type Share'!U16*'Future EndUse Share'!AA77</f>
        <v>1538.6702685421994</v>
      </c>
      <c r="C14" s="64">
        <f>'Future Type Share'!Q16*0.5*'Future EndUse Share'!P77</f>
        <v>0</v>
      </c>
      <c r="D14" s="64">
        <f>'Future Type Share'!Q16*'Future EndUse Share'!P77</f>
        <v>0</v>
      </c>
      <c r="E14" s="559">
        <f t="shared" si="0"/>
        <v>0</v>
      </c>
      <c r="F14" s="64">
        <v>0</v>
      </c>
      <c r="G14" s="64">
        <v>0</v>
      </c>
      <c r="K14" s="567">
        <v>2015</v>
      </c>
      <c r="L14" s="559">
        <f>'Future Type Share'!U16*'Future EndUse Share'!Y77</f>
        <v>6237.44040920716</v>
      </c>
      <c r="M14" s="568">
        <f>'Future Type Share'!S16*0.5*'Future EndUse Share'!N77</f>
        <v>0</v>
      </c>
      <c r="N14" s="568">
        <f>'Future Type Share'!Q16*'Future EndUse Share'!N77</f>
        <v>0</v>
      </c>
      <c r="O14" s="568">
        <f t="shared" si="2"/>
        <v>0</v>
      </c>
      <c r="P14" s="567">
        <v>0</v>
      </c>
      <c r="Q14" s="567">
        <v>0</v>
      </c>
      <c r="U14" s="64">
        <v>2015</v>
      </c>
      <c r="V14" s="64">
        <v>0</v>
      </c>
      <c r="W14" s="64">
        <v>0</v>
      </c>
      <c r="X14" s="64">
        <v>0</v>
      </c>
      <c r="Y14" s="64">
        <v>0</v>
      </c>
      <c r="Z14" s="64">
        <v>0</v>
      </c>
      <c r="AA14" s="64">
        <v>0</v>
      </c>
      <c r="AE14" s="64">
        <v>2015</v>
      </c>
      <c r="AF14" s="559">
        <f>'Future Type Share'!U16*('Future EndUse Share'!Z77+'Future EndUse Share'!AB77+'Future EndUse Share'!AC77+'Future EndUse Share'!AD77)</f>
        <v>9134.0171355498715</v>
      </c>
      <c r="AG14" s="559">
        <f>'Future Type Share'!S16*0.5*('Future EndUse Share'!O77+'Future EndUse Share'!Q77+'Future EndUse Share'!R77+'Future EndUse Share'!S77)</f>
        <v>0</v>
      </c>
      <c r="AH14" s="559">
        <f>'Future Type Share'!Q16*('Future EndUse Share'!O77+'Future EndUse Share'!Q77+'Future EndUse Share'!R77+'Future EndUse Share'!S77)</f>
        <v>8005.3819332566172</v>
      </c>
      <c r="AI14" s="559">
        <f t="shared" si="3"/>
        <v>0</v>
      </c>
      <c r="AJ14" s="64">
        <v>0</v>
      </c>
      <c r="AK14" s="64">
        <v>0</v>
      </c>
      <c r="AO14" s="64">
        <v>2015</v>
      </c>
      <c r="AP14" s="559">
        <f>'Future Type Share'!U16*('Future EndUse Share'!AE77)</f>
        <v>1825.0611253196928</v>
      </c>
      <c r="AQ14" s="559">
        <f>'Future Type Share'!S16*0.5*('Future EndUse Share'!T77)</f>
        <v>0</v>
      </c>
      <c r="AR14" s="559">
        <f>'Future Type Share'!Q16*'Future EndUse Share'!T77</f>
        <v>23.518066743383198</v>
      </c>
      <c r="AS14" s="559">
        <f t="shared" si="4"/>
        <v>0</v>
      </c>
      <c r="AT14" s="64">
        <v>0</v>
      </c>
      <c r="AU14" s="64">
        <v>0</v>
      </c>
    </row>
    <row r="15" spans="1:47">
      <c r="A15" s="64">
        <v>2016</v>
      </c>
      <c r="B15" s="559">
        <f>'Future Type Share'!U17*'Future EndUse Share'!AA78</f>
        <v>1589.6043490800023</v>
      </c>
      <c r="C15" s="64">
        <f>'Future Type Share'!Q17*0.5*'Future EndUse Share'!P78</f>
        <v>0</v>
      </c>
      <c r="D15" s="64">
        <f>'Future Type Share'!Q17*'Future EndUse Share'!P78</f>
        <v>0</v>
      </c>
      <c r="E15" s="559">
        <f t="shared" si="0"/>
        <v>0</v>
      </c>
      <c r="F15" s="64">
        <v>0</v>
      </c>
      <c r="G15" s="64">
        <v>0</v>
      </c>
      <c r="K15" s="567">
        <v>2016</v>
      </c>
      <c r="L15" s="559">
        <f>'Future Type Share'!U17*'Future EndUse Share'!Y78</f>
        <v>6157.257011016899</v>
      </c>
      <c r="M15" s="568">
        <f>'Future Type Share'!S17*0.5*'Future EndUse Share'!N78</f>
        <v>0</v>
      </c>
      <c r="N15" s="568">
        <f>'Future Type Share'!Q17*'Future EndUse Share'!N78</f>
        <v>0</v>
      </c>
      <c r="O15" s="568">
        <f t="shared" si="2"/>
        <v>0</v>
      </c>
      <c r="P15" s="567">
        <v>0</v>
      </c>
      <c r="Q15" s="567">
        <v>0</v>
      </c>
      <c r="U15" s="64">
        <v>2016</v>
      </c>
      <c r="V15" s="64">
        <v>0</v>
      </c>
      <c r="W15" s="64">
        <v>0</v>
      </c>
      <c r="X15" s="64">
        <v>0</v>
      </c>
      <c r="Y15" s="64">
        <v>0</v>
      </c>
      <c r="Z15" s="64">
        <v>0</v>
      </c>
      <c r="AA15" s="64">
        <v>0</v>
      </c>
      <c r="AE15" s="64">
        <v>2016</v>
      </c>
      <c r="AF15" s="559">
        <f>'Future Type Share'!U17*('Future EndUse Share'!Z78+'Future EndUse Share'!AB78+'Future EndUse Share'!AC78+'Future EndUse Share'!AD78)</f>
        <v>9323.3465536136573</v>
      </c>
      <c r="AG15" s="559">
        <f>'Future Type Share'!S17*0.5*('Future EndUse Share'!O78+'Future EndUse Share'!Q78+'Future EndUse Share'!R78+'Future EndUse Share'!S78)</f>
        <v>0</v>
      </c>
      <c r="AH15" s="559">
        <f>'Future Type Share'!Q17*('Future EndUse Share'!O78+'Future EndUse Share'!Q78+'Future EndUse Share'!R78+'Future EndUse Share'!S78)</f>
        <v>8098.9141786447635</v>
      </c>
      <c r="AI15" s="559">
        <f t="shared" si="3"/>
        <v>0</v>
      </c>
      <c r="AJ15" s="64">
        <v>0</v>
      </c>
      <c r="AK15" s="64">
        <v>0</v>
      </c>
      <c r="AO15" s="64">
        <v>2016</v>
      </c>
      <c r="AP15" s="559">
        <f>'Future Type Share'!U17*('Future EndUse Share'!AE78)</f>
        <v>1882.5988233258347</v>
      </c>
      <c r="AQ15" s="559">
        <f>'Future Type Share'!S17*0.5*('Future EndUse Share'!T78)</f>
        <v>0</v>
      </c>
      <c r="AR15" s="559">
        <f>'Future Type Share'!Q17*'Future EndUse Share'!T78</f>
        <v>25.019815195071867</v>
      </c>
      <c r="AS15" s="559">
        <f t="shared" si="4"/>
        <v>0</v>
      </c>
      <c r="AT15" s="64">
        <v>0</v>
      </c>
      <c r="AU15" s="64">
        <v>0</v>
      </c>
    </row>
    <row r="16" spans="1:47">
      <c r="A16" s="103">
        <v>2017</v>
      </c>
      <c r="B16" s="62">
        <f>'Future Type Share'!U18*'Future EndUse Share'!AA79</f>
        <v>1484.050250052207</v>
      </c>
      <c r="C16" s="62">
        <f>'Future Type Share'!Q18*0.5*'Future EndUse Share'!P79</f>
        <v>0</v>
      </c>
      <c r="D16" s="62">
        <f>'Future Type Share'!Q18*'Future EndUse Share'!P79</f>
        <v>0</v>
      </c>
      <c r="E16" s="62">
        <f t="shared" ref="E16:E49" si="5">C16</f>
        <v>0</v>
      </c>
      <c r="F16" s="103">
        <f>F15</f>
        <v>0</v>
      </c>
      <c r="G16" s="103">
        <f>G15</f>
        <v>0</v>
      </c>
      <c r="K16" s="103">
        <v>2017</v>
      </c>
      <c r="L16" s="62">
        <f>'Future Type Share'!U18*'Future EndUse Share'!Y79</f>
        <v>5869.6856100071072</v>
      </c>
      <c r="M16" s="62">
        <f>'Future Type Share'!S18*0.5*'Future EndUse Share'!N79</f>
        <v>0</v>
      </c>
      <c r="N16" s="62">
        <f>'Future Type Share'!Q18*'Future EndUse Share'!N79</f>
        <v>0</v>
      </c>
      <c r="O16" s="62">
        <f>O15</f>
        <v>0</v>
      </c>
      <c r="P16" s="62">
        <f>P15</f>
        <v>0</v>
      </c>
      <c r="Q16" s="62">
        <f>Q15</f>
        <v>0</v>
      </c>
      <c r="U16" s="103">
        <v>2017</v>
      </c>
      <c r="V16" s="62">
        <f t="shared" ref="V16:Z31" si="6">V15</f>
        <v>0</v>
      </c>
      <c r="W16" s="62">
        <f>W15</f>
        <v>0</v>
      </c>
      <c r="X16" s="62">
        <f>X15</f>
        <v>0</v>
      </c>
      <c r="Y16" s="62">
        <f>Y15</f>
        <v>0</v>
      </c>
      <c r="Z16" s="62">
        <f>Z15</f>
        <v>0</v>
      </c>
      <c r="AA16" s="62">
        <f t="shared" ref="AA16:AA49" si="7">AA15</f>
        <v>0</v>
      </c>
      <c r="AE16" s="103">
        <v>2017</v>
      </c>
      <c r="AF16" s="62">
        <f>'Future Type Share'!U18*('Future EndUse Share'!Z79+'Future EndUse Share'!AB79+'Future EndUse Share'!AC79+'Future EndUse Share'!AD79)</f>
        <v>10194.174384732241</v>
      </c>
      <c r="AG16" s="62">
        <f>'Future Type Share'!S18*0.5*('Future EndUse Share'!O79+'Future EndUse Share'!Q79+'Future EndUse Share'!R79+'Future EndUse Share'!S79)</f>
        <v>0</v>
      </c>
      <c r="AH16" s="62">
        <f>'Future Type Share'!Q18*('Future EndUse Share'!O79+'Future EndUse Share'!Q79+'Future EndUse Share'!R79+'Future EndUse Share'!S79)</f>
        <v>8100.6132761104764</v>
      </c>
      <c r="AI16" s="103">
        <f t="shared" si="3"/>
        <v>0</v>
      </c>
      <c r="AJ16" s="103">
        <f>AJ15</f>
        <v>0</v>
      </c>
      <c r="AK16" s="103">
        <f>AK15</f>
        <v>0</v>
      </c>
      <c r="AO16" s="103">
        <v>2017</v>
      </c>
      <c r="AP16" s="62">
        <f>'Future Type Share'!U18*('Future EndUse Share'!AE79)</f>
        <v>1963.5352890382396</v>
      </c>
      <c r="AQ16" s="62">
        <f>'Future Type Share'!S18*0.5*('Future EndUse Share'!T79)</f>
        <v>0</v>
      </c>
      <c r="AR16" s="62">
        <f>'Future Type Share'!Q18*'Future EndUse Share'!T79</f>
        <v>24.549594917780176</v>
      </c>
      <c r="AS16" s="103">
        <f t="shared" si="4"/>
        <v>0</v>
      </c>
      <c r="AT16" s="103">
        <f>AT15</f>
        <v>0</v>
      </c>
      <c r="AU16" s="103">
        <f>AU15</f>
        <v>0</v>
      </c>
    </row>
    <row r="17" spans="1:47">
      <c r="A17" s="103">
        <v>2018</v>
      </c>
      <c r="B17" s="62">
        <f>'Future Type Share'!U19*'Future EndUse Share'!AA80</f>
        <v>1500.047202544873</v>
      </c>
      <c r="C17" s="62">
        <f>'Future Type Share'!Q19*0.5*'Future EndUse Share'!P80</f>
        <v>0</v>
      </c>
      <c r="D17" s="62">
        <f>'Future Type Share'!Q19*'Future EndUse Share'!P80</f>
        <v>0</v>
      </c>
      <c r="E17" s="62">
        <f t="shared" si="5"/>
        <v>0</v>
      </c>
      <c r="F17" s="103">
        <f t="shared" ref="F17:G32" si="8">F16</f>
        <v>0</v>
      </c>
      <c r="G17" s="103">
        <f t="shared" si="8"/>
        <v>0</v>
      </c>
      <c r="K17" s="103">
        <v>2018</v>
      </c>
      <c r="L17" s="62">
        <f>'Future Type Share'!U19*'Future EndUse Share'!Y80</f>
        <v>6083.8259711194896</v>
      </c>
      <c r="M17" s="62">
        <f>'Future Type Share'!S19*0.5*'Future EndUse Share'!N80</f>
        <v>0</v>
      </c>
      <c r="N17" s="62">
        <f>'Future Type Share'!Q19*'Future EndUse Share'!N80</f>
        <v>0</v>
      </c>
      <c r="O17" s="62">
        <f t="shared" ref="O17:Q32" si="9">O16</f>
        <v>0</v>
      </c>
      <c r="P17" s="62">
        <f t="shared" si="9"/>
        <v>0</v>
      </c>
      <c r="Q17" s="62">
        <f t="shared" si="9"/>
        <v>0</v>
      </c>
      <c r="U17" s="103">
        <v>2018</v>
      </c>
      <c r="V17" s="62">
        <f t="shared" si="6"/>
        <v>0</v>
      </c>
      <c r="W17" s="62">
        <f t="shared" si="6"/>
        <v>0</v>
      </c>
      <c r="X17" s="62">
        <f t="shared" si="6"/>
        <v>0</v>
      </c>
      <c r="Y17" s="62">
        <f t="shared" si="6"/>
        <v>0</v>
      </c>
      <c r="Z17" s="62">
        <f t="shared" si="6"/>
        <v>0</v>
      </c>
      <c r="AA17" s="62">
        <f t="shared" si="7"/>
        <v>0</v>
      </c>
      <c r="AE17" s="103">
        <v>2018</v>
      </c>
      <c r="AF17" s="62">
        <f>'Future Type Share'!U19*('Future EndUse Share'!Z80+'Future EndUse Share'!AB80+'Future EndUse Share'!AC80+'Future EndUse Share'!AD80)</f>
        <v>10258.996554482088</v>
      </c>
      <c r="AG17" s="62">
        <f>'Future Type Share'!S19*0.5*('Future EndUse Share'!O80+'Future EndUse Share'!Q80+'Future EndUse Share'!R80+'Future EndUse Share'!S80)</f>
        <v>0</v>
      </c>
      <c r="AH17" s="62">
        <f>'Future Type Share'!Q19*('Future EndUse Share'!O80+'Future EndUse Share'!Q80+'Future EndUse Share'!R80+'Future EndUse Share'!S80)</f>
        <v>8071.4908221135775</v>
      </c>
      <c r="AI17" s="103">
        <f t="shared" si="3"/>
        <v>0</v>
      </c>
      <c r="AJ17" s="103">
        <f t="shared" ref="AJ17:AK32" si="10">AJ16</f>
        <v>0</v>
      </c>
      <c r="AK17" s="103">
        <f t="shared" si="10"/>
        <v>0</v>
      </c>
      <c r="AO17" s="103">
        <v>2018</v>
      </c>
      <c r="AP17" s="62">
        <f>'Future Type Share'!U19*('Future EndUse Share'!AE80)</f>
        <v>1995.7116488098202</v>
      </c>
      <c r="AQ17" s="62">
        <f>'Future Type Share'!S19*0.5*('Future EndUse Share'!T80)</f>
        <v>0</v>
      </c>
      <c r="AR17" s="62">
        <f>'Future Type Share'!Q19*'Future EndUse Share'!T80</f>
        <v>24.438188349354657</v>
      </c>
      <c r="AS17" s="103">
        <f t="shared" si="4"/>
        <v>0</v>
      </c>
      <c r="AT17" s="103">
        <f t="shared" ref="AT17:AU32" si="11">AT16</f>
        <v>0</v>
      </c>
      <c r="AU17" s="103">
        <f t="shared" si="11"/>
        <v>0</v>
      </c>
    </row>
    <row r="18" spans="1:47">
      <c r="A18" s="103">
        <v>2019</v>
      </c>
      <c r="B18" s="62">
        <f>'Future Type Share'!U20*'Future EndUse Share'!AA81</f>
        <v>1514.1943614058289</v>
      </c>
      <c r="C18" s="62">
        <f>'Future Type Share'!Q20*0.5*'Future EndUse Share'!P81</f>
        <v>0</v>
      </c>
      <c r="D18" s="62">
        <f>'Future Type Share'!Q20*'Future EndUse Share'!P81</f>
        <v>0</v>
      </c>
      <c r="E18" s="62">
        <f t="shared" si="5"/>
        <v>0</v>
      </c>
      <c r="F18" s="103">
        <f t="shared" si="8"/>
        <v>0</v>
      </c>
      <c r="G18" s="103">
        <f t="shared" si="8"/>
        <v>0</v>
      </c>
      <c r="K18" s="103">
        <v>2019</v>
      </c>
      <c r="L18" s="62">
        <f>'Future Type Share'!U20*'Future EndUse Share'!Y81</f>
        <v>6293.4958099755404</v>
      </c>
      <c r="M18" s="62">
        <f>'Future Type Share'!S20*0.5*'Future EndUse Share'!N81</f>
        <v>0</v>
      </c>
      <c r="N18" s="62">
        <f>'Future Type Share'!Q20*'Future EndUse Share'!N81</f>
        <v>0</v>
      </c>
      <c r="O18" s="62">
        <f t="shared" si="9"/>
        <v>0</v>
      </c>
      <c r="P18" s="62">
        <f t="shared" si="9"/>
        <v>0</v>
      </c>
      <c r="Q18" s="62">
        <f t="shared" si="9"/>
        <v>0</v>
      </c>
      <c r="U18" s="103">
        <v>2019</v>
      </c>
      <c r="V18" s="62">
        <f t="shared" si="6"/>
        <v>0</v>
      </c>
      <c r="W18" s="62">
        <f t="shared" si="6"/>
        <v>0</v>
      </c>
      <c r="X18" s="62">
        <f t="shared" si="6"/>
        <v>0</v>
      </c>
      <c r="Y18" s="62">
        <f t="shared" si="6"/>
        <v>0</v>
      </c>
      <c r="Z18" s="62">
        <f t="shared" si="6"/>
        <v>0</v>
      </c>
      <c r="AA18" s="62">
        <f t="shared" si="7"/>
        <v>0</v>
      </c>
      <c r="AE18" s="103">
        <v>2019</v>
      </c>
      <c r="AF18" s="62">
        <f>'Future Type Share'!U20*('Future EndUse Share'!Z81+'Future EndUse Share'!AB81+'Future EndUse Share'!AC81+'Future EndUse Share'!AD81)</f>
        <v>10310.262874475391</v>
      </c>
      <c r="AG18" s="62">
        <f>'Future Type Share'!S20*0.5*('Future EndUse Share'!O81+'Future EndUse Share'!Q81+'Future EndUse Share'!R81+'Future EndUse Share'!S81)</f>
        <v>0</v>
      </c>
      <c r="AH18" s="62">
        <f>'Future Type Share'!Q20*('Future EndUse Share'!O81+'Future EndUse Share'!Q81+'Future EndUse Share'!R81+'Future EndUse Share'!S81)</f>
        <v>8030.074347273935</v>
      </c>
      <c r="AI18" s="103">
        <f t="shared" si="3"/>
        <v>0</v>
      </c>
      <c r="AJ18" s="103">
        <f t="shared" si="10"/>
        <v>0</v>
      </c>
      <c r="AK18" s="103">
        <f t="shared" si="10"/>
        <v>0</v>
      </c>
      <c r="AO18" s="103">
        <v>2019</v>
      </c>
      <c r="AP18" s="62">
        <f>'Future Type Share'!U20*('Future EndUse Share'!AE81)</f>
        <v>2025.6475798471108</v>
      </c>
      <c r="AQ18" s="62">
        <f>'Future Type Share'!S20*0.5*('Future EndUse Share'!T81)</f>
        <v>0</v>
      </c>
      <c r="AR18" s="62">
        <f>'Future Type Share'!Q20*'Future EndUse Share'!T81</f>
        <v>24.289761400202195</v>
      </c>
      <c r="AS18" s="103">
        <f t="shared" si="4"/>
        <v>0</v>
      </c>
      <c r="AT18" s="103">
        <f t="shared" si="11"/>
        <v>0</v>
      </c>
      <c r="AU18" s="103">
        <f t="shared" si="11"/>
        <v>0</v>
      </c>
    </row>
    <row r="19" spans="1:47">
      <c r="A19" s="103">
        <v>2020</v>
      </c>
      <c r="B19" s="62">
        <f>'Future Type Share'!U21*'Future EndUse Share'!AA82</f>
        <v>1528.8228375950878</v>
      </c>
      <c r="C19" s="62">
        <f>'Future Type Share'!Q21*0.5*'Future EndUse Share'!P82</f>
        <v>0</v>
      </c>
      <c r="D19" s="62">
        <f>'Future Type Share'!Q21*'Future EndUse Share'!P82</f>
        <v>0</v>
      </c>
      <c r="E19" s="62">
        <f t="shared" si="5"/>
        <v>0</v>
      </c>
      <c r="F19" s="103">
        <f t="shared" si="8"/>
        <v>0</v>
      </c>
      <c r="G19" s="103">
        <f t="shared" si="8"/>
        <v>0</v>
      </c>
      <c r="K19" s="103">
        <v>2020</v>
      </c>
      <c r="L19" s="62">
        <f>'Future Type Share'!U21*'Future EndUse Share'!Y82</f>
        <v>6508.0603172919709</v>
      </c>
      <c r="M19" s="62">
        <f>'Future Type Share'!S21*0.5*'Future EndUse Share'!N82</f>
        <v>0</v>
      </c>
      <c r="N19" s="62">
        <f>'Future Type Share'!Q21*'Future EndUse Share'!N82</f>
        <v>0</v>
      </c>
      <c r="O19" s="62">
        <f t="shared" si="9"/>
        <v>0</v>
      </c>
      <c r="P19" s="62">
        <f t="shared" si="9"/>
        <v>0</v>
      </c>
      <c r="Q19" s="62">
        <f t="shared" si="9"/>
        <v>0</v>
      </c>
      <c r="U19" s="103">
        <v>2020</v>
      </c>
      <c r="V19" s="62">
        <f t="shared" si="6"/>
        <v>0</v>
      </c>
      <c r="W19" s="62">
        <f t="shared" si="6"/>
        <v>0</v>
      </c>
      <c r="X19" s="62">
        <f t="shared" si="6"/>
        <v>0</v>
      </c>
      <c r="Y19" s="62">
        <f t="shared" si="6"/>
        <v>0</v>
      </c>
      <c r="Z19" s="62">
        <f t="shared" si="6"/>
        <v>0</v>
      </c>
      <c r="AA19" s="62">
        <f t="shared" si="7"/>
        <v>0</v>
      </c>
      <c r="AE19" s="103">
        <v>2020</v>
      </c>
      <c r="AF19" s="62">
        <f>'Future Type Share'!U21*('Future EndUse Share'!Z82+'Future EndUse Share'!AB82+'Future EndUse Share'!AC82+'Future EndUse Share'!AD82)</f>
        <v>10363.942753477191</v>
      </c>
      <c r="AG19" s="62">
        <f>'Future Type Share'!S21*0.5*('Future EndUse Share'!O82+'Future EndUse Share'!Q82+'Future EndUse Share'!R82+'Future EndUse Share'!S82)</f>
        <v>0</v>
      </c>
      <c r="AH19" s="62">
        <f>'Future Type Share'!Q21*('Future EndUse Share'!O82+'Future EndUse Share'!Q82+'Future EndUse Share'!R82+'Future EndUse Share'!S82)</f>
        <v>7988.9759968271228</v>
      </c>
      <c r="AI19" s="103">
        <f t="shared" si="3"/>
        <v>0</v>
      </c>
      <c r="AJ19" s="103">
        <f t="shared" si="10"/>
        <v>0</v>
      </c>
      <c r="AK19" s="103">
        <f t="shared" si="10"/>
        <v>0</v>
      </c>
      <c r="AO19" s="103">
        <v>2020</v>
      </c>
      <c r="AP19" s="62">
        <f>'Future Type Share'!U21*('Future EndUse Share'!AE82)</f>
        <v>2056.4379365173213</v>
      </c>
      <c r="AQ19" s="62">
        <f>'Future Type Share'!S21*0.5*('Future EndUse Share'!T82)</f>
        <v>0</v>
      </c>
      <c r="AR19" s="62">
        <f>'Future Type Share'!Q21*'Future EndUse Share'!T82</f>
        <v>24.142533506014107</v>
      </c>
      <c r="AS19" s="103">
        <f t="shared" si="4"/>
        <v>0</v>
      </c>
      <c r="AT19" s="103">
        <f t="shared" si="11"/>
        <v>0</v>
      </c>
      <c r="AU19" s="103">
        <f t="shared" si="11"/>
        <v>0</v>
      </c>
    </row>
    <row r="20" spans="1:47">
      <c r="A20" s="103">
        <v>2021</v>
      </c>
      <c r="B20" s="62">
        <f>'Future Type Share'!U22*'Future EndUse Share'!AA83</f>
        <v>1542.089311871347</v>
      </c>
      <c r="C20" s="62">
        <f>'Future Type Share'!Q22*0.5*'Future EndUse Share'!P83</f>
        <v>0</v>
      </c>
      <c r="D20" s="62">
        <f>'Future Type Share'!Q22*'Future EndUse Share'!P83</f>
        <v>0</v>
      </c>
      <c r="E20" s="62">
        <f t="shared" si="5"/>
        <v>0</v>
      </c>
      <c r="F20" s="103">
        <f t="shared" si="8"/>
        <v>0</v>
      </c>
      <c r="G20" s="103">
        <f t="shared" si="8"/>
        <v>0</v>
      </c>
      <c r="K20" s="103">
        <v>2021</v>
      </c>
      <c r="L20" s="62">
        <f>'Future Type Share'!U22*'Future EndUse Share'!Y83</f>
        <v>6719.6324830810272</v>
      </c>
      <c r="M20" s="62">
        <f>'Future Type Share'!S22*0.5*'Future EndUse Share'!N83</f>
        <v>0</v>
      </c>
      <c r="N20" s="62">
        <f>'Future Type Share'!Q22*'Future EndUse Share'!N83</f>
        <v>0</v>
      </c>
      <c r="O20" s="62">
        <f t="shared" si="9"/>
        <v>0</v>
      </c>
      <c r="P20" s="62">
        <f t="shared" si="9"/>
        <v>0</v>
      </c>
      <c r="Q20" s="62">
        <f t="shared" si="9"/>
        <v>0</v>
      </c>
      <c r="U20" s="103">
        <v>2021</v>
      </c>
      <c r="V20" s="62">
        <f t="shared" si="6"/>
        <v>0</v>
      </c>
      <c r="W20" s="62">
        <f t="shared" si="6"/>
        <v>0</v>
      </c>
      <c r="X20" s="62">
        <f t="shared" si="6"/>
        <v>0</v>
      </c>
      <c r="Y20" s="62">
        <f t="shared" si="6"/>
        <v>0</v>
      </c>
      <c r="Z20" s="62">
        <f t="shared" si="6"/>
        <v>0</v>
      </c>
      <c r="AA20" s="62">
        <f t="shared" si="7"/>
        <v>0</v>
      </c>
      <c r="AE20" s="103">
        <v>2021</v>
      </c>
      <c r="AF20" s="62">
        <f>'Future Type Share'!U22*('Future EndUse Share'!Z83+'Future EndUse Share'!AB83+'Future EndUse Share'!AC83+'Future EndUse Share'!AD83)</f>
        <v>10407.552282599121</v>
      </c>
      <c r="AG20" s="62">
        <f>'Future Type Share'!S22*0.5*('Future EndUse Share'!O83+'Future EndUse Share'!Q83+'Future EndUse Share'!R83+'Future EndUse Share'!S83)</f>
        <v>0</v>
      </c>
      <c r="AH20" s="62">
        <f>'Future Type Share'!Q22*('Future EndUse Share'!O83+'Future EndUse Share'!Q83+'Future EndUse Share'!R83+'Future EndUse Share'!S83)</f>
        <v>7938.5943532565398</v>
      </c>
      <c r="AI20" s="103">
        <f t="shared" si="3"/>
        <v>0</v>
      </c>
      <c r="AJ20" s="103">
        <f t="shared" si="10"/>
        <v>0</v>
      </c>
      <c r="AK20" s="103">
        <f t="shared" si="10"/>
        <v>0</v>
      </c>
      <c r="AO20" s="103">
        <v>2021</v>
      </c>
      <c r="AP20" s="62">
        <f>'Future Type Share'!U22*('Future EndUse Share'!AE83)</f>
        <v>2085.6002981798451</v>
      </c>
      <c r="AQ20" s="62">
        <f>'Future Type Share'!S22*0.5*('Future EndUse Share'!T83)</f>
        <v>0</v>
      </c>
      <c r="AR20" s="62">
        <f>'Future Type Share'!Q22*'Future EndUse Share'!T83</f>
        <v>23.967514162370758</v>
      </c>
      <c r="AS20" s="103">
        <f t="shared" si="4"/>
        <v>0</v>
      </c>
      <c r="AT20" s="103">
        <f t="shared" si="11"/>
        <v>0</v>
      </c>
      <c r="AU20" s="103">
        <f t="shared" si="11"/>
        <v>0</v>
      </c>
    </row>
    <row r="21" spans="1:47">
      <c r="A21" s="103">
        <v>2022</v>
      </c>
      <c r="B21" s="62">
        <f>'Future Type Share'!U23*'Future EndUse Share'!AA84</f>
        <v>1554.8367900156902</v>
      </c>
      <c r="C21" s="62">
        <f>'Future Type Share'!Q23*0.5*'Future EndUse Share'!P84</f>
        <v>0</v>
      </c>
      <c r="D21" s="62">
        <f>'Future Type Share'!Q23*'Future EndUse Share'!P84</f>
        <v>0</v>
      </c>
      <c r="E21" s="62">
        <f t="shared" si="5"/>
        <v>0</v>
      </c>
      <c r="F21" s="103">
        <f t="shared" si="8"/>
        <v>0</v>
      </c>
      <c r="G21" s="103">
        <f t="shared" si="8"/>
        <v>0</v>
      </c>
      <c r="K21" s="103">
        <v>2022</v>
      </c>
      <c r="L21" s="62">
        <f>'Future Type Share'!U23*'Future EndUse Share'!Y84</f>
        <v>6931.5595235032079</v>
      </c>
      <c r="M21" s="62">
        <f>'Future Type Share'!S23*0.5*'Future EndUse Share'!N84</f>
        <v>0</v>
      </c>
      <c r="N21" s="62">
        <f>'Future Type Share'!Q23*'Future EndUse Share'!N84</f>
        <v>0</v>
      </c>
      <c r="O21" s="62">
        <f t="shared" si="9"/>
        <v>0</v>
      </c>
      <c r="P21" s="62">
        <f t="shared" si="9"/>
        <v>0</v>
      </c>
      <c r="Q21" s="62">
        <f t="shared" si="9"/>
        <v>0</v>
      </c>
      <c r="U21" s="103">
        <v>2022</v>
      </c>
      <c r="V21" s="62">
        <f t="shared" si="6"/>
        <v>0</v>
      </c>
      <c r="W21" s="62">
        <f t="shared" si="6"/>
        <v>0</v>
      </c>
      <c r="X21" s="62">
        <f t="shared" si="6"/>
        <v>0</v>
      </c>
      <c r="Y21" s="62">
        <f t="shared" si="6"/>
        <v>0</v>
      </c>
      <c r="Z21" s="62">
        <f t="shared" si="6"/>
        <v>0</v>
      </c>
      <c r="AA21" s="62">
        <f t="shared" si="7"/>
        <v>0</v>
      </c>
      <c r="AE21" s="103">
        <v>2022</v>
      </c>
      <c r="AF21" s="62">
        <f>'Future Type Share'!U23*('Future EndUse Share'!Z84+'Future EndUse Share'!AB84+'Future EndUse Share'!AC84+'Future EndUse Share'!AD84)</f>
        <v>10446.878340972764</v>
      </c>
      <c r="AG21" s="62">
        <f>'Future Type Share'!S23*0.5*('Future EndUse Share'!O84+'Future EndUse Share'!Q84+'Future EndUse Share'!R84+'Future EndUse Share'!S84)</f>
        <v>0</v>
      </c>
      <c r="AH21" s="62">
        <f>'Future Type Share'!Q23*('Future EndUse Share'!O84+'Future EndUse Share'!Q84+'Future EndUse Share'!R84+'Future EndUse Share'!S84)</f>
        <v>7883.5208896260219</v>
      </c>
      <c r="AI21" s="103">
        <f t="shared" si="3"/>
        <v>0</v>
      </c>
      <c r="AJ21" s="103">
        <f t="shared" si="10"/>
        <v>0</v>
      </c>
      <c r="AK21" s="103">
        <f t="shared" si="10"/>
        <v>0</v>
      </c>
      <c r="AO21" s="103">
        <v>2022</v>
      </c>
      <c r="AP21" s="62">
        <f>'Future Type Share'!U23*('Future EndUse Share'!AE84)</f>
        <v>2114.2509703042715</v>
      </c>
      <c r="AQ21" s="62">
        <f>'Future Type Share'!S23*0.5*('Future EndUse Share'!T84)</f>
        <v>0</v>
      </c>
      <c r="AR21" s="62">
        <f>'Future Type Share'!Q23*'Future EndUse Share'!T84</f>
        <v>23.778632245749602</v>
      </c>
      <c r="AS21" s="103">
        <f t="shared" si="4"/>
        <v>0</v>
      </c>
      <c r="AT21" s="103">
        <f t="shared" si="11"/>
        <v>0</v>
      </c>
      <c r="AU21" s="103">
        <f t="shared" si="11"/>
        <v>0</v>
      </c>
    </row>
    <row r="22" spans="1:47">
      <c r="A22" s="103">
        <v>2023</v>
      </c>
      <c r="B22" s="62">
        <f>'Future Type Share'!U24*'Future EndUse Share'!AA85</f>
        <v>1566.9389343036291</v>
      </c>
      <c r="C22" s="62">
        <f>'Future Type Share'!Q24*0.5*'Future EndUse Share'!P85</f>
        <v>0</v>
      </c>
      <c r="D22" s="62">
        <f>'Future Type Share'!Q24*'Future EndUse Share'!P85</f>
        <v>0</v>
      </c>
      <c r="E22" s="62">
        <f t="shared" si="5"/>
        <v>0</v>
      </c>
      <c r="F22" s="103">
        <f t="shared" si="8"/>
        <v>0</v>
      </c>
      <c r="G22" s="103">
        <f t="shared" si="8"/>
        <v>0</v>
      </c>
      <c r="K22" s="103">
        <v>2023</v>
      </c>
      <c r="L22" s="62">
        <f>'Future Type Share'!U24*'Future EndUse Share'!Y85</f>
        <v>7143.1089139976166</v>
      </c>
      <c r="M22" s="62">
        <f>'Future Type Share'!S24*0.5*'Future EndUse Share'!N85</f>
        <v>0</v>
      </c>
      <c r="N22" s="62">
        <f>'Future Type Share'!Q24*'Future EndUse Share'!N85</f>
        <v>0</v>
      </c>
      <c r="O22" s="62">
        <f t="shared" si="9"/>
        <v>0</v>
      </c>
      <c r="P22" s="62">
        <f t="shared" si="9"/>
        <v>0</v>
      </c>
      <c r="Q22" s="62">
        <f t="shared" si="9"/>
        <v>0</v>
      </c>
      <c r="U22" s="103">
        <v>2023</v>
      </c>
      <c r="V22" s="62">
        <f t="shared" si="6"/>
        <v>0</v>
      </c>
      <c r="W22" s="62">
        <f t="shared" si="6"/>
        <v>0</v>
      </c>
      <c r="X22" s="62">
        <f t="shared" si="6"/>
        <v>0</v>
      </c>
      <c r="Y22" s="62">
        <f t="shared" si="6"/>
        <v>0</v>
      </c>
      <c r="Z22" s="62">
        <f t="shared" si="6"/>
        <v>0</v>
      </c>
      <c r="AA22" s="62">
        <f t="shared" si="7"/>
        <v>0</v>
      </c>
      <c r="AE22" s="103">
        <v>2023</v>
      </c>
      <c r="AF22" s="62">
        <f>'Future Type Share'!U24*('Future EndUse Share'!Z85+'Future EndUse Share'!AB85+'Future EndUse Share'!AC85+'Future EndUse Share'!AD85)</f>
        <v>10481.122654405848</v>
      </c>
      <c r="AG22" s="62">
        <f>'Future Type Share'!S24*0.5*('Future EndUse Share'!O85+'Future EndUse Share'!Q85+'Future EndUse Share'!R85+'Future EndUse Share'!S85)</f>
        <v>0</v>
      </c>
      <c r="AH22" s="62">
        <f>'Future Type Share'!Q24*('Future EndUse Share'!O85+'Future EndUse Share'!Q85+'Future EndUse Share'!R85+'Future EndUse Share'!S85)</f>
        <v>7823.2456872621697</v>
      </c>
      <c r="AI22" s="103">
        <f t="shared" si="3"/>
        <v>0</v>
      </c>
      <c r="AJ22" s="103">
        <f t="shared" si="10"/>
        <v>0</v>
      </c>
      <c r="AK22" s="103">
        <f t="shared" si="10"/>
        <v>0</v>
      </c>
      <c r="AO22" s="103">
        <v>2023</v>
      </c>
      <c r="AP22" s="62">
        <f>'Future Type Share'!U24*('Future EndUse Share'!AE85)</f>
        <v>2142.2057899732367</v>
      </c>
      <c r="AQ22" s="62">
        <f>'Future Type Share'!S24*0.5*('Future EndUse Share'!T85)</f>
        <v>0</v>
      </c>
      <c r="AR22" s="62">
        <f>'Future Type Share'!Q24*'Future EndUse Share'!T85</f>
        <v>23.574391542616322</v>
      </c>
      <c r="AS22" s="103">
        <f t="shared" si="4"/>
        <v>0</v>
      </c>
      <c r="AT22" s="103">
        <f t="shared" si="11"/>
        <v>0</v>
      </c>
      <c r="AU22" s="103">
        <f t="shared" si="11"/>
        <v>0</v>
      </c>
    </row>
    <row r="23" spans="1:47">
      <c r="A23" s="103">
        <v>2024</v>
      </c>
      <c r="B23" s="62">
        <f>'Future Type Share'!U25*'Future EndUse Share'!AA86</f>
        <v>1577.760023372125</v>
      </c>
      <c r="C23" s="62">
        <f>'Future Type Share'!Q25*0.5*'Future EndUse Share'!P86</f>
        <v>0</v>
      </c>
      <c r="D23" s="62">
        <f>'Future Type Share'!Q25*'Future EndUse Share'!P86</f>
        <v>0</v>
      </c>
      <c r="E23" s="62">
        <f t="shared" si="5"/>
        <v>0</v>
      </c>
      <c r="F23" s="103">
        <f t="shared" si="8"/>
        <v>0</v>
      </c>
      <c r="G23" s="103">
        <f t="shared" si="8"/>
        <v>0</v>
      </c>
      <c r="K23" s="103">
        <v>2024</v>
      </c>
      <c r="L23" s="62">
        <f>'Future Type Share'!U25*'Future EndUse Share'!Y86</f>
        <v>7351.1239754148237</v>
      </c>
      <c r="M23" s="62">
        <f>'Future Type Share'!S25*0.5*'Future EndUse Share'!N86</f>
        <v>0</v>
      </c>
      <c r="N23" s="62">
        <f>'Future Type Share'!Q25*'Future EndUse Share'!N86</f>
        <v>0</v>
      </c>
      <c r="O23" s="62">
        <f t="shared" si="9"/>
        <v>0</v>
      </c>
      <c r="P23" s="62">
        <f t="shared" si="9"/>
        <v>0</v>
      </c>
      <c r="Q23" s="62">
        <f t="shared" si="9"/>
        <v>0</v>
      </c>
      <c r="U23" s="103">
        <v>2024</v>
      </c>
      <c r="V23" s="62">
        <f t="shared" si="6"/>
        <v>0</v>
      </c>
      <c r="W23" s="62">
        <f t="shared" si="6"/>
        <v>0</v>
      </c>
      <c r="X23" s="62">
        <f t="shared" si="6"/>
        <v>0</v>
      </c>
      <c r="Y23" s="62">
        <f t="shared" si="6"/>
        <v>0</v>
      </c>
      <c r="Z23" s="62">
        <f t="shared" si="6"/>
        <v>0</v>
      </c>
      <c r="AA23" s="62">
        <f t="shared" si="7"/>
        <v>0</v>
      </c>
      <c r="AE23" s="103">
        <v>2024</v>
      </c>
      <c r="AF23" s="62">
        <f>'Future Type Share'!U25*('Future EndUse Share'!Z86+'Future EndUse Share'!AB86+'Future EndUse Share'!AC86+'Future EndUse Share'!AD86)</f>
        <v>10506.110204306675</v>
      </c>
      <c r="AG23" s="62">
        <f>'Future Type Share'!S25*0.5*('Future EndUse Share'!O86+'Future EndUse Share'!Q86+'Future EndUse Share'!R86+'Future EndUse Share'!S86)</f>
        <v>0</v>
      </c>
      <c r="AH23" s="62">
        <f>'Future Type Share'!Q25*('Future EndUse Share'!O86+'Future EndUse Share'!Q86+'Future EndUse Share'!R86+'Future EndUse Share'!S86)</f>
        <v>7754.794403907812</v>
      </c>
      <c r="AI23" s="103">
        <f t="shared" si="3"/>
        <v>0</v>
      </c>
      <c r="AJ23" s="103">
        <f t="shared" si="10"/>
        <v>0</v>
      </c>
      <c r="AK23" s="103">
        <f t="shared" si="10"/>
        <v>0</v>
      </c>
      <c r="AO23" s="103">
        <v>2024</v>
      </c>
      <c r="AP23" s="62">
        <f>'Future Type Share'!U25*('Future EndUse Share'!AE86)</f>
        <v>2168.5767572807217</v>
      </c>
      <c r="AQ23" s="62">
        <f>'Future Type Share'!S25*0.5*('Future EndUse Share'!T86)</f>
        <v>0</v>
      </c>
      <c r="AR23" s="62">
        <f>'Future Type Share'!Q25*'Future EndUse Share'!T86</f>
        <v>23.345882517722458</v>
      </c>
      <c r="AS23" s="103">
        <f t="shared" si="4"/>
        <v>0</v>
      </c>
      <c r="AT23" s="103">
        <f t="shared" si="11"/>
        <v>0</v>
      </c>
      <c r="AU23" s="103">
        <f t="shared" si="11"/>
        <v>0</v>
      </c>
    </row>
    <row r="24" spans="1:47">
      <c r="A24" s="103">
        <v>2025</v>
      </c>
      <c r="B24" s="62">
        <f>'Future Type Share'!U26*'Future EndUse Share'!AA87</f>
        <v>1587.701668329622</v>
      </c>
      <c r="C24" s="62">
        <f>'Future Type Share'!Q26*0.5*'Future EndUse Share'!P87</f>
        <v>0</v>
      </c>
      <c r="D24" s="62">
        <f>'Future Type Share'!Q26*'Future EndUse Share'!P87</f>
        <v>0</v>
      </c>
      <c r="E24" s="62">
        <f t="shared" si="5"/>
        <v>0</v>
      </c>
      <c r="F24" s="103">
        <f t="shared" si="8"/>
        <v>0</v>
      </c>
      <c r="G24" s="103">
        <f t="shared" si="8"/>
        <v>0</v>
      </c>
      <c r="K24" s="103">
        <v>2025</v>
      </c>
      <c r="L24" s="62">
        <f>'Future Type Share'!U26*'Future EndUse Share'!Y87</f>
        <v>7557.1297608585573</v>
      </c>
      <c r="M24" s="62">
        <f>'Future Type Share'!S26*0.5*'Future EndUse Share'!N87</f>
        <v>0</v>
      </c>
      <c r="N24" s="62">
        <f>'Future Type Share'!Q26*'Future EndUse Share'!N87</f>
        <v>0</v>
      </c>
      <c r="O24" s="62">
        <f t="shared" si="9"/>
        <v>0</v>
      </c>
      <c r="P24" s="62">
        <f t="shared" si="9"/>
        <v>0</v>
      </c>
      <c r="Q24" s="62">
        <f t="shared" si="9"/>
        <v>0</v>
      </c>
      <c r="U24" s="103">
        <v>2025</v>
      </c>
      <c r="V24" s="62">
        <f t="shared" si="6"/>
        <v>0</v>
      </c>
      <c r="W24" s="62">
        <f t="shared" si="6"/>
        <v>0</v>
      </c>
      <c r="X24" s="62">
        <f t="shared" si="6"/>
        <v>0</v>
      </c>
      <c r="Y24" s="62">
        <f t="shared" si="6"/>
        <v>0</v>
      </c>
      <c r="Z24" s="62">
        <f t="shared" si="6"/>
        <v>0</v>
      </c>
      <c r="AA24" s="62">
        <f t="shared" si="7"/>
        <v>0</v>
      </c>
      <c r="AE24" s="103">
        <v>2025</v>
      </c>
      <c r="AF24" s="62">
        <f>'Future Type Share'!U26*('Future EndUse Share'!Z87+'Future EndUse Share'!AB87+'Future EndUse Share'!AC87+'Future EndUse Share'!AD87)</f>
        <v>10524.618664012116</v>
      </c>
      <c r="AG24" s="62">
        <f>'Future Type Share'!S26*0.5*('Future EndUse Share'!O87+'Future EndUse Share'!Q87+'Future EndUse Share'!R87+'Future EndUse Share'!S87)</f>
        <v>0</v>
      </c>
      <c r="AH24" s="62">
        <f>'Future Type Share'!Q26*('Future EndUse Share'!O87+'Future EndUse Share'!Q87+'Future EndUse Share'!R87+'Future EndUse Share'!S87)</f>
        <v>7680.4081295015976</v>
      </c>
      <c r="AI24" s="103">
        <f t="shared" si="3"/>
        <v>0</v>
      </c>
      <c r="AJ24" s="103">
        <f t="shared" si="10"/>
        <v>0</v>
      </c>
      <c r="AK24" s="103">
        <f t="shared" si="10"/>
        <v>0</v>
      </c>
      <c r="AO24" s="103">
        <v>2025</v>
      </c>
      <c r="AP24" s="62">
        <f>'Future Type Share'!U26*('Future EndUse Share'!AE87)</f>
        <v>2193.8906051065396</v>
      </c>
      <c r="AQ24" s="62">
        <f>'Future Type Share'!S26*0.5*('Future EndUse Share'!T87)</f>
        <v>0</v>
      </c>
      <c r="AR24" s="62">
        <f>'Future Type Share'!Q26*'Future EndUse Share'!T87</f>
        <v>23.099915906265345</v>
      </c>
      <c r="AS24" s="103">
        <f t="shared" si="4"/>
        <v>0</v>
      </c>
      <c r="AT24" s="103">
        <f t="shared" si="11"/>
        <v>0</v>
      </c>
      <c r="AU24" s="103">
        <f t="shared" si="11"/>
        <v>0</v>
      </c>
    </row>
    <row r="25" spans="1:47">
      <c r="A25" s="103">
        <v>2026</v>
      </c>
      <c r="B25" s="62">
        <f>'Future Type Share'!U27*'Future EndUse Share'!AA88</f>
        <v>1596.5357288614066</v>
      </c>
      <c r="C25" s="62">
        <f>'Future Type Share'!Q27*0.5*'Future EndUse Share'!P88</f>
        <v>0</v>
      </c>
      <c r="D25" s="62">
        <f>'Future Type Share'!Q27*'Future EndUse Share'!P88</f>
        <v>0</v>
      </c>
      <c r="E25" s="62">
        <f t="shared" si="5"/>
        <v>0</v>
      </c>
      <c r="F25" s="103">
        <f t="shared" si="8"/>
        <v>0</v>
      </c>
      <c r="G25" s="103">
        <f t="shared" si="8"/>
        <v>0</v>
      </c>
      <c r="K25" s="103">
        <v>2026</v>
      </c>
      <c r="L25" s="62">
        <f>'Future Type Share'!U27*'Future EndUse Share'!Y88</f>
        <v>7759.7520700126361</v>
      </c>
      <c r="M25" s="62">
        <f>'Future Type Share'!S27*0.5*'Future EndUse Share'!N88</f>
        <v>0</v>
      </c>
      <c r="N25" s="62">
        <f>'Future Type Share'!Q27*'Future EndUse Share'!N88</f>
        <v>0</v>
      </c>
      <c r="O25" s="62">
        <f t="shared" si="9"/>
        <v>0</v>
      </c>
      <c r="P25" s="62">
        <f t="shared" si="9"/>
        <v>0</v>
      </c>
      <c r="Q25" s="62">
        <f t="shared" si="9"/>
        <v>0</v>
      </c>
      <c r="U25" s="103">
        <v>2026</v>
      </c>
      <c r="V25" s="62">
        <f t="shared" si="6"/>
        <v>0</v>
      </c>
      <c r="W25" s="62">
        <f t="shared" si="6"/>
        <v>0</v>
      </c>
      <c r="X25" s="62">
        <f t="shared" si="6"/>
        <v>0</v>
      </c>
      <c r="Y25" s="62">
        <f t="shared" si="6"/>
        <v>0</v>
      </c>
      <c r="Z25" s="62">
        <f t="shared" si="6"/>
        <v>0</v>
      </c>
      <c r="AA25" s="62">
        <f t="shared" si="7"/>
        <v>0</v>
      </c>
      <c r="AE25" s="103">
        <v>2026</v>
      </c>
      <c r="AF25" s="62">
        <f>'Future Type Share'!U27*('Future EndUse Share'!Z88+'Future EndUse Share'!AB88+'Future EndUse Share'!AC88+'Future EndUse Share'!AD88)</f>
        <v>10535.221844995944</v>
      </c>
      <c r="AG25" s="62">
        <f>'Future Type Share'!S27*0.5*('Future EndUse Share'!O88+'Future EndUse Share'!Q88+'Future EndUse Share'!R88+'Future EndUse Share'!S88)</f>
        <v>0</v>
      </c>
      <c r="AH25" s="62">
        <f>'Future Type Share'!Q27*('Future EndUse Share'!O88+'Future EndUse Share'!Q88+'Future EndUse Share'!R88+'Future EndUse Share'!S88)</f>
        <v>7599.2057548661696</v>
      </c>
      <c r="AI25" s="103">
        <f t="shared" si="3"/>
        <v>0</v>
      </c>
      <c r="AJ25" s="103">
        <f t="shared" si="10"/>
        <v>0</v>
      </c>
      <c r="AK25" s="103">
        <f t="shared" si="10"/>
        <v>0</v>
      </c>
      <c r="AO25" s="103">
        <v>2026</v>
      </c>
      <c r="AP25" s="62">
        <f>'Future Type Share'!U27*('Future EndUse Share'!AE88)</f>
        <v>2217.811043294616</v>
      </c>
      <c r="AQ25" s="62">
        <f>'Future Type Share'!S27*0.5*('Future EndUse Share'!T88)</f>
        <v>0</v>
      </c>
      <c r="AR25" s="62">
        <f>'Future Type Share'!Q27*'Future EndUse Share'!T88</f>
        <v>22.83389523215731</v>
      </c>
      <c r="AS25" s="103">
        <f t="shared" si="4"/>
        <v>0</v>
      </c>
      <c r="AT25" s="103">
        <f t="shared" si="11"/>
        <v>0</v>
      </c>
      <c r="AU25" s="103">
        <f t="shared" si="11"/>
        <v>0</v>
      </c>
    </row>
    <row r="26" spans="1:47">
      <c r="A26" s="103">
        <v>2027</v>
      </c>
      <c r="B26" s="62">
        <f>'Future Type Share'!U28*'Future EndUse Share'!AA89</f>
        <v>1604.6058681256047</v>
      </c>
      <c r="C26" s="62">
        <f>'Future Type Share'!Q28*0.5*'Future EndUse Share'!P89</f>
        <v>0</v>
      </c>
      <c r="D26" s="62">
        <f>'Future Type Share'!Q28*'Future EndUse Share'!P89</f>
        <v>0</v>
      </c>
      <c r="E26" s="62">
        <f t="shared" si="5"/>
        <v>0</v>
      </c>
      <c r="F26" s="103">
        <f t="shared" si="8"/>
        <v>0</v>
      </c>
      <c r="G26" s="103">
        <f t="shared" si="8"/>
        <v>0</v>
      </c>
      <c r="K26" s="103">
        <v>2027</v>
      </c>
      <c r="L26" s="62">
        <f>'Future Type Share'!U28*'Future EndUse Share'!Y89</f>
        <v>7960.3616059514343</v>
      </c>
      <c r="M26" s="62">
        <f>'Future Type Share'!S28*0.5*'Future EndUse Share'!N89</f>
        <v>0</v>
      </c>
      <c r="N26" s="62">
        <f>'Future Type Share'!Q28*'Future EndUse Share'!N89</f>
        <v>0</v>
      </c>
      <c r="O26" s="62">
        <f t="shared" si="9"/>
        <v>0</v>
      </c>
      <c r="P26" s="62">
        <f t="shared" si="9"/>
        <v>0</v>
      </c>
      <c r="Q26" s="62">
        <f t="shared" si="9"/>
        <v>0</v>
      </c>
      <c r="U26" s="103">
        <v>2027</v>
      </c>
      <c r="V26" s="62">
        <f t="shared" si="6"/>
        <v>0</v>
      </c>
      <c r="W26" s="62">
        <f t="shared" si="6"/>
        <v>0</v>
      </c>
      <c r="X26" s="62">
        <f t="shared" si="6"/>
        <v>0</v>
      </c>
      <c r="Y26" s="62">
        <f t="shared" si="6"/>
        <v>0</v>
      </c>
      <c r="Z26" s="62">
        <f t="shared" si="6"/>
        <v>0</v>
      </c>
      <c r="AA26" s="62">
        <f t="shared" si="7"/>
        <v>0</v>
      </c>
      <c r="AE26" s="103">
        <v>2027</v>
      </c>
      <c r="AF26" s="62">
        <f>'Future Type Share'!U28*('Future EndUse Share'!Z89+'Future EndUse Share'!AB89+'Future EndUse Share'!AC89+'Future EndUse Share'!AD89)</f>
        <v>10540.277009272784</v>
      </c>
      <c r="AG26" s="62">
        <f>'Future Type Share'!S28*0.5*('Future EndUse Share'!O89+'Future EndUse Share'!Q89+'Future EndUse Share'!R89+'Future EndUse Share'!S89)</f>
        <v>0</v>
      </c>
      <c r="AH26" s="62">
        <f>'Future Type Share'!Q28*('Future EndUse Share'!O89+'Future EndUse Share'!Q89+'Future EndUse Share'!R89+'Future EndUse Share'!S89)</f>
        <v>7513.0543013566939</v>
      </c>
      <c r="AI26" s="103">
        <f t="shared" si="3"/>
        <v>0</v>
      </c>
      <c r="AJ26" s="103">
        <f t="shared" si="10"/>
        <v>0</v>
      </c>
      <c r="AK26" s="103">
        <f t="shared" si="10"/>
        <v>0</v>
      </c>
      <c r="AO26" s="103">
        <v>2027</v>
      </c>
      <c r="AP26" s="62">
        <f>'Future Type Share'!U28*('Future EndUse Share'!AE89)</f>
        <v>2240.7935989632556</v>
      </c>
      <c r="AQ26" s="62">
        <f>'Future Type Share'!S28*0.5*('Future EndUse Share'!T89)</f>
        <v>0</v>
      </c>
      <c r="AR26" s="62">
        <f>'Future Type Share'!Q28*'Future EndUse Share'!T89</f>
        <v>22.553483755948214</v>
      </c>
      <c r="AS26" s="103">
        <f t="shared" si="4"/>
        <v>0</v>
      </c>
      <c r="AT26" s="103">
        <f t="shared" si="11"/>
        <v>0</v>
      </c>
      <c r="AU26" s="103">
        <f t="shared" si="11"/>
        <v>0</v>
      </c>
    </row>
    <row r="27" spans="1:47">
      <c r="A27" s="103">
        <v>2028</v>
      </c>
      <c r="B27" s="62">
        <f>'Future Type Share'!U29*'Future EndUse Share'!AA90</f>
        <v>1612.5841836694676</v>
      </c>
      <c r="C27" s="62">
        <f>'Future Type Share'!Q29*0.5*'Future EndUse Share'!P90</f>
        <v>0</v>
      </c>
      <c r="D27" s="62">
        <f>'Future Type Share'!Q29*'Future EndUse Share'!P90</f>
        <v>0</v>
      </c>
      <c r="E27" s="62">
        <f t="shared" si="5"/>
        <v>0</v>
      </c>
      <c r="F27" s="103">
        <f t="shared" si="8"/>
        <v>0</v>
      </c>
      <c r="G27" s="103">
        <f t="shared" si="8"/>
        <v>0</v>
      </c>
      <c r="K27" s="103">
        <v>2028</v>
      </c>
      <c r="L27" s="62">
        <f>'Future Type Share'!U29*'Future EndUse Share'!Y90</f>
        <v>8162.1297072969819</v>
      </c>
      <c r="M27" s="62">
        <f>'Future Type Share'!S29*0.5*'Future EndUse Share'!N90</f>
        <v>0</v>
      </c>
      <c r="N27" s="62">
        <f>'Future Type Share'!Q29*'Future EndUse Share'!N90</f>
        <v>0</v>
      </c>
      <c r="O27" s="62">
        <f t="shared" si="9"/>
        <v>0</v>
      </c>
      <c r="P27" s="62">
        <f t="shared" si="9"/>
        <v>0</v>
      </c>
      <c r="Q27" s="62">
        <f t="shared" si="9"/>
        <v>0</v>
      </c>
      <c r="U27" s="103">
        <v>2028</v>
      </c>
      <c r="V27" s="62">
        <f t="shared" si="6"/>
        <v>0</v>
      </c>
      <c r="W27" s="62">
        <f t="shared" si="6"/>
        <v>0</v>
      </c>
      <c r="X27" s="62">
        <f t="shared" si="6"/>
        <v>0</v>
      </c>
      <c r="Y27" s="62">
        <f t="shared" si="6"/>
        <v>0</v>
      </c>
      <c r="Z27" s="62">
        <f t="shared" si="6"/>
        <v>0</v>
      </c>
      <c r="AA27" s="62">
        <f t="shared" si="7"/>
        <v>0</v>
      </c>
      <c r="AE27" s="103">
        <v>2028</v>
      </c>
      <c r="AF27" s="62">
        <f>'Future Type Share'!U29*('Future EndUse Share'!Z90+'Future EndUse Share'!AB90+'Future EndUse Share'!AC90+'Future EndUse Share'!AD90)</f>
        <v>10544.247668411936</v>
      </c>
      <c r="AG27" s="62">
        <f>'Future Type Share'!S29*0.5*('Future EndUse Share'!O90+'Future EndUse Share'!Q90+'Future EndUse Share'!R90+'Future EndUse Share'!S90)</f>
        <v>0</v>
      </c>
      <c r="AH27" s="62">
        <f>'Future Type Share'!Q29*('Future EndUse Share'!O90+'Future EndUse Share'!Q90+'Future EndUse Share'!R90+'Future EndUse Share'!S90)</f>
        <v>7425.2263728528715</v>
      </c>
      <c r="AI27" s="103">
        <f t="shared" si="3"/>
        <v>0</v>
      </c>
      <c r="AJ27" s="103">
        <f t="shared" si="10"/>
        <v>0</v>
      </c>
      <c r="AK27" s="103">
        <f t="shared" si="10"/>
        <v>0</v>
      </c>
      <c r="AO27" s="103">
        <v>2028</v>
      </c>
      <c r="AP27" s="62">
        <f>'Future Type Share'!U29*('Future EndUse Share'!AE90)</f>
        <v>2263.7649466711732</v>
      </c>
      <c r="AQ27" s="62">
        <f>'Future Type Share'!S29*0.5*('Future EndUse Share'!T90)</f>
        <v>0</v>
      </c>
      <c r="AR27" s="62">
        <f>'Future Type Share'!Q29*'Future EndUse Share'!T90</f>
        <v>22.26853871667285</v>
      </c>
      <c r="AS27" s="103">
        <f t="shared" si="4"/>
        <v>0</v>
      </c>
      <c r="AT27" s="103">
        <f t="shared" si="11"/>
        <v>0</v>
      </c>
      <c r="AU27" s="103">
        <f t="shared" si="11"/>
        <v>0</v>
      </c>
    </row>
    <row r="28" spans="1:47">
      <c r="A28" s="103">
        <v>2029</v>
      </c>
      <c r="B28" s="62">
        <f>'Future Type Share'!U30*'Future EndUse Share'!AA91</f>
        <v>1620.1633353754139</v>
      </c>
      <c r="C28" s="62">
        <f>'Future Type Share'!Q30*0.5*'Future EndUse Share'!P91</f>
        <v>0</v>
      </c>
      <c r="D28" s="62">
        <f>'Future Type Share'!Q30*'Future EndUse Share'!P91</f>
        <v>0</v>
      </c>
      <c r="E28" s="62">
        <f t="shared" si="5"/>
        <v>0</v>
      </c>
      <c r="F28" s="103">
        <f t="shared" si="8"/>
        <v>0</v>
      </c>
      <c r="G28" s="103">
        <f t="shared" si="8"/>
        <v>0</v>
      </c>
      <c r="K28" s="103">
        <v>2029</v>
      </c>
      <c r="L28" s="62">
        <f>'Future Type Share'!U30*'Future EndUse Share'!Y91</f>
        <v>8363.4421482659363</v>
      </c>
      <c r="M28" s="62">
        <f>'Future Type Share'!S30*0.5*'Future EndUse Share'!N91</f>
        <v>0</v>
      </c>
      <c r="N28" s="62">
        <f>'Future Type Share'!Q30*'Future EndUse Share'!N91</f>
        <v>0</v>
      </c>
      <c r="O28" s="62">
        <f t="shared" si="9"/>
        <v>0</v>
      </c>
      <c r="P28" s="62">
        <f t="shared" si="9"/>
        <v>0</v>
      </c>
      <c r="Q28" s="62">
        <f t="shared" si="9"/>
        <v>0</v>
      </c>
      <c r="U28" s="103">
        <v>2029</v>
      </c>
      <c r="V28" s="62">
        <f t="shared" si="6"/>
        <v>0</v>
      </c>
      <c r="W28" s="62">
        <f t="shared" si="6"/>
        <v>0</v>
      </c>
      <c r="X28" s="62">
        <f t="shared" si="6"/>
        <v>0</v>
      </c>
      <c r="Y28" s="62">
        <f t="shared" si="6"/>
        <v>0</v>
      </c>
      <c r="Z28" s="62">
        <f t="shared" si="6"/>
        <v>0</v>
      </c>
      <c r="AA28" s="62">
        <f t="shared" si="7"/>
        <v>0</v>
      </c>
      <c r="AE28" s="103">
        <v>2029</v>
      </c>
      <c r="AF28" s="62">
        <f>'Future Type Share'!U30*('Future EndUse Share'!Z91+'Future EndUse Share'!AB91+'Future EndUse Share'!AC91+'Future EndUse Share'!AD91)</f>
        <v>10545.141725630136</v>
      </c>
      <c r="AG28" s="62">
        <f>'Future Type Share'!S30*0.5*('Future EndUse Share'!O91+'Future EndUse Share'!Q91+'Future EndUse Share'!R91+'Future EndUse Share'!S91)</f>
        <v>0</v>
      </c>
      <c r="AH28" s="62">
        <f>'Future Type Share'!Q30*('Future EndUse Share'!O91+'Future EndUse Share'!Q91+'Future EndUse Share'!R91+'Future EndUse Share'!S91)</f>
        <v>7334.3520388229626</v>
      </c>
      <c r="AI28" s="103">
        <f t="shared" si="3"/>
        <v>0</v>
      </c>
      <c r="AJ28" s="103">
        <f t="shared" si="10"/>
        <v>0</v>
      </c>
      <c r="AK28" s="103">
        <f t="shared" si="10"/>
        <v>0</v>
      </c>
      <c r="AO28" s="103">
        <v>2029</v>
      </c>
      <c r="AP28" s="62">
        <f>'Future Type Share'!U30*('Future EndUse Share'!AE91)</f>
        <v>2286.2893527295087</v>
      </c>
      <c r="AQ28" s="62">
        <f>'Future Type Share'!S30*0.5*('Future EndUse Share'!T91)</f>
        <v>0</v>
      </c>
      <c r="AR28" s="62">
        <f>'Future Type Share'!Q30*'Future EndUse Share'!T91</f>
        <v>21.974969987653523</v>
      </c>
      <c r="AS28" s="103">
        <f t="shared" si="4"/>
        <v>0</v>
      </c>
      <c r="AT28" s="103">
        <f t="shared" si="11"/>
        <v>0</v>
      </c>
      <c r="AU28" s="103">
        <f t="shared" si="11"/>
        <v>0</v>
      </c>
    </row>
    <row r="29" spans="1:47">
      <c r="A29" s="103">
        <v>2030</v>
      </c>
      <c r="B29" s="62">
        <f>'Future Type Share'!U31*'Future EndUse Share'!AA92</f>
        <v>1626.9948065680512</v>
      </c>
      <c r="C29" s="62">
        <f>'Future Type Share'!Q31*0.5*'Future EndUse Share'!P92</f>
        <v>0</v>
      </c>
      <c r="D29" s="62">
        <f>'Future Type Share'!Q31*'Future EndUse Share'!P92</f>
        <v>0</v>
      </c>
      <c r="E29" s="62">
        <f t="shared" si="5"/>
        <v>0</v>
      </c>
      <c r="F29" s="103">
        <f t="shared" si="8"/>
        <v>0</v>
      </c>
      <c r="G29" s="103">
        <f t="shared" si="8"/>
        <v>0</v>
      </c>
      <c r="K29" s="103">
        <v>2030</v>
      </c>
      <c r="L29" s="62">
        <f>'Future Type Share'!U31*'Future EndUse Share'!Y92</f>
        <v>8562.3443594409509</v>
      </c>
      <c r="M29" s="62">
        <f>'Future Type Share'!S31*0.5*'Future EndUse Share'!N92</f>
        <v>0</v>
      </c>
      <c r="N29" s="62">
        <f>'Future Type Share'!Q31*'Future EndUse Share'!N92</f>
        <v>0</v>
      </c>
      <c r="O29" s="62">
        <f t="shared" si="9"/>
        <v>0</v>
      </c>
      <c r="P29" s="62">
        <f t="shared" si="9"/>
        <v>0</v>
      </c>
      <c r="Q29" s="62">
        <f t="shared" si="9"/>
        <v>0</v>
      </c>
      <c r="U29" s="103">
        <v>2030</v>
      </c>
      <c r="V29" s="62">
        <f t="shared" si="6"/>
        <v>0</v>
      </c>
      <c r="W29" s="62">
        <f t="shared" si="6"/>
        <v>0</v>
      </c>
      <c r="X29" s="62">
        <f t="shared" si="6"/>
        <v>0</v>
      </c>
      <c r="Y29" s="62">
        <f t="shared" si="6"/>
        <v>0</v>
      </c>
      <c r="Z29" s="62">
        <f t="shared" si="6"/>
        <v>0</v>
      </c>
      <c r="AA29" s="62">
        <f t="shared" si="7"/>
        <v>0</v>
      </c>
      <c r="AE29" s="103">
        <v>2030</v>
      </c>
      <c r="AF29" s="62">
        <f>'Future Type Share'!U31*('Future EndUse Share'!Z92+'Future EndUse Share'!AB92+'Future EndUse Share'!AC92+'Future EndUse Share'!AD92)</f>
        <v>10540.737240279586</v>
      </c>
      <c r="AG29" s="62">
        <f>'Future Type Share'!S31*0.5*('Future EndUse Share'!O92+'Future EndUse Share'!Q92+'Future EndUse Share'!R92+'Future EndUse Share'!S92)</f>
        <v>0</v>
      </c>
      <c r="AH29" s="62">
        <f>'Future Type Share'!Q31*('Future EndUse Share'!O92+'Future EndUse Share'!Q92+'Future EndUse Share'!R92+'Future EndUse Share'!S92)</f>
        <v>7238.9735980160667</v>
      </c>
      <c r="AI29" s="103">
        <f t="shared" si="3"/>
        <v>0</v>
      </c>
      <c r="AJ29" s="103">
        <f t="shared" si="10"/>
        <v>0</v>
      </c>
      <c r="AK29" s="103">
        <f t="shared" si="10"/>
        <v>0</v>
      </c>
      <c r="AO29" s="103">
        <v>2030</v>
      </c>
      <c r="AP29" s="62">
        <f>'Future Type Share'!U31*('Future EndUse Share'!AE92)</f>
        <v>2307.8636580439274</v>
      </c>
      <c r="AQ29" s="62">
        <f>'Future Type Share'!S31*0.5*('Future EndUse Share'!T92)</f>
        <v>0</v>
      </c>
      <c r="AR29" s="62">
        <f>'Future Type Share'!Q31*'Future EndUse Share'!T92</f>
        <v>21.668440432105953</v>
      </c>
      <c r="AS29" s="103">
        <f t="shared" si="4"/>
        <v>0</v>
      </c>
      <c r="AT29" s="103">
        <f t="shared" si="11"/>
        <v>0</v>
      </c>
      <c r="AU29" s="103">
        <f t="shared" si="11"/>
        <v>0</v>
      </c>
    </row>
    <row r="30" spans="1:47">
      <c r="A30" s="103">
        <v>2031</v>
      </c>
      <c r="B30" s="62">
        <f>'Future Type Share'!U32*'Future EndUse Share'!AA93</f>
        <v>1633.3023656470391</v>
      </c>
      <c r="C30" s="62">
        <f>'Future Type Share'!Q32*0.5*'Future EndUse Share'!P93</f>
        <v>0</v>
      </c>
      <c r="D30" s="62">
        <f>'Future Type Share'!Q32*'Future EndUse Share'!P93</f>
        <v>0</v>
      </c>
      <c r="E30" s="62">
        <f t="shared" si="5"/>
        <v>0</v>
      </c>
      <c r="F30" s="103">
        <f t="shared" si="8"/>
        <v>0</v>
      </c>
      <c r="G30" s="103">
        <f t="shared" si="8"/>
        <v>0</v>
      </c>
      <c r="K30" s="103">
        <v>2031</v>
      </c>
      <c r="L30" s="62">
        <f>'Future Type Share'!U32*'Future EndUse Share'!Y93</f>
        <v>8759.8108696326253</v>
      </c>
      <c r="M30" s="62">
        <f>'Future Type Share'!S32*0.5*'Future EndUse Share'!N93</f>
        <v>0</v>
      </c>
      <c r="N30" s="62">
        <f>'Future Type Share'!Q32*'Future EndUse Share'!N93</f>
        <v>0</v>
      </c>
      <c r="O30" s="62">
        <f t="shared" si="9"/>
        <v>0</v>
      </c>
      <c r="P30" s="62">
        <f t="shared" si="9"/>
        <v>0</v>
      </c>
      <c r="Q30" s="62">
        <f t="shared" si="9"/>
        <v>0</v>
      </c>
      <c r="U30" s="103">
        <v>2031</v>
      </c>
      <c r="V30" s="62">
        <f t="shared" si="6"/>
        <v>0</v>
      </c>
      <c r="W30" s="62">
        <f t="shared" si="6"/>
        <v>0</v>
      </c>
      <c r="X30" s="62">
        <f t="shared" si="6"/>
        <v>0</v>
      </c>
      <c r="Y30" s="62">
        <f t="shared" si="6"/>
        <v>0</v>
      </c>
      <c r="Z30" s="62">
        <f t="shared" si="6"/>
        <v>0</v>
      </c>
      <c r="AA30" s="62">
        <f t="shared" si="7"/>
        <v>0</v>
      </c>
      <c r="AE30" s="103">
        <v>2031</v>
      </c>
      <c r="AF30" s="62">
        <f>'Future Type Share'!U32*('Future EndUse Share'!Z93+'Future EndUse Share'!AB93+'Future EndUse Share'!AC93+'Future EndUse Share'!AD93)</f>
        <v>10532.544590599771</v>
      </c>
      <c r="AG30" s="62">
        <f>'Future Type Share'!S32*0.5*('Future EndUse Share'!O93+'Future EndUse Share'!Q93+'Future EndUse Share'!R93+'Future EndUse Share'!S93)</f>
        <v>0</v>
      </c>
      <c r="AH30" s="62">
        <f>'Future Type Share'!Q32*('Future EndUse Share'!O93+'Future EndUse Share'!Q93+'Future EndUse Share'!R93+'Future EndUse Share'!S93)</f>
        <v>7140.2434086236408</v>
      </c>
      <c r="AI30" s="103">
        <f t="shared" si="3"/>
        <v>0</v>
      </c>
      <c r="AJ30" s="103">
        <f t="shared" si="10"/>
        <v>0</v>
      </c>
      <c r="AK30" s="103">
        <f t="shared" si="10"/>
        <v>0</v>
      </c>
      <c r="AO30" s="103">
        <v>2031</v>
      </c>
      <c r="AP30" s="62">
        <f>'Future Type Share'!U32*('Future EndUse Share'!AE93)</f>
        <v>2328.7904535000357</v>
      </c>
      <c r="AQ30" s="62">
        <f>'Future Type Share'!S32*0.5*('Future EndUse Share'!T93)</f>
        <v>0</v>
      </c>
      <c r="AR30" s="62">
        <f>'Future Type Share'!Q32*'Future EndUse Share'!T93</f>
        <v>21.352434847560005</v>
      </c>
      <c r="AS30" s="103">
        <f t="shared" si="4"/>
        <v>0</v>
      </c>
      <c r="AT30" s="103">
        <f t="shared" si="11"/>
        <v>0</v>
      </c>
      <c r="AU30" s="103">
        <f t="shared" si="11"/>
        <v>0</v>
      </c>
    </row>
    <row r="31" spans="1:47">
      <c r="A31" s="103">
        <v>2032</v>
      </c>
      <c r="B31" s="62">
        <f>'Future Type Share'!U33*'Future EndUse Share'!AA94</f>
        <v>1639.1466018822964</v>
      </c>
      <c r="C31" s="62">
        <f>'Future Type Share'!Q33*0.5*'Future EndUse Share'!P94</f>
        <v>0</v>
      </c>
      <c r="D31" s="62">
        <f>'Future Type Share'!Q33*'Future EndUse Share'!P94</f>
        <v>0</v>
      </c>
      <c r="E31" s="62">
        <f t="shared" si="5"/>
        <v>0</v>
      </c>
      <c r="F31" s="103">
        <f t="shared" si="8"/>
        <v>0</v>
      </c>
      <c r="G31" s="103">
        <f t="shared" si="8"/>
        <v>0</v>
      </c>
      <c r="K31" s="103">
        <v>2032</v>
      </c>
      <c r="L31" s="62">
        <f>'Future Type Share'!U33*'Future EndUse Share'!Y94</f>
        <v>8956.0146483918488</v>
      </c>
      <c r="M31" s="62">
        <f>'Future Type Share'!S33*0.5*'Future EndUse Share'!N94</f>
        <v>0</v>
      </c>
      <c r="N31" s="62">
        <f>'Future Type Share'!Q33*'Future EndUse Share'!N94</f>
        <v>0</v>
      </c>
      <c r="O31" s="62">
        <f t="shared" si="9"/>
        <v>0</v>
      </c>
      <c r="P31" s="62">
        <f t="shared" si="9"/>
        <v>0</v>
      </c>
      <c r="Q31" s="62">
        <f t="shared" si="9"/>
        <v>0</v>
      </c>
      <c r="U31" s="103">
        <v>2032</v>
      </c>
      <c r="V31" s="62">
        <f t="shared" si="6"/>
        <v>0</v>
      </c>
      <c r="W31" s="62">
        <f t="shared" si="6"/>
        <v>0</v>
      </c>
      <c r="X31" s="62">
        <f t="shared" si="6"/>
        <v>0</v>
      </c>
      <c r="Y31" s="62">
        <f t="shared" si="6"/>
        <v>0</v>
      </c>
      <c r="Z31" s="62">
        <f t="shared" si="6"/>
        <v>0</v>
      </c>
      <c r="AA31" s="62">
        <f t="shared" si="7"/>
        <v>0</v>
      </c>
      <c r="AE31" s="103">
        <v>2032</v>
      </c>
      <c r="AF31" s="62">
        <f>'Future Type Share'!U33*('Future EndUse Share'!Z94+'Future EndUse Share'!AB94+'Future EndUse Share'!AC94+'Future EndUse Share'!AD94)</f>
        <v>10520.999890276929</v>
      </c>
      <c r="AG31" s="62">
        <f>'Future Type Share'!S33*0.5*('Future EndUse Share'!O94+'Future EndUse Share'!Q94+'Future EndUse Share'!R94+'Future EndUse Share'!S94)</f>
        <v>0</v>
      </c>
      <c r="AH31" s="62">
        <f>'Future Type Share'!Q33*('Future EndUse Share'!O94+'Future EndUse Share'!Q94+'Future EndUse Share'!R94+'Future EndUse Share'!S94)</f>
        <v>7038.5436492931849</v>
      </c>
      <c r="AI31" s="103">
        <f t="shared" si="3"/>
        <v>0</v>
      </c>
      <c r="AJ31" s="103">
        <f t="shared" si="10"/>
        <v>0</v>
      </c>
      <c r="AK31" s="103">
        <f t="shared" si="10"/>
        <v>0</v>
      </c>
      <c r="AO31" s="103">
        <v>2032</v>
      </c>
      <c r="AP31" s="62">
        <f>'Future Type Share'!U33*('Future EndUse Share'!AE94)</f>
        <v>2349.1450362149421</v>
      </c>
      <c r="AQ31" s="62">
        <f>'Future Type Share'!S33*0.5*('Future EndUse Share'!T94)</f>
        <v>0</v>
      </c>
      <c r="AR31" s="62">
        <f>'Future Type Share'!Q33*'Future EndUse Share'!T94</f>
        <v>21.028123849280782</v>
      </c>
      <c r="AS31" s="103">
        <f t="shared" si="4"/>
        <v>0</v>
      </c>
      <c r="AT31" s="103">
        <f t="shared" si="11"/>
        <v>0</v>
      </c>
      <c r="AU31" s="103">
        <f t="shared" si="11"/>
        <v>0</v>
      </c>
    </row>
    <row r="32" spans="1:47">
      <c r="A32" s="103">
        <v>2033</v>
      </c>
      <c r="B32" s="62">
        <f>'Future Type Share'!U34*'Future EndUse Share'!AA95</f>
        <v>1644.6902219305944</v>
      </c>
      <c r="C32" s="62">
        <f>'Future Type Share'!Q34*0.5*'Future EndUse Share'!P95</f>
        <v>0</v>
      </c>
      <c r="D32" s="62">
        <f>'Future Type Share'!Q34*'Future EndUse Share'!P95</f>
        <v>0</v>
      </c>
      <c r="E32" s="62">
        <f t="shared" si="5"/>
        <v>0</v>
      </c>
      <c r="F32" s="103">
        <f t="shared" si="8"/>
        <v>0</v>
      </c>
      <c r="G32" s="103">
        <f t="shared" si="8"/>
        <v>0</v>
      </c>
      <c r="K32" s="103">
        <v>2033</v>
      </c>
      <c r="L32" s="62">
        <f>'Future Type Share'!U34*'Future EndUse Share'!Y95</f>
        <v>9151.7212631244474</v>
      </c>
      <c r="M32" s="62">
        <f>'Future Type Share'!S34*0.5*'Future EndUse Share'!N95</f>
        <v>0</v>
      </c>
      <c r="N32" s="62">
        <f>'Future Type Share'!Q34*'Future EndUse Share'!N95</f>
        <v>0</v>
      </c>
      <c r="O32" s="62">
        <f t="shared" si="9"/>
        <v>0</v>
      </c>
      <c r="P32" s="62">
        <f t="shared" si="9"/>
        <v>0</v>
      </c>
      <c r="Q32" s="62">
        <f t="shared" si="9"/>
        <v>0</v>
      </c>
      <c r="U32" s="103">
        <v>2033</v>
      </c>
      <c r="V32" s="62">
        <f t="shared" ref="V32:Z47" si="12">V31</f>
        <v>0</v>
      </c>
      <c r="W32" s="62">
        <f t="shared" si="12"/>
        <v>0</v>
      </c>
      <c r="X32" s="62">
        <f t="shared" si="12"/>
        <v>0</v>
      </c>
      <c r="Y32" s="62">
        <f t="shared" si="12"/>
        <v>0</v>
      </c>
      <c r="Z32" s="62">
        <f t="shared" si="12"/>
        <v>0</v>
      </c>
      <c r="AA32" s="62">
        <f t="shared" si="7"/>
        <v>0</v>
      </c>
      <c r="AE32" s="103">
        <v>2033</v>
      </c>
      <c r="AF32" s="62">
        <f>'Future Type Share'!U34*('Future EndUse Share'!Z95+'Future EndUse Share'!AB95+'Future EndUse Share'!AC95+'Future EndUse Share'!AD95)</f>
        <v>10507.18435443407</v>
      </c>
      <c r="AG32" s="62">
        <f>'Future Type Share'!S34*0.5*('Future EndUse Share'!O95+'Future EndUse Share'!Q95+'Future EndUse Share'!R95+'Future EndUse Share'!S95)</f>
        <v>0</v>
      </c>
      <c r="AH32" s="62">
        <f>'Future Type Share'!Q34*('Future EndUse Share'!O95+'Future EndUse Share'!Q95+'Future EndUse Share'!R95+'Future EndUse Share'!S95)</f>
        <v>6934.6682530367816</v>
      </c>
      <c r="AI32" s="103">
        <f t="shared" si="3"/>
        <v>0</v>
      </c>
      <c r="AJ32" s="103">
        <f t="shared" si="10"/>
        <v>0</v>
      </c>
      <c r="AK32" s="103">
        <f t="shared" si="10"/>
        <v>0</v>
      </c>
      <c r="AO32" s="103">
        <v>2033</v>
      </c>
      <c r="AP32" s="62">
        <f>'Future Type Share'!U34*('Future EndUse Share'!AE95)</f>
        <v>2369.1515806436578</v>
      </c>
      <c r="AQ32" s="62">
        <f>'Future Type Share'!S34*0.5*('Future EndUse Share'!T95)</f>
        <v>0</v>
      </c>
      <c r="AR32" s="62">
        <f>'Future Type Share'!Q34*'Future EndUse Share'!T95</f>
        <v>20.69790263147781</v>
      </c>
      <c r="AS32" s="103">
        <f t="shared" si="4"/>
        <v>0</v>
      </c>
      <c r="AT32" s="103">
        <f t="shared" si="11"/>
        <v>0</v>
      </c>
      <c r="AU32" s="103">
        <f t="shared" si="11"/>
        <v>0</v>
      </c>
    </row>
    <row r="33" spans="1:47">
      <c r="A33" s="103">
        <v>2034</v>
      </c>
      <c r="B33" s="62">
        <f>'Future Type Share'!U35*'Future EndUse Share'!AA96</f>
        <v>1649.5246690200731</v>
      </c>
      <c r="C33" s="62">
        <f>'Future Type Share'!Q35*0.5*'Future EndUse Share'!P96</f>
        <v>0</v>
      </c>
      <c r="D33" s="62">
        <f>'Future Type Share'!Q35*'Future EndUse Share'!P96</f>
        <v>0</v>
      </c>
      <c r="E33" s="62">
        <f t="shared" si="5"/>
        <v>0</v>
      </c>
      <c r="F33" s="103">
        <f t="shared" ref="F33:G48" si="13">F32</f>
        <v>0</v>
      </c>
      <c r="G33" s="103">
        <f t="shared" si="13"/>
        <v>0</v>
      </c>
      <c r="K33" s="103">
        <v>2034</v>
      </c>
      <c r="L33" s="62">
        <f>'Future Type Share'!U35*'Future EndUse Share'!Y96</f>
        <v>9344.5255427752709</v>
      </c>
      <c r="M33" s="62">
        <f>'Future Type Share'!S35*0.5*'Future EndUse Share'!N96</f>
        <v>0</v>
      </c>
      <c r="N33" s="62">
        <f>'Future Type Share'!Q35*'Future EndUse Share'!N96</f>
        <v>0</v>
      </c>
      <c r="O33" s="62">
        <f t="shared" ref="O33:Q48" si="14">O32</f>
        <v>0</v>
      </c>
      <c r="P33" s="62">
        <f t="shared" si="14"/>
        <v>0</v>
      </c>
      <c r="Q33" s="62">
        <f t="shared" si="14"/>
        <v>0</v>
      </c>
      <c r="U33" s="103">
        <v>2034</v>
      </c>
      <c r="V33" s="62">
        <f t="shared" si="12"/>
        <v>0</v>
      </c>
      <c r="W33" s="62">
        <f t="shared" si="12"/>
        <v>0</v>
      </c>
      <c r="X33" s="62">
        <f t="shared" si="12"/>
        <v>0</v>
      </c>
      <c r="Y33" s="62">
        <f t="shared" si="12"/>
        <v>0</v>
      </c>
      <c r="Z33" s="62">
        <f t="shared" si="12"/>
        <v>0</v>
      </c>
      <c r="AA33" s="62">
        <f t="shared" si="7"/>
        <v>0</v>
      </c>
      <c r="AE33" s="103">
        <v>2034</v>
      </c>
      <c r="AF33" s="62">
        <f>'Future Type Share'!U35*('Future EndUse Share'!Z96+'Future EndUse Share'!AB96+'Future EndUse Share'!AC96+'Future EndUse Share'!AD96)</f>
        <v>10488.527262837535</v>
      </c>
      <c r="AG33" s="62">
        <f>'Future Type Share'!S35*0.5*('Future EndUse Share'!O96+'Future EndUse Share'!Q96+'Future EndUse Share'!R96+'Future EndUse Share'!S96)</f>
        <v>0</v>
      </c>
      <c r="AH33" s="62">
        <f>'Future Type Share'!Q35*('Future EndUse Share'!O96+'Future EndUse Share'!Q96+'Future EndUse Share'!R96+'Future EndUse Share'!S96)</f>
        <v>6826.9963035799356</v>
      </c>
      <c r="AI33" s="103">
        <f t="shared" si="3"/>
        <v>0</v>
      </c>
      <c r="AJ33" s="103">
        <f t="shared" ref="AJ33:AK48" si="15">AJ32</f>
        <v>0</v>
      </c>
      <c r="AK33" s="103">
        <f t="shared" si="15"/>
        <v>0</v>
      </c>
      <c r="AO33" s="103">
        <v>2034</v>
      </c>
      <c r="AP33" s="62">
        <f>'Future Type Share'!U35*('Future EndUse Share'!AE96)</f>
        <v>2388.2119495391448</v>
      </c>
      <c r="AQ33" s="62">
        <f>'Future Type Share'!S35*0.5*('Future EndUse Share'!T96)</f>
        <v>0</v>
      </c>
      <c r="AR33" s="62">
        <f>'Future Type Share'!Q35*'Future EndUse Share'!T96</f>
        <v>20.356956606034014</v>
      </c>
      <c r="AS33" s="103">
        <f t="shared" si="4"/>
        <v>0</v>
      </c>
      <c r="AT33" s="103">
        <f t="shared" ref="AT33:AU48" si="16">AT32</f>
        <v>0</v>
      </c>
      <c r="AU33" s="103">
        <f t="shared" si="16"/>
        <v>0</v>
      </c>
    </row>
    <row r="34" spans="1:47">
      <c r="A34" s="103">
        <v>2035</v>
      </c>
      <c r="B34" s="62">
        <f>'Future Type Share'!U36*'Future EndUse Share'!AA97</f>
        <v>1653.3651985657048</v>
      </c>
      <c r="C34" s="62">
        <f>'Future Type Share'!Q36*0.5*'Future EndUse Share'!P97</f>
        <v>0</v>
      </c>
      <c r="D34" s="62">
        <f>'Future Type Share'!Q36*'Future EndUse Share'!P97</f>
        <v>0</v>
      </c>
      <c r="E34" s="62">
        <f t="shared" si="5"/>
        <v>0</v>
      </c>
      <c r="F34" s="103">
        <f t="shared" si="13"/>
        <v>0</v>
      </c>
      <c r="G34" s="103">
        <f t="shared" si="13"/>
        <v>0</v>
      </c>
      <c r="K34" s="103">
        <v>2035</v>
      </c>
      <c r="L34" s="62">
        <f>'Future Type Share'!U36*'Future EndUse Share'!Y97</f>
        <v>9532.5717976634405</v>
      </c>
      <c r="M34" s="62">
        <f>'Future Type Share'!S36*0.5*'Future EndUse Share'!N97</f>
        <v>0</v>
      </c>
      <c r="N34" s="62">
        <f>'Future Type Share'!Q36*'Future EndUse Share'!N97</f>
        <v>0</v>
      </c>
      <c r="O34" s="62">
        <f t="shared" si="14"/>
        <v>0</v>
      </c>
      <c r="P34" s="62">
        <f t="shared" si="14"/>
        <v>0</v>
      </c>
      <c r="Q34" s="62">
        <f t="shared" si="14"/>
        <v>0</v>
      </c>
      <c r="U34" s="103">
        <v>2035</v>
      </c>
      <c r="V34" s="62">
        <f t="shared" si="12"/>
        <v>0</v>
      </c>
      <c r="W34" s="62">
        <f t="shared" si="12"/>
        <v>0</v>
      </c>
      <c r="X34" s="62">
        <f t="shared" si="12"/>
        <v>0</v>
      </c>
      <c r="Y34" s="62">
        <f t="shared" si="12"/>
        <v>0</v>
      </c>
      <c r="Z34" s="62">
        <f t="shared" si="12"/>
        <v>0</v>
      </c>
      <c r="AA34" s="62">
        <f t="shared" si="7"/>
        <v>0</v>
      </c>
      <c r="AE34" s="103">
        <v>2035</v>
      </c>
      <c r="AF34" s="62">
        <f>'Future Type Share'!U36*('Future EndUse Share'!Z97+'Future EndUse Share'!AB97+'Future EndUse Share'!AC97+'Future EndUse Share'!AD97)</f>
        <v>10463.290519563096</v>
      </c>
      <c r="AG34" s="62">
        <f>'Future Type Share'!S36*0.5*('Future EndUse Share'!O97+'Future EndUse Share'!Q97+'Future EndUse Share'!R97+'Future EndUse Share'!S97)</f>
        <v>0</v>
      </c>
      <c r="AH34" s="62">
        <f>'Future Type Share'!Q36*('Future EndUse Share'!O97+'Future EndUse Share'!Q97+'Future EndUse Share'!R97+'Future EndUse Share'!S97)</f>
        <v>6714.5365722971737</v>
      </c>
      <c r="AI34" s="103">
        <f t="shared" si="3"/>
        <v>0</v>
      </c>
      <c r="AJ34" s="103">
        <f t="shared" si="15"/>
        <v>0</v>
      </c>
      <c r="AK34" s="103">
        <f t="shared" si="15"/>
        <v>0</v>
      </c>
      <c r="AO34" s="103">
        <v>2035</v>
      </c>
      <c r="AP34" s="62">
        <f>'Future Type Share'!U36*('Future EndUse Share'!AE97)</f>
        <v>2405.8961883816796</v>
      </c>
      <c r="AQ34" s="62">
        <f>'Future Type Share'!S36*0.5*('Future EndUse Share'!T97)</f>
        <v>0</v>
      </c>
      <c r="AR34" s="62">
        <f>'Future Type Share'!Q36*'Future EndUse Share'!T97</f>
        <v>20.00236559464188</v>
      </c>
      <c r="AS34" s="103">
        <f t="shared" si="4"/>
        <v>0</v>
      </c>
      <c r="AT34" s="103">
        <f t="shared" si="16"/>
        <v>0</v>
      </c>
      <c r="AU34" s="103">
        <f t="shared" si="16"/>
        <v>0</v>
      </c>
    </row>
    <row r="35" spans="1:47">
      <c r="A35" s="103">
        <v>2036</v>
      </c>
      <c r="B35" s="62">
        <f>'Future Type Share'!U37*'Future EndUse Share'!AA98</f>
        <v>1656.3561139314916</v>
      </c>
      <c r="C35" s="62">
        <f>'Future Type Share'!Q37*0.5*'Future EndUse Share'!P98</f>
        <v>0</v>
      </c>
      <c r="D35" s="62">
        <f>'Future Type Share'!Q37*'Future EndUse Share'!P98</f>
        <v>0</v>
      </c>
      <c r="E35" s="62">
        <f t="shared" si="5"/>
        <v>0</v>
      </c>
      <c r="F35" s="103">
        <f t="shared" si="13"/>
        <v>0</v>
      </c>
      <c r="G35" s="103">
        <f t="shared" si="13"/>
        <v>0</v>
      </c>
      <c r="K35" s="103">
        <v>2036</v>
      </c>
      <c r="L35" s="62">
        <f>'Future Type Share'!U37*'Future EndUse Share'!Y98</f>
        <v>9716.4066363116308</v>
      </c>
      <c r="M35" s="62">
        <f>'Future Type Share'!S37*0.5*'Future EndUse Share'!N98</f>
        <v>0</v>
      </c>
      <c r="N35" s="62">
        <f>'Future Type Share'!Q37*'Future EndUse Share'!N98</f>
        <v>0</v>
      </c>
      <c r="O35" s="62">
        <f t="shared" si="14"/>
        <v>0</v>
      </c>
      <c r="P35" s="62">
        <f t="shared" si="14"/>
        <v>0</v>
      </c>
      <c r="Q35" s="62">
        <f t="shared" si="14"/>
        <v>0</v>
      </c>
      <c r="U35" s="103">
        <v>2036</v>
      </c>
      <c r="V35" s="62">
        <f t="shared" si="12"/>
        <v>0</v>
      </c>
      <c r="W35" s="62">
        <f t="shared" si="12"/>
        <v>0</v>
      </c>
      <c r="X35" s="62">
        <f t="shared" si="12"/>
        <v>0</v>
      </c>
      <c r="Y35" s="62">
        <f t="shared" si="12"/>
        <v>0</v>
      </c>
      <c r="Z35" s="62">
        <f t="shared" si="12"/>
        <v>0</v>
      </c>
      <c r="AA35" s="62">
        <f t="shared" si="7"/>
        <v>0</v>
      </c>
      <c r="AE35" s="103">
        <v>2036</v>
      </c>
      <c r="AF35" s="62">
        <f>'Future Type Share'!U37*('Future EndUse Share'!Z98+'Future EndUse Share'!AB98+'Future EndUse Share'!AC98+'Future EndUse Share'!AD98)</f>
        <v>10432.472570240679</v>
      </c>
      <c r="AG35" s="62">
        <f>'Future Type Share'!S37*0.5*('Future EndUse Share'!O98+'Future EndUse Share'!Q98+'Future EndUse Share'!R98+'Future EndUse Share'!S98)</f>
        <v>0</v>
      </c>
      <c r="AH35" s="62">
        <f>'Future Type Share'!Q37*('Future EndUse Share'!O98+'Future EndUse Share'!Q98+'Future EndUse Share'!R98+'Future EndUse Share'!S98)</f>
        <v>6598.095367340793</v>
      </c>
      <c r="AI35" s="103">
        <f t="shared" si="3"/>
        <v>0</v>
      </c>
      <c r="AJ35" s="103">
        <f t="shared" si="15"/>
        <v>0</v>
      </c>
      <c r="AK35" s="103">
        <f t="shared" si="15"/>
        <v>0</v>
      </c>
      <c r="AO35" s="103">
        <v>2036</v>
      </c>
      <c r="AP35" s="62">
        <f>'Future Type Share'!U37*('Future EndUse Share'!AE98)</f>
        <v>2422.3934686505595</v>
      </c>
      <c r="AQ35" s="62">
        <f>'Future Type Share'!S37*0.5*('Future EndUse Share'!T98)</f>
        <v>0</v>
      </c>
      <c r="AR35" s="62">
        <f>'Future Type Share'!Q37*'Future EndUse Share'!T98</f>
        <v>19.636570431994919</v>
      </c>
      <c r="AS35" s="103">
        <f t="shared" si="4"/>
        <v>0</v>
      </c>
      <c r="AT35" s="103">
        <f t="shared" si="16"/>
        <v>0</v>
      </c>
      <c r="AU35" s="103">
        <f t="shared" si="16"/>
        <v>0</v>
      </c>
    </row>
    <row r="36" spans="1:47">
      <c r="A36" s="103">
        <v>2037</v>
      </c>
      <c r="B36" s="62">
        <f>'Future Type Share'!U38*'Future EndUse Share'!AA99</f>
        <v>1658.4588549758848</v>
      </c>
      <c r="C36" s="62">
        <f>'Future Type Share'!Q38*0.5*'Future EndUse Share'!P99</f>
        <v>0</v>
      </c>
      <c r="D36" s="62">
        <f>'Future Type Share'!Q38*'Future EndUse Share'!P99</f>
        <v>0</v>
      </c>
      <c r="E36" s="62">
        <f t="shared" si="5"/>
        <v>0</v>
      </c>
      <c r="F36" s="103">
        <f t="shared" si="13"/>
        <v>0</v>
      </c>
      <c r="G36" s="103">
        <f t="shared" si="13"/>
        <v>0</v>
      </c>
      <c r="K36" s="103">
        <v>2037</v>
      </c>
      <c r="L36" s="62">
        <f>'Future Type Share'!U38*'Future EndUse Share'!Y99</f>
        <v>9895.5436277945064</v>
      </c>
      <c r="M36" s="62">
        <f>'Future Type Share'!S38*0.5*'Future EndUse Share'!N99</f>
        <v>0</v>
      </c>
      <c r="N36" s="62">
        <f>'Future Type Share'!Q38*'Future EndUse Share'!N99</f>
        <v>0</v>
      </c>
      <c r="O36" s="62">
        <f t="shared" si="14"/>
        <v>0</v>
      </c>
      <c r="P36" s="62">
        <f t="shared" si="14"/>
        <v>0</v>
      </c>
      <c r="Q36" s="62">
        <f t="shared" si="14"/>
        <v>0</v>
      </c>
      <c r="U36" s="103">
        <v>2037</v>
      </c>
      <c r="V36" s="62">
        <f t="shared" si="12"/>
        <v>0</v>
      </c>
      <c r="W36" s="62">
        <f t="shared" si="12"/>
        <v>0</v>
      </c>
      <c r="X36" s="62">
        <f t="shared" si="12"/>
        <v>0</v>
      </c>
      <c r="Y36" s="62">
        <f t="shared" si="12"/>
        <v>0</v>
      </c>
      <c r="Z36" s="62">
        <f t="shared" si="12"/>
        <v>0</v>
      </c>
      <c r="AA36" s="62">
        <f t="shared" si="7"/>
        <v>0</v>
      </c>
      <c r="AE36" s="103">
        <v>2037</v>
      </c>
      <c r="AF36" s="62">
        <f>'Future Type Share'!U38*('Future EndUse Share'!Z99+'Future EndUse Share'!AB99+'Future EndUse Share'!AC99+'Future EndUse Share'!AD99)</f>
        <v>10395.908258133015</v>
      </c>
      <c r="AG36" s="62">
        <f>'Future Type Share'!S38*0.5*('Future EndUse Share'!O99+'Future EndUse Share'!Q99+'Future EndUse Share'!R99+'Future EndUse Share'!S99)</f>
        <v>0</v>
      </c>
      <c r="AH36" s="62">
        <f>'Future Type Share'!Q38*('Future EndUse Share'!O99+'Future EndUse Share'!Q99+'Future EndUse Share'!R99+'Future EndUse Share'!S99)</f>
        <v>6477.7199479482952</v>
      </c>
      <c r="AI36" s="103">
        <f t="shared" si="3"/>
        <v>0</v>
      </c>
      <c r="AJ36" s="103">
        <f t="shared" si="15"/>
        <v>0</v>
      </c>
      <c r="AK36" s="103">
        <f t="shared" si="15"/>
        <v>0</v>
      </c>
      <c r="AO36" s="103">
        <v>2037</v>
      </c>
      <c r="AP36" s="62">
        <f>'Future Type Share'!U38*('Future EndUse Share'!AE99)</f>
        <v>2437.6284209671398</v>
      </c>
      <c r="AQ36" s="62">
        <f>'Future Type Share'!S38*0.5*('Future EndUse Share'!T99)</f>
        <v>0</v>
      </c>
      <c r="AR36" s="62">
        <f>'Future Type Share'!Q38*'Future EndUse Share'!T99</f>
        <v>19.259745877194185</v>
      </c>
      <c r="AS36" s="103">
        <f t="shared" si="4"/>
        <v>0</v>
      </c>
      <c r="AT36" s="103">
        <f t="shared" si="16"/>
        <v>0</v>
      </c>
      <c r="AU36" s="103">
        <f t="shared" si="16"/>
        <v>0</v>
      </c>
    </row>
    <row r="37" spans="1:47">
      <c r="A37" s="103">
        <v>2038</v>
      </c>
      <c r="B37" s="62">
        <f>'Future Type Share'!U39*'Future EndUse Share'!AA100</f>
        <v>1659.5545868191775</v>
      </c>
      <c r="C37" s="62">
        <f>'Future Type Share'!Q39*0.5*'Future EndUse Share'!P100</f>
        <v>0</v>
      </c>
      <c r="D37" s="62">
        <f>'Future Type Share'!Q39*'Future EndUse Share'!P100</f>
        <v>0</v>
      </c>
      <c r="E37" s="62">
        <f t="shared" si="5"/>
        <v>0</v>
      </c>
      <c r="F37" s="103">
        <f t="shared" si="13"/>
        <v>0</v>
      </c>
      <c r="G37" s="103">
        <f t="shared" si="13"/>
        <v>0</v>
      </c>
      <c r="K37" s="103">
        <v>2038</v>
      </c>
      <c r="L37" s="62">
        <f>'Future Type Share'!U39*'Future EndUse Share'!Y100</f>
        <v>10068.993778340244</v>
      </c>
      <c r="M37" s="62">
        <f>'Future Type Share'!S39*0.5*'Future EndUse Share'!N100</f>
        <v>0</v>
      </c>
      <c r="N37" s="62">
        <f>'Future Type Share'!Q39*'Future EndUse Share'!N100</f>
        <v>0</v>
      </c>
      <c r="O37" s="62">
        <f t="shared" si="14"/>
        <v>0</v>
      </c>
      <c r="P37" s="62">
        <f t="shared" si="14"/>
        <v>0</v>
      </c>
      <c r="Q37" s="62">
        <f t="shared" si="14"/>
        <v>0</v>
      </c>
      <c r="U37" s="103">
        <v>2038</v>
      </c>
      <c r="V37" s="62">
        <f t="shared" si="12"/>
        <v>0</v>
      </c>
      <c r="W37" s="62">
        <f t="shared" si="12"/>
        <v>0</v>
      </c>
      <c r="X37" s="62">
        <f t="shared" si="12"/>
        <v>0</v>
      </c>
      <c r="Y37" s="62">
        <f t="shared" si="12"/>
        <v>0</v>
      </c>
      <c r="Z37" s="62">
        <f t="shared" si="12"/>
        <v>0</v>
      </c>
      <c r="AA37" s="62">
        <f t="shared" si="7"/>
        <v>0</v>
      </c>
      <c r="AE37" s="103">
        <v>2038</v>
      </c>
      <c r="AF37" s="62">
        <f>'Future Type Share'!U39*('Future EndUse Share'!Z100+'Future EndUse Share'!AB100+'Future EndUse Share'!AC100+'Future EndUse Share'!AD100)</f>
        <v>10352.936271940782</v>
      </c>
      <c r="AG37" s="62">
        <f>'Future Type Share'!S39*0.5*('Future EndUse Share'!O100+'Future EndUse Share'!Q100+'Future EndUse Share'!R100+'Future EndUse Share'!S100)</f>
        <v>0</v>
      </c>
      <c r="AH37" s="62">
        <f>'Future Type Share'!Q39*('Future EndUse Share'!O100+'Future EndUse Share'!Q100+'Future EndUse Share'!R100+'Future EndUse Share'!S100)</f>
        <v>6353.1622394673605</v>
      </c>
      <c r="AI37" s="103">
        <f t="shared" si="3"/>
        <v>0</v>
      </c>
      <c r="AJ37" s="103">
        <f t="shared" si="15"/>
        <v>0</v>
      </c>
      <c r="AK37" s="103">
        <f t="shared" si="15"/>
        <v>0</v>
      </c>
      <c r="AO37" s="103">
        <v>2038</v>
      </c>
      <c r="AP37" s="62">
        <f>'Future Type Share'!U39*('Future EndUse Share'!AE100)</f>
        <v>2451.4059698179562</v>
      </c>
      <c r="AQ37" s="62">
        <f>'Future Type Share'!S39*0.5*('Future EndUse Share'!T100)</f>
        <v>0</v>
      </c>
      <c r="AR37" s="62">
        <f>'Future Type Share'!Q39*'Future EndUse Share'!T100</f>
        <v>18.871188898431924</v>
      </c>
      <c r="AS37" s="103">
        <f t="shared" si="4"/>
        <v>0</v>
      </c>
      <c r="AT37" s="103">
        <f t="shared" si="16"/>
        <v>0</v>
      </c>
      <c r="AU37" s="103">
        <f t="shared" si="16"/>
        <v>0</v>
      </c>
    </row>
    <row r="38" spans="1:47">
      <c r="A38" s="103">
        <v>2039</v>
      </c>
      <c r="B38" s="62">
        <f>'Future Type Share'!U40*'Future EndUse Share'!AA101</f>
        <v>1659.4449985080907</v>
      </c>
      <c r="C38" s="62">
        <f>'Future Type Share'!Q40*0.5*'Future EndUse Share'!P101</f>
        <v>0</v>
      </c>
      <c r="D38" s="62">
        <f>'Future Type Share'!Q40*'Future EndUse Share'!P101</f>
        <v>0</v>
      </c>
      <c r="E38" s="62">
        <f t="shared" si="5"/>
        <v>0</v>
      </c>
      <c r="F38" s="103">
        <f t="shared" si="13"/>
        <v>0</v>
      </c>
      <c r="G38" s="103">
        <f t="shared" si="13"/>
        <v>0</v>
      </c>
      <c r="K38" s="103">
        <v>2039</v>
      </c>
      <c r="L38" s="62">
        <f>'Future Type Share'!U40*'Future EndUse Share'!Y101</f>
        <v>10235.2300886132</v>
      </c>
      <c r="M38" s="62">
        <f>'Future Type Share'!S40*0.5*'Future EndUse Share'!N101</f>
        <v>0</v>
      </c>
      <c r="N38" s="62">
        <f>'Future Type Share'!Q40*'Future EndUse Share'!N101</f>
        <v>0</v>
      </c>
      <c r="O38" s="62">
        <f t="shared" si="14"/>
        <v>0</v>
      </c>
      <c r="P38" s="62">
        <f t="shared" si="14"/>
        <v>0</v>
      </c>
      <c r="Q38" s="62">
        <f t="shared" si="14"/>
        <v>0</v>
      </c>
      <c r="U38" s="103">
        <v>2039</v>
      </c>
      <c r="V38" s="62">
        <f t="shared" si="12"/>
        <v>0</v>
      </c>
      <c r="W38" s="62">
        <f t="shared" si="12"/>
        <v>0</v>
      </c>
      <c r="X38" s="62">
        <f t="shared" si="12"/>
        <v>0</v>
      </c>
      <c r="Y38" s="62">
        <f t="shared" si="12"/>
        <v>0</v>
      </c>
      <c r="Z38" s="62">
        <f t="shared" si="12"/>
        <v>0</v>
      </c>
      <c r="AA38" s="62">
        <f t="shared" si="7"/>
        <v>0</v>
      </c>
      <c r="AE38" s="103">
        <v>2039</v>
      </c>
      <c r="AF38" s="62">
        <f>'Future Type Share'!U40*('Future EndUse Share'!Z101+'Future EndUse Share'!AB101+'Future EndUse Share'!AC101+'Future EndUse Share'!AD101)</f>
        <v>10302.416158077409</v>
      </c>
      <c r="AG38" s="62">
        <f>'Future Type Share'!S40*0.5*('Future EndUse Share'!O101+'Future EndUse Share'!Q101+'Future EndUse Share'!R101+'Future EndUse Share'!S101)</f>
        <v>0</v>
      </c>
      <c r="AH38" s="62">
        <f>'Future Type Share'!Q40*('Future EndUse Share'!O101+'Future EndUse Share'!Q101+'Future EndUse Share'!R101+'Future EndUse Share'!S101)</f>
        <v>6223.9129893317577</v>
      </c>
      <c r="AI38" s="103">
        <f t="shared" si="3"/>
        <v>0</v>
      </c>
      <c r="AJ38" s="103">
        <f t="shared" si="15"/>
        <v>0</v>
      </c>
      <c r="AK38" s="103">
        <f t="shared" si="15"/>
        <v>0</v>
      </c>
      <c r="AO38" s="103">
        <v>2039</v>
      </c>
      <c r="AP38" s="62">
        <f>'Future Type Share'!U40*('Future EndUse Share'!AE101)</f>
        <v>2463.4095768327261</v>
      </c>
      <c r="AQ38" s="62">
        <f>'Future Type Share'!S40*0.5*('Future EndUse Share'!T101)</f>
        <v>0</v>
      </c>
      <c r="AR38" s="62">
        <f>'Future Type Share'!Q40*'Future EndUse Share'!T101</f>
        <v>18.469424265134126</v>
      </c>
      <c r="AS38" s="103">
        <f t="shared" si="4"/>
        <v>0</v>
      </c>
      <c r="AT38" s="103">
        <f t="shared" si="16"/>
        <v>0</v>
      </c>
      <c r="AU38" s="103">
        <f t="shared" si="16"/>
        <v>0</v>
      </c>
    </row>
    <row r="39" spans="1:47">
      <c r="A39" s="103">
        <v>2040</v>
      </c>
      <c r="B39" s="62">
        <f>'Future Type Share'!U41*'Future EndUse Share'!AA102</f>
        <v>1658.3180754446064</v>
      </c>
      <c r="C39" s="62">
        <f>'Future Type Share'!Q41*0.5*'Future EndUse Share'!P102</f>
        <v>0</v>
      </c>
      <c r="D39" s="62">
        <f>'Future Type Share'!Q41*'Future EndUse Share'!P102</f>
        <v>0</v>
      </c>
      <c r="E39" s="62">
        <f t="shared" si="5"/>
        <v>0</v>
      </c>
      <c r="F39" s="103">
        <f t="shared" si="13"/>
        <v>0</v>
      </c>
      <c r="G39" s="103">
        <f t="shared" si="13"/>
        <v>0</v>
      </c>
      <c r="K39" s="103">
        <v>2040</v>
      </c>
      <c r="L39" s="62">
        <f>'Future Type Share'!U41*'Future EndUse Share'!Y102</f>
        <v>10395.067253071076</v>
      </c>
      <c r="M39" s="62">
        <f>'Future Type Share'!S41*0.5*'Future EndUse Share'!N102</f>
        <v>0</v>
      </c>
      <c r="N39" s="62">
        <f>'Future Type Share'!Q41*'Future EndUse Share'!N102</f>
        <v>0</v>
      </c>
      <c r="O39" s="62">
        <f t="shared" si="14"/>
        <v>0</v>
      </c>
      <c r="P39" s="62">
        <f t="shared" si="14"/>
        <v>0</v>
      </c>
      <c r="Q39" s="62">
        <f t="shared" si="14"/>
        <v>0</v>
      </c>
      <c r="U39" s="103">
        <v>2040</v>
      </c>
      <c r="V39" s="62">
        <f t="shared" si="12"/>
        <v>0</v>
      </c>
      <c r="W39" s="62">
        <f t="shared" si="12"/>
        <v>0</v>
      </c>
      <c r="X39" s="62">
        <f t="shared" si="12"/>
        <v>0</v>
      </c>
      <c r="Y39" s="62">
        <f t="shared" si="12"/>
        <v>0</v>
      </c>
      <c r="Z39" s="62">
        <f t="shared" si="12"/>
        <v>0</v>
      </c>
      <c r="AA39" s="62">
        <f t="shared" si="7"/>
        <v>0</v>
      </c>
      <c r="AE39" s="103">
        <v>2040</v>
      </c>
      <c r="AF39" s="62">
        <f>'Future Type Share'!U41*('Future EndUse Share'!Z102+'Future EndUse Share'!AB102+'Future EndUse Share'!AC102+'Future EndUse Share'!AD102)</f>
        <v>10245.617944704989</v>
      </c>
      <c r="AG39" s="62">
        <f>'Future Type Share'!S41*0.5*('Future EndUse Share'!O102+'Future EndUse Share'!Q102+'Future EndUse Share'!R102+'Future EndUse Share'!S102)</f>
        <v>0</v>
      </c>
      <c r="AH39" s="62">
        <f>'Future Type Share'!Q41*('Future EndUse Share'!O102+'Future EndUse Share'!Q102+'Future EndUse Share'!R102+'Future EndUse Share'!S102)</f>
        <v>6090.9433836666039</v>
      </c>
      <c r="AI39" s="103">
        <f t="shared" si="3"/>
        <v>0</v>
      </c>
      <c r="AJ39" s="103">
        <f t="shared" si="15"/>
        <v>0</v>
      </c>
      <c r="AK39" s="103">
        <f t="shared" si="15"/>
        <v>0</v>
      </c>
      <c r="AO39" s="103">
        <v>2040</v>
      </c>
      <c r="AP39" s="62">
        <f>'Future Type Share'!U41*('Future EndUse Share'!AE102)</f>
        <v>2473.8931715868684</v>
      </c>
      <c r="AQ39" s="62">
        <f>'Future Type Share'!S41*0.5*('Future EndUse Share'!T102)</f>
        <v>0</v>
      </c>
      <c r="AR39" s="62">
        <f>'Future Type Share'!Q41*'Future EndUse Share'!T102</f>
        <v>18.057371535214578</v>
      </c>
      <c r="AS39" s="103">
        <f t="shared" si="4"/>
        <v>0</v>
      </c>
      <c r="AT39" s="103">
        <f t="shared" si="16"/>
        <v>0</v>
      </c>
      <c r="AU39" s="103">
        <f t="shared" si="16"/>
        <v>0</v>
      </c>
    </row>
    <row r="40" spans="1:47">
      <c r="A40" s="103">
        <v>2041</v>
      </c>
      <c r="B40" s="62">
        <f>'Future Type Share'!U42*'Future EndUse Share'!AA103</f>
        <v>1656.0587660362617</v>
      </c>
      <c r="C40" s="62">
        <f>'Future Type Share'!Q42*0.5*'Future EndUse Share'!P103</f>
        <v>0</v>
      </c>
      <c r="D40" s="62">
        <f>'Future Type Share'!Q42*'Future EndUse Share'!P103</f>
        <v>0</v>
      </c>
      <c r="E40" s="62">
        <f t="shared" si="5"/>
        <v>0</v>
      </c>
      <c r="F40" s="103">
        <f t="shared" si="13"/>
        <v>0</v>
      </c>
      <c r="G40" s="103">
        <f t="shared" si="13"/>
        <v>0</v>
      </c>
      <c r="K40" s="103">
        <v>2041</v>
      </c>
      <c r="L40" s="62">
        <f>'Future Type Share'!U42*'Future EndUse Share'!Y103</f>
        <v>10547.465546240061</v>
      </c>
      <c r="M40" s="62">
        <f>'Future Type Share'!S42*0.5*'Future EndUse Share'!N103</f>
        <v>0</v>
      </c>
      <c r="N40" s="62">
        <f>'Future Type Share'!Q42*'Future EndUse Share'!N103</f>
        <v>0</v>
      </c>
      <c r="O40" s="62">
        <f t="shared" si="14"/>
        <v>0</v>
      </c>
      <c r="P40" s="62">
        <f t="shared" si="14"/>
        <v>0</v>
      </c>
      <c r="Q40" s="62">
        <f t="shared" si="14"/>
        <v>0</v>
      </c>
      <c r="U40" s="103">
        <v>2041</v>
      </c>
      <c r="V40" s="62">
        <f t="shared" si="12"/>
        <v>0</v>
      </c>
      <c r="W40" s="62">
        <f t="shared" si="12"/>
        <v>0</v>
      </c>
      <c r="X40" s="62">
        <f t="shared" si="12"/>
        <v>0</v>
      </c>
      <c r="Y40" s="62">
        <f t="shared" si="12"/>
        <v>0</v>
      </c>
      <c r="Z40" s="62">
        <f t="shared" si="12"/>
        <v>0</v>
      </c>
      <c r="AA40" s="62">
        <f t="shared" si="7"/>
        <v>0</v>
      </c>
      <c r="AE40" s="103">
        <v>2041</v>
      </c>
      <c r="AF40" s="62">
        <f>'Future Type Share'!U42*('Future EndUse Share'!Z103+'Future EndUse Share'!AB103+'Future EndUse Share'!AC103+'Future EndUse Share'!AD103)</f>
        <v>10181.925916470669</v>
      </c>
      <c r="AG40" s="62">
        <f>'Future Type Share'!S42*0.5*('Future EndUse Share'!O103+'Future EndUse Share'!Q103+'Future EndUse Share'!R103+'Future EndUse Share'!S103)</f>
        <v>0</v>
      </c>
      <c r="AH40" s="62">
        <f>'Future Type Share'!Q42*('Future EndUse Share'!O103+'Future EndUse Share'!Q103+'Future EndUse Share'!R103+'Future EndUse Share'!S103)</f>
        <v>5954.0767169331957</v>
      </c>
      <c r="AI40" s="103">
        <f t="shared" si="3"/>
        <v>0</v>
      </c>
      <c r="AJ40" s="103">
        <f t="shared" si="15"/>
        <v>0</v>
      </c>
      <c r="AK40" s="103">
        <f t="shared" si="15"/>
        <v>0</v>
      </c>
      <c r="AO40" s="103">
        <v>2041</v>
      </c>
      <c r="AP40" s="62">
        <f>'Future Type Share'!U42*('Future EndUse Share'!AE103)</f>
        <v>2482.661904217809</v>
      </c>
      <c r="AQ40" s="62">
        <f>'Future Type Share'!S42*0.5*('Future EndUse Share'!T103)</f>
        <v>0</v>
      </c>
      <c r="AR40" s="62">
        <f>'Future Type Share'!Q42*'Future EndUse Share'!T103</f>
        <v>17.634539348117226</v>
      </c>
      <c r="AS40" s="103">
        <f t="shared" si="4"/>
        <v>0</v>
      </c>
      <c r="AT40" s="103">
        <f t="shared" si="16"/>
        <v>0</v>
      </c>
      <c r="AU40" s="103">
        <f t="shared" si="16"/>
        <v>0</v>
      </c>
    </row>
    <row r="41" spans="1:47">
      <c r="A41" s="103">
        <v>2042</v>
      </c>
      <c r="B41" s="62">
        <f>'Future Type Share'!U43*'Future EndUse Share'!AA104</f>
        <v>1652.7751863898029</v>
      </c>
      <c r="C41" s="62">
        <f>'Future Type Share'!Q43*0.5*'Future EndUse Share'!P104</f>
        <v>0</v>
      </c>
      <c r="D41" s="62">
        <f>'Future Type Share'!Q43*'Future EndUse Share'!P104</f>
        <v>0</v>
      </c>
      <c r="E41" s="62">
        <f t="shared" si="5"/>
        <v>0</v>
      </c>
      <c r="F41" s="103">
        <f t="shared" si="13"/>
        <v>0</v>
      </c>
      <c r="G41" s="103">
        <f t="shared" si="13"/>
        <v>0</v>
      </c>
      <c r="K41" s="103">
        <v>2042</v>
      </c>
      <c r="L41" s="62">
        <f>'Future Type Share'!U43*'Future EndUse Share'!Y104</f>
        <v>10692.782760870552</v>
      </c>
      <c r="M41" s="62">
        <f>'Future Type Share'!S43*0.5*'Future EndUse Share'!N104</f>
        <v>0</v>
      </c>
      <c r="N41" s="62">
        <f>'Future Type Share'!Q43*'Future EndUse Share'!N104</f>
        <v>0</v>
      </c>
      <c r="O41" s="62">
        <f t="shared" si="14"/>
        <v>0</v>
      </c>
      <c r="P41" s="62">
        <f t="shared" si="14"/>
        <v>0</v>
      </c>
      <c r="Q41" s="62">
        <f t="shared" si="14"/>
        <v>0</v>
      </c>
      <c r="U41" s="103">
        <v>2042</v>
      </c>
      <c r="V41" s="62">
        <f t="shared" si="12"/>
        <v>0</v>
      </c>
      <c r="W41" s="62">
        <f t="shared" si="12"/>
        <v>0</v>
      </c>
      <c r="X41" s="62">
        <f t="shared" si="12"/>
        <v>0</v>
      </c>
      <c r="Y41" s="62">
        <f t="shared" si="12"/>
        <v>0</v>
      </c>
      <c r="Z41" s="62">
        <f t="shared" si="12"/>
        <v>0</v>
      </c>
      <c r="AA41" s="62">
        <f t="shared" si="7"/>
        <v>0</v>
      </c>
      <c r="AE41" s="103">
        <v>2042</v>
      </c>
      <c r="AF41" s="62">
        <f>'Future Type Share'!U43*('Future EndUse Share'!Z104+'Future EndUse Share'!AB104+'Future EndUse Share'!AC104+'Future EndUse Share'!AD104)</f>
        <v>10112.103572986176</v>
      </c>
      <c r="AG41" s="62">
        <f>'Future Type Share'!S43*0.5*('Future EndUse Share'!O104+'Future EndUse Share'!Q104+'Future EndUse Share'!R104+'Future EndUse Share'!S104)</f>
        <v>0</v>
      </c>
      <c r="AH41" s="62">
        <f>'Future Type Share'!Q43*('Future EndUse Share'!O104+'Future EndUse Share'!Q104+'Future EndUse Share'!R104+'Future EndUse Share'!S104)</f>
        <v>5813.9570503141504</v>
      </c>
      <c r="AI41" s="103">
        <f t="shared" si="3"/>
        <v>0</v>
      </c>
      <c r="AJ41" s="103">
        <f t="shared" si="15"/>
        <v>0</v>
      </c>
      <c r="AK41" s="103">
        <f t="shared" si="15"/>
        <v>0</v>
      </c>
      <c r="AO41" s="103">
        <v>2042</v>
      </c>
      <c r="AP41" s="62">
        <f>'Future Type Share'!U43*('Future EndUse Share'!AE104)</f>
        <v>2489.8537494953898</v>
      </c>
      <c r="AQ41" s="62">
        <f>'Future Type Share'!S43*0.5*('Future EndUse Share'!T104)</f>
        <v>0</v>
      </c>
      <c r="AR41" s="62">
        <f>'Future Type Share'!Q43*'Future EndUse Share'!T104</f>
        <v>17.202866929271536</v>
      </c>
      <c r="AS41" s="103">
        <f t="shared" si="4"/>
        <v>0</v>
      </c>
      <c r="AT41" s="103">
        <f t="shared" si="16"/>
        <v>0</v>
      </c>
      <c r="AU41" s="103">
        <f t="shared" si="16"/>
        <v>0</v>
      </c>
    </row>
    <row r="42" spans="1:47">
      <c r="A42" s="103">
        <v>2043</v>
      </c>
      <c r="B42" s="62">
        <f>'Future Type Share'!U44*'Future EndUse Share'!AA105</f>
        <v>1648.7959840092626</v>
      </c>
      <c r="C42" s="62">
        <f>'Future Type Share'!Q44*0.5*'Future EndUse Share'!P105</f>
        <v>0</v>
      </c>
      <c r="D42" s="62">
        <f>'Future Type Share'!Q44*'Future EndUse Share'!P105</f>
        <v>0</v>
      </c>
      <c r="E42" s="62">
        <f t="shared" si="5"/>
        <v>0</v>
      </c>
      <c r="F42" s="103">
        <f t="shared" si="13"/>
        <v>0</v>
      </c>
      <c r="G42" s="103">
        <f t="shared" si="13"/>
        <v>0</v>
      </c>
      <c r="K42" s="103">
        <v>2043</v>
      </c>
      <c r="L42" s="62">
        <f>'Future Type Share'!U44*'Future EndUse Share'!Y105</f>
        <v>10832.869114147008</v>
      </c>
      <c r="M42" s="62">
        <f>'Future Type Share'!S44*0.5*'Future EndUse Share'!N105</f>
        <v>0</v>
      </c>
      <c r="N42" s="62">
        <f>'Future Type Share'!Q44*'Future EndUse Share'!N105</f>
        <v>0</v>
      </c>
      <c r="O42" s="62">
        <f t="shared" si="14"/>
        <v>0</v>
      </c>
      <c r="P42" s="62">
        <f t="shared" si="14"/>
        <v>0</v>
      </c>
      <c r="Q42" s="62">
        <f t="shared" si="14"/>
        <v>0</v>
      </c>
      <c r="U42" s="103">
        <v>2043</v>
      </c>
      <c r="V42" s="62">
        <f t="shared" si="12"/>
        <v>0</v>
      </c>
      <c r="W42" s="62">
        <f t="shared" si="12"/>
        <v>0</v>
      </c>
      <c r="X42" s="62">
        <f t="shared" si="12"/>
        <v>0</v>
      </c>
      <c r="Y42" s="62">
        <f t="shared" si="12"/>
        <v>0</v>
      </c>
      <c r="Z42" s="62">
        <f t="shared" si="12"/>
        <v>0</v>
      </c>
      <c r="AA42" s="62">
        <f t="shared" si="7"/>
        <v>0</v>
      </c>
      <c r="AE42" s="103">
        <v>2043</v>
      </c>
      <c r="AF42" s="62">
        <f>'Future Type Share'!U44*('Future EndUse Share'!Z105+'Future EndUse Share'!AB105+'Future EndUse Share'!AC105+'Future EndUse Share'!AD105)</f>
        <v>10038.244069026794</v>
      </c>
      <c r="AG42" s="62">
        <f>'Future Type Share'!S44*0.5*('Future EndUse Share'!O105+'Future EndUse Share'!Q105+'Future EndUse Share'!R105+'Future EndUse Share'!S105)</f>
        <v>0</v>
      </c>
      <c r="AH42" s="62">
        <f>'Future Type Share'!Q44*('Future EndUse Share'!O105+'Future EndUse Share'!Q105+'Future EndUse Share'!R105+'Future EndUse Share'!S105)</f>
        <v>5671.9535139589225</v>
      </c>
      <c r="AI42" s="103">
        <f t="shared" si="3"/>
        <v>0</v>
      </c>
      <c r="AJ42" s="103">
        <f t="shared" si="15"/>
        <v>0</v>
      </c>
      <c r="AK42" s="103">
        <f t="shared" si="15"/>
        <v>0</v>
      </c>
      <c r="AO42" s="103">
        <v>2043</v>
      </c>
      <c r="AP42" s="62">
        <f>'Future Type Share'!U44*('Future EndUse Share'!AE105)</f>
        <v>2495.9436947980716</v>
      </c>
      <c r="AQ42" s="62">
        <f>'Future Type Share'!S44*0.5*('Future EndUse Share'!T105)</f>
        <v>0</v>
      </c>
      <c r="AR42" s="62">
        <f>'Future Type Share'!Q44*'Future EndUse Share'!T105</f>
        <v>16.766429437384069</v>
      </c>
      <c r="AS42" s="103">
        <f t="shared" si="4"/>
        <v>0</v>
      </c>
      <c r="AT42" s="103">
        <f t="shared" si="16"/>
        <v>0</v>
      </c>
      <c r="AU42" s="103">
        <f t="shared" si="16"/>
        <v>0</v>
      </c>
    </row>
    <row r="43" spans="1:47">
      <c r="A43" s="103">
        <v>2044</v>
      </c>
      <c r="B43" s="62">
        <f>'Future Type Share'!U45*'Future EndUse Share'!AA106</f>
        <v>1644.0468797917588</v>
      </c>
      <c r="C43" s="62">
        <f>'Future Type Share'!Q45*0.5*'Future EndUse Share'!P106</f>
        <v>0</v>
      </c>
      <c r="D43" s="62">
        <f>'Future Type Share'!Q45*'Future EndUse Share'!P106</f>
        <v>0</v>
      </c>
      <c r="E43" s="62">
        <f t="shared" si="5"/>
        <v>0</v>
      </c>
      <c r="F43" s="103">
        <f t="shared" si="13"/>
        <v>0</v>
      </c>
      <c r="G43" s="103">
        <f t="shared" si="13"/>
        <v>0</v>
      </c>
      <c r="K43" s="103">
        <v>2044</v>
      </c>
      <c r="L43" s="62">
        <f>'Future Type Share'!U45*'Future EndUse Share'!Y106</f>
        <v>10967.019219082486</v>
      </c>
      <c r="M43" s="62">
        <f>'Future Type Share'!S45*0.5*'Future EndUse Share'!N106</f>
        <v>0</v>
      </c>
      <c r="N43" s="62">
        <f>'Future Type Share'!Q45*'Future EndUse Share'!N106</f>
        <v>0</v>
      </c>
      <c r="O43" s="62">
        <f t="shared" si="14"/>
        <v>0</v>
      </c>
      <c r="P43" s="62">
        <f t="shared" si="14"/>
        <v>0</v>
      </c>
      <c r="Q43" s="62">
        <f t="shared" si="14"/>
        <v>0</v>
      </c>
      <c r="U43" s="103">
        <v>2044</v>
      </c>
      <c r="V43" s="62">
        <f t="shared" si="12"/>
        <v>0</v>
      </c>
      <c r="W43" s="62">
        <f t="shared" si="12"/>
        <v>0</v>
      </c>
      <c r="X43" s="62">
        <f t="shared" si="12"/>
        <v>0</v>
      </c>
      <c r="Y43" s="62">
        <f t="shared" si="12"/>
        <v>0</v>
      </c>
      <c r="Z43" s="62">
        <f t="shared" si="12"/>
        <v>0</v>
      </c>
      <c r="AA43" s="62">
        <f t="shared" si="7"/>
        <v>0</v>
      </c>
      <c r="AE43" s="103">
        <v>2044</v>
      </c>
      <c r="AF43" s="62">
        <f>'Future Type Share'!U45*('Future EndUse Share'!Z106+'Future EndUse Share'!AB106+'Future EndUse Share'!AC106+'Future EndUse Share'!AD106)</f>
        <v>9959.9600709748447</v>
      </c>
      <c r="AG43" s="62">
        <f>'Future Type Share'!S45*0.5*('Future EndUse Share'!O106+'Future EndUse Share'!Q106+'Future EndUse Share'!R106+'Future EndUse Share'!S106)</f>
        <v>0</v>
      </c>
      <c r="AH43" s="62">
        <f>'Future Type Share'!Q45*('Future EndUse Share'!O106+'Future EndUse Share'!Q106+'Future EndUse Share'!R106+'Future EndUse Share'!S106)</f>
        <v>5527.9783716187349</v>
      </c>
      <c r="AI43" s="103">
        <f t="shared" si="3"/>
        <v>0</v>
      </c>
      <c r="AJ43" s="103">
        <f t="shared" si="15"/>
        <v>0</v>
      </c>
      <c r="AK43" s="103">
        <f t="shared" si="15"/>
        <v>0</v>
      </c>
      <c r="AO43" s="103">
        <v>2044</v>
      </c>
      <c r="AP43" s="62">
        <f>'Future Type Share'!U45*('Future EndUse Share'!AE106)</f>
        <v>2500.8034622633186</v>
      </c>
      <c r="AQ43" s="62">
        <f>'Future Type Share'!S45*0.5*('Future EndUse Share'!T106)</f>
        <v>0</v>
      </c>
      <c r="AR43" s="62">
        <f>'Future Type Share'!Q45*'Future EndUse Share'!T106</f>
        <v>16.324983972741773</v>
      </c>
      <c r="AS43" s="103">
        <f t="shared" si="4"/>
        <v>0</v>
      </c>
      <c r="AT43" s="103">
        <f t="shared" si="16"/>
        <v>0</v>
      </c>
      <c r="AU43" s="103">
        <f t="shared" si="16"/>
        <v>0</v>
      </c>
    </row>
    <row r="44" spans="1:47">
      <c r="A44" s="103">
        <v>2045</v>
      </c>
      <c r="B44" s="62">
        <f>'Future Type Share'!U46*'Future EndUse Share'!AA107</f>
        <v>1638.3950933405329</v>
      </c>
      <c r="C44" s="62">
        <f>'Future Type Share'!Q46*0.5*'Future EndUse Share'!P107</f>
        <v>0</v>
      </c>
      <c r="D44" s="62">
        <f>'Future Type Share'!Q46*'Future EndUse Share'!P107</f>
        <v>0</v>
      </c>
      <c r="E44" s="62">
        <f t="shared" si="5"/>
        <v>0</v>
      </c>
      <c r="F44" s="103">
        <f t="shared" si="13"/>
        <v>0</v>
      </c>
      <c r="G44" s="103">
        <f t="shared" si="13"/>
        <v>0</v>
      </c>
      <c r="K44" s="103">
        <v>2045</v>
      </c>
      <c r="L44" s="62">
        <f>'Future Type Share'!U46*'Future EndUse Share'!Y107</f>
        <v>11094.101674621901</v>
      </c>
      <c r="M44" s="62">
        <f>'Future Type Share'!S46*0.5*'Future EndUse Share'!N107</f>
        <v>0</v>
      </c>
      <c r="N44" s="62">
        <f>'Future Type Share'!Q46*'Future EndUse Share'!N107</f>
        <v>0</v>
      </c>
      <c r="O44" s="62">
        <f t="shared" si="14"/>
        <v>0</v>
      </c>
      <c r="P44" s="62">
        <f t="shared" si="14"/>
        <v>0</v>
      </c>
      <c r="Q44" s="62">
        <f t="shared" si="14"/>
        <v>0</v>
      </c>
      <c r="U44" s="103">
        <v>2045</v>
      </c>
      <c r="V44" s="62">
        <f t="shared" si="12"/>
        <v>0</v>
      </c>
      <c r="W44" s="62">
        <f t="shared" si="12"/>
        <v>0</v>
      </c>
      <c r="X44" s="62">
        <f t="shared" si="12"/>
        <v>0</v>
      </c>
      <c r="Y44" s="62">
        <f t="shared" si="12"/>
        <v>0</v>
      </c>
      <c r="Z44" s="62">
        <f t="shared" si="12"/>
        <v>0</v>
      </c>
      <c r="AA44" s="62">
        <f t="shared" si="7"/>
        <v>0</v>
      </c>
      <c r="AE44" s="103">
        <v>2045</v>
      </c>
      <c r="AF44" s="62">
        <f>'Future Type Share'!U46*('Future EndUse Share'!Z107+'Future EndUse Share'!AB107+'Future EndUse Share'!AC107+'Future EndUse Share'!AD107)</f>
        <v>9876.520509954662</v>
      </c>
      <c r="AG44" s="62">
        <f>'Future Type Share'!S46*0.5*('Future EndUse Share'!O107+'Future EndUse Share'!Q107+'Future EndUse Share'!R107+'Future EndUse Share'!S107)</f>
        <v>0</v>
      </c>
      <c r="AH44" s="62">
        <f>'Future Type Share'!Q46*('Future EndUse Share'!O107+'Future EndUse Share'!Q107+'Future EndUse Share'!R107+'Future EndUse Share'!S107)</f>
        <v>5381.7747919478998</v>
      </c>
      <c r="AI44" s="103">
        <f t="shared" si="3"/>
        <v>0</v>
      </c>
      <c r="AJ44" s="103">
        <f t="shared" si="15"/>
        <v>0</v>
      </c>
      <c r="AK44" s="103">
        <f t="shared" si="15"/>
        <v>0</v>
      </c>
      <c r="AO44" s="103">
        <v>2045</v>
      </c>
      <c r="AP44" s="62">
        <f>'Future Type Share'!U46*('Future EndUse Share'!AE107)</f>
        <v>2504.2131819005203</v>
      </c>
      <c r="AQ44" s="62">
        <f>'Future Type Share'!S46*0.5*('Future EndUse Share'!T107)</f>
        <v>0</v>
      </c>
      <c r="AR44" s="62">
        <f>'Future Type Share'!Q46*'Future EndUse Share'!T107</f>
        <v>15.877789762411629</v>
      </c>
      <c r="AS44" s="103">
        <f t="shared" si="4"/>
        <v>0</v>
      </c>
      <c r="AT44" s="103">
        <f t="shared" si="16"/>
        <v>0</v>
      </c>
      <c r="AU44" s="103">
        <f t="shared" si="16"/>
        <v>0</v>
      </c>
    </row>
    <row r="45" spans="1:47">
      <c r="A45" s="103">
        <v>2046</v>
      </c>
      <c r="B45" s="62">
        <f>'Future Type Share'!U47*'Future EndUse Share'!AA108</f>
        <v>1631.9288064475554</v>
      </c>
      <c r="C45" s="62">
        <f>'Future Type Share'!Q47*0.5*'Future EndUse Share'!P108</f>
        <v>0</v>
      </c>
      <c r="D45" s="62">
        <f>'Future Type Share'!Q47*'Future EndUse Share'!P108</f>
        <v>0</v>
      </c>
      <c r="E45" s="62">
        <f t="shared" si="5"/>
        <v>0</v>
      </c>
      <c r="F45" s="103">
        <f t="shared" si="13"/>
        <v>0</v>
      </c>
      <c r="G45" s="103">
        <f t="shared" si="13"/>
        <v>0</v>
      </c>
      <c r="K45" s="103">
        <v>2046</v>
      </c>
      <c r="L45" s="62">
        <f>'Future Type Share'!U47*'Future EndUse Share'!Y108</f>
        <v>11214.45009121074</v>
      </c>
      <c r="M45" s="62">
        <f>'Future Type Share'!S47*0.5*'Future EndUse Share'!N108</f>
        <v>0</v>
      </c>
      <c r="N45" s="62">
        <f>'Future Type Share'!Q47*'Future EndUse Share'!N108</f>
        <v>0</v>
      </c>
      <c r="O45" s="62">
        <f t="shared" si="14"/>
        <v>0</v>
      </c>
      <c r="P45" s="62">
        <f t="shared" si="14"/>
        <v>0</v>
      </c>
      <c r="Q45" s="62">
        <f t="shared" si="14"/>
        <v>0</v>
      </c>
      <c r="U45" s="103">
        <v>2046</v>
      </c>
      <c r="V45" s="62">
        <f t="shared" si="12"/>
        <v>0</v>
      </c>
      <c r="W45" s="62">
        <f t="shared" si="12"/>
        <v>0</v>
      </c>
      <c r="X45" s="62">
        <f t="shared" si="12"/>
        <v>0</v>
      </c>
      <c r="Y45" s="62">
        <f t="shared" si="12"/>
        <v>0</v>
      </c>
      <c r="Z45" s="62">
        <f t="shared" si="12"/>
        <v>0</v>
      </c>
      <c r="AA45" s="62">
        <f t="shared" si="7"/>
        <v>0</v>
      </c>
      <c r="AE45" s="103">
        <v>2046</v>
      </c>
      <c r="AF45" s="62">
        <f>'Future Type Share'!U47*('Future EndUse Share'!Z108+'Future EndUse Share'!AB108+'Future EndUse Share'!AC108+'Future EndUse Share'!AD108)</f>
        <v>9788.5356259306991</v>
      </c>
      <c r="AG45" s="62">
        <f>'Future Type Share'!S47*0.5*('Future EndUse Share'!O108+'Future EndUse Share'!Q108+'Future EndUse Share'!R108+'Future EndUse Share'!S108)</f>
        <v>0</v>
      </c>
      <c r="AH45" s="62">
        <f>'Future Type Share'!Q47*('Future EndUse Share'!O108+'Future EndUse Share'!Q108+'Future EndUse Share'!R108+'Future EndUse Share'!S108)</f>
        <v>5233.8358387695944</v>
      </c>
      <c r="AI45" s="103">
        <f t="shared" si="3"/>
        <v>0</v>
      </c>
      <c r="AJ45" s="103">
        <f t="shared" si="15"/>
        <v>0</v>
      </c>
      <c r="AK45" s="103">
        <f t="shared" si="15"/>
        <v>0</v>
      </c>
      <c r="AO45" s="103">
        <v>2046</v>
      </c>
      <c r="AP45" s="62">
        <f>'Future Type Share'!U47*('Future EndUse Share'!AE108)</f>
        <v>2506.2884437013727</v>
      </c>
      <c r="AQ45" s="62">
        <f>'Future Type Share'!S47*0.5*('Future EndUse Share'!T108)</f>
        <v>0</v>
      </c>
      <c r="AR45" s="62">
        <f>'Future Type Share'!Q47*'Future EndUse Share'!T108</f>
        <v>15.426319236090645</v>
      </c>
      <c r="AS45" s="103">
        <f t="shared" si="4"/>
        <v>0</v>
      </c>
      <c r="AT45" s="103">
        <f t="shared" si="16"/>
        <v>0</v>
      </c>
      <c r="AU45" s="103">
        <f t="shared" si="16"/>
        <v>0</v>
      </c>
    </row>
    <row r="46" spans="1:47">
      <c r="A46" s="103">
        <v>2047</v>
      </c>
      <c r="B46" s="62">
        <f>'Future Type Share'!U48*'Future EndUse Share'!AA109</f>
        <v>1624.4583090186031</v>
      </c>
      <c r="C46" s="62">
        <f>'Future Type Share'!Q48*0.5*'Future EndUse Share'!P109</f>
        <v>0</v>
      </c>
      <c r="D46" s="62">
        <f>'Future Type Share'!Q48*'Future EndUse Share'!P109</f>
        <v>0</v>
      </c>
      <c r="E46" s="62">
        <f t="shared" si="5"/>
        <v>0</v>
      </c>
      <c r="F46" s="103">
        <f t="shared" si="13"/>
        <v>0</v>
      </c>
      <c r="G46" s="103">
        <f t="shared" si="13"/>
        <v>0</v>
      </c>
      <c r="K46" s="103">
        <v>2047</v>
      </c>
      <c r="L46" s="62">
        <f>'Future Type Share'!U48*'Future EndUse Share'!Y109</f>
        <v>11326.4959609656</v>
      </c>
      <c r="M46" s="62">
        <f>'Future Type Share'!S48*0.5*'Future EndUse Share'!N109</f>
        <v>0</v>
      </c>
      <c r="N46" s="62">
        <f>'Future Type Share'!Q48*'Future EndUse Share'!N109</f>
        <v>0</v>
      </c>
      <c r="O46" s="62">
        <f t="shared" si="14"/>
        <v>0</v>
      </c>
      <c r="P46" s="62">
        <f t="shared" si="14"/>
        <v>0</v>
      </c>
      <c r="Q46" s="62">
        <f t="shared" si="14"/>
        <v>0</v>
      </c>
      <c r="U46" s="103">
        <v>2047</v>
      </c>
      <c r="V46" s="62">
        <f t="shared" si="12"/>
        <v>0</v>
      </c>
      <c r="W46" s="62">
        <f t="shared" si="12"/>
        <v>0</v>
      </c>
      <c r="X46" s="62">
        <f t="shared" si="12"/>
        <v>0</v>
      </c>
      <c r="Y46" s="62">
        <f t="shared" si="12"/>
        <v>0</v>
      </c>
      <c r="Z46" s="62">
        <f t="shared" si="12"/>
        <v>0</v>
      </c>
      <c r="AA46" s="62">
        <f t="shared" si="7"/>
        <v>0</v>
      </c>
      <c r="AE46" s="103">
        <v>2047</v>
      </c>
      <c r="AF46" s="62">
        <f>'Future Type Share'!U48*('Future EndUse Share'!Z109+'Future EndUse Share'!AB109+'Future EndUse Share'!AC109+'Future EndUse Share'!AD109)</f>
        <v>9694.9465751473472</v>
      </c>
      <c r="AG46" s="62">
        <f>'Future Type Share'!S48*0.5*('Future EndUse Share'!O109+'Future EndUse Share'!Q109+'Future EndUse Share'!R109+'Future EndUse Share'!S109)</f>
        <v>0</v>
      </c>
      <c r="AH46" s="62">
        <f>'Future Type Share'!Q48*('Future EndUse Share'!O109+'Future EndUse Share'!Q109+'Future EndUse Share'!R109+'Future EndUse Share'!S109)</f>
        <v>5083.7575280931433</v>
      </c>
      <c r="AI46" s="103">
        <f t="shared" si="3"/>
        <v>0</v>
      </c>
      <c r="AJ46" s="103">
        <f t="shared" si="15"/>
        <v>0</v>
      </c>
      <c r="AK46" s="103">
        <f t="shared" si="15"/>
        <v>0</v>
      </c>
      <c r="AO46" s="103">
        <v>2047</v>
      </c>
      <c r="AP46" s="62">
        <f>'Future Type Share'!U48*('Future EndUse Share'!AE109)</f>
        <v>2506.7186067961584</v>
      </c>
      <c r="AQ46" s="62">
        <f>'Future Type Share'!S48*0.5*('Future EndUse Share'!T109)</f>
        <v>0</v>
      </c>
      <c r="AR46" s="62">
        <f>'Future Type Share'!Q48*'Future EndUse Share'!T109</f>
        <v>14.969397762309383</v>
      </c>
      <c r="AS46" s="103">
        <f t="shared" si="4"/>
        <v>0</v>
      </c>
      <c r="AT46" s="103">
        <f t="shared" si="16"/>
        <v>0</v>
      </c>
      <c r="AU46" s="103">
        <f t="shared" si="16"/>
        <v>0</v>
      </c>
    </row>
    <row r="47" spans="1:47">
      <c r="A47" s="103">
        <v>2048</v>
      </c>
      <c r="B47" s="62">
        <f>'Future Type Share'!U49*'Future EndUse Share'!AA110</f>
        <v>1616.3106514048907</v>
      </c>
      <c r="C47" s="62">
        <f>'Future Type Share'!Q49*0.5*'Future EndUse Share'!P110</f>
        <v>0</v>
      </c>
      <c r="D47" s="62">
        <f>'Future Type Share'!Q49*'Future EndUse Share'!P110</f>
        <v>0</v>
      </c>
      <c r="E47" s="62">
        <f t="shared" si="5"/>
        <v>0</v>
      </c>
      <c r="F47" s="103">
        <f t="shared" si="13"/>
        <v>0</v>
      </c>
      <c r="G47" s="103">
        <f t="shared" si="13"/>
        <v>0</v>
      </c>
      <c r="K47" s="103">
        <v>2048</v>
      </c>
      <c r="L47" s="62">
        <f>'Future Type Share'!U49*'Future EndUse Share'!Y110</f>
        <v>11432.249528053282</v>
      </c>
      <c r="M47" s="62">
        <f>'Future Type Share'!S49*0.5*'Future EndUse Share'!N110</f>
        <v>0</v>
      </c>
      <c r="N47" s="62">
        <f>'Future Type Share'!Q49*'Future EndUse Share'!N110</f>
        <v>0</v>
      </c>
      <c r="O47" s="62">
        <f t="shared" si="14"/>
        <v>0</v>
      </c>
      <c r="P47" s="62">
        <f t="shared" si="14"/>
        <v>0</v>
      </c>
      <c r="Q47" s="62">
        <f t="shared" si="14"/>
        <v>0</v>
      </c>
      <c r="U47" s="103">
        <v>2048</v>
      </c>
      <c r="V47" s="62">
        <f t="shared" si="12"/>
        <v>0</v>
      </c>
      <c r="W47" s="62">
        <f t="shared" si="12"/>
        <v>0</v>
      </c>
      <c r="X47" s="62">
        <f t="shared" si="12"/>
        <v>0</v>
      </c>
      <c r="Y47" s="62">
        <f t="shared" si="12"/>
        <v>0</v>
      </c>
      <c r="Z47" s="62">
        <f t="shared" si="12"/>
        <v>0</v>
      </c>
      <c r="AA47" s="62">
        <f t="shared" si="7"/>
        <v>0</v>
      </c>
      <c r="AE47" s="103">
        <v>2048</v>
      </c>
      <c r="AF47" s="62">
        <f>'Future Type Share'!U49*('Future EndUse Share'!Z110+'Future EndUse Share'!AB110+'Future EndUse Share'!AC110+'Future EndUse Share'!AD110)</f>
        <v>9597.7858642612573</v>
      </c>
      <c r="AG47" s="62">
        <f>'Future Type Share'!S49*0.5*('Future EndUse Share'!O110+'Future EndUse Share'!Q110+'Future EndUse Share'!R110+'Future EndUse Share'!S110)</f>
        <v>0</v>
      </c>
      <c r="AH47" s="62">
        <f>'Future Type Share'!Q49*('Future EndUse Share'!O110+'Future EndUse Share'!Q110+'Future EndUse Share'!R110+'Future EndUse Share'!S110)</f>
        <v>4932.7718794172097</v>
      </c>
      <c r="AI47" s="103">
        <f t="shared" si="3"/>
        <v>0</v>
      </c>
      <c r="AJ47" s="103">
        <f t="shared" si="15"/>
        <v>0</v>
      </c>
      <c r="AK47" s="103">
        <f t="shared" si="15"/>
        <v>0</v>
      </c>
      <c r="AO47" s="103">
        <v>2048</v>
      </c>
      <c r="AP47" s="62">
        <f>'Future Type Share'!U49*('Future EndUse Share'!AE110)</f>
        <v>2505.9886771987481</v>
      </c>
      <c r="AQ47" s="62">
        <f>'Future Type Share'!S49*0.5*('Future EndUse Share'!T110)</f>
        <v>0</v>
      </c>
      <c r="AR47" s="62">
        <f>'Future Type Share'!Q49*'Future EndUse Share'!T110</f>
        <v>14.510667952245727</v>
      </c>
      <c r="AS47" s="103">
        <f t="shared" si="4"/>
        <v>0</v>
      </c>
      <c r="AT47" s="103">
        <f t="shared" si="16"/>
        <v>0</v>
      </c>
      <c r="AU47" s="103">
        <f t="shared" si="16"/>
        <v>0</v>
      </c>
    </row>
    <row r="48" spans="1:47">
      <c r="A48" s="103">
        <v>2049</v>
      </c>
      <c r="B48" s="62">
        <f>'Future Type Share'!U50*'Future EndUse Share'!AA111</f>
        <v>1607.3170532163351</v>
      </c>
      <c r="C48" s="62">
        <f>'Future Type Share'!Q50*0.5*'Future EndUse Share'!P111</f>
        <v>0</v>
      </c>
      <c r="D48" s="62">
        <f>'Future Type Share'!Q50*'Future EndUse Share'!P111</f>
        <v>0</v>
      </c>
      <c r="E48" s="62">
        <f t="shared" si="5"/>
        <v>0</v>
      </c>
      <c r="F48" s="103">
        <f t="shared" si="13"/>
        <v>0</v>
      </c>
      <c r="G48" s="103">
        <f t="shared" si="13"/>
        <v>0</v>
      </c>
      <c r="K48" s="103">
        <v>2049</v>
      </c>
      <c r="L48" s="62">
        <f>'Future Type Share'!U50*'Future EndUse Share'!Y111</f>
        <v>11530.295705369505</v>
      </c>
      <c r="M48" s="62">
        <f>'Future Type Share'!S50*0.5*'Future EndUse Share'!N111</f>
        <v>0</v>
      </c>
      <c r="N48" s="62">
        <f>'Future Type Share'!Q50*'Future EndUse Share'!N111</f>
        <v>0</v>
      </c>
      <c r="O48" s="62">
        <f t="shared" si="14"/>
        <v>0</v>
      </c>
      <c r="P48" s="62">
        <f t="shared" si="14"/>
        <v>0</v>
      </c>
      <c r="Q48" s="62">
        <f t="shared" si="14"/>
        <v>0</v>
      </c>
      <c r="U48" s="103">
        <v>2049</v>
      </c>
      <c r="V48" s="62">
        <f t="shared" ref="V48:Z49" si="17">V47</f>
        <v>0</v>
      </c>
      <c r="W48" s="62">
        <f t="shared" si="17"/>
        <v>0</v>
      </c>
      <c r="X48" s="62">
        <f t="shared" si="17"/>
        <v>0</v>
      </c>
      <c r="Y48" s="62">
        <f t="shared" si="17"/>
        <v>0</v>
      </c>
      <c r="Z48" s="62">
        <f t="shared" si="17"/>
        <v>0</v>
      </c>
      <c r="AA48" s="62">
        <f t="shared" si="7"/>
        <v>0</v>
      </c>
      <c r="AE48" s="103">
        <v>2049</v>
      </c>
      <c r="AF48" s="62">
        <f>'Future Type Share'!U50*('Future EndUse Share'!Z111+'Future EndUse Share'!AB111+'Future EndUse Share'!AC111+'Future EndUse Share'!AD111)</f>
        <v>9496.1173199329169</v>
      </c>
      <c r="AG48" s="62">
        <f>'Future Type Share'!S50*0.5*('Future EndUse Share'!O111+'Future EndUse Share'!Q111+'Future EndUse Share'!R111+'Future EndUse Share'!S111)</f>
        <v>0</v>
      </c>
      <c r="AH48" s="62">
        <f>'Future Type Share'!Q50*('Future EndUse Share'!O111+'Future EndUse Share'!Q111+'Future EndUse Share'!R111+'Future EndUse Share'!S111)</f>
        <v>4780.534632000009</v>
      </c>
      <c r="AI48" s="103">
        <f t="shared" si="3"/>
        <v>0</v>
      </c>
      <c r="AJ48" s="103">
        <f t="shared" si="15"/>
        <v>0</v>
      </c>
      <c r="AK48" s="103">
        <f t="shared" si="15"/>
        <v>0</v>
      </c>
      <c r="AO48" s="103">
        <v>2049</v>
      </c>
      <c r="AP48" s="62">
        <f>'Future Type Share'!U50*('Future EndUse Share'!AE111)</f>
        <v>2503.8208609419053</v>
      </c>
      <c r="AQ48" s="62">
        <f>'Future Type Share'!S50*0.5*('Future EndUse Share'!T111)</f>
        <v>0</v>
      </c>
      <c r="AR48" s="62">
        <f>'Future Type Share'!Q50*'Future EndUse Share'!T111</f>
        <v>14.049125883689893</v>
      </c>
      <c r="AS48" s="103">
        <f t="shared" si="4"/>
        <v>0</v>
      </c>
      <c r="AT48" s="103">
        <f t="shared" si="16"/>
        <v>0</v>
      </c>
      <c r="AU48" s="103">
        <f t="shared" si="16"/>
        <v>0</v>
      </c>
    </row>
    <row r="49" spans="1:47">
      <c r="A49" s="103">
        <v>2050</v>
      </c>
      <c r="B49" s="62">
        <f>'Future Type Share'!U51*'Future EndUse Share'!AA112</f>
        <v>1597.5274533098248</v>
      </c>
      <c r="C49" s="62">
        <f>'Future Type Share'!Q51*0.5*'Future EndUse Share'!P112</f>
        <v>0</v>
      </c>
      <c r="D49" s="62">
        <f>'Future Type Share'!Q51*'Future EndUse Share'!P112</f>
        <v>0</v>
      </c>
      <c r="E49" s="62">
        <f t="shared" si="5"/>
        <v>0</v>
      </c>
      <c r="F49" s="103">
        <f t="shared" ref="F49:G49" si="18">F48</f>
        <v>0</v>
      </c>
      <c r="G49" s="103">
        <f t="shared" si="18"/>
        <v>0</v>
      </c>
      <c r="K49" s="103">
        <v>2050</v>
      </c>
      <c r="L49" s="62">
        <f>'Future Type Share'!U51*'Future EndUse Share'!Y112</f>
        <v>11620.742513112787</v>
      </c>
      <c r="M49" s="62">
        <f>'Future Type Share'!S51*0.5*'Future EndUse Share'!N112</f>
        <v>0</v>
      </c>
      <c r="N49" s="62">
        <f>'Future Type Share'!Q51*'Future EndUse Share'!N112</f>
        <v>0</v>
      </c>
      <c r="O49" s="62">
        <f t="shared" ref="O49:Q49" si="19">O48</f>
        <v>0</v>
      </c>
      <c r="P49" s="62">
        <f t="shared" si="19"/>
        <v>0</v>
      </c>
      <c r="Q49" s="62">
        <f t="shared" si="19"/>
        <v>0</v>
      </c>
      <c r="U49" s="103">
        <v>2050</v>
      </c>
      <c r="V49" s="62">
        <f t="shared" si="17"/>
        <v>0</v>
      </c>
      <c r="W49" s="62">
        <f t="shared" si="17"/>
        <v>0</v>
      </c>
      <c r="X49" s="62">
        <f t="shared" si="17"/>
        <v>0</v>
      </c>
      <c r="Y49" s="62">
        <f t="shared" si="17"/>
        <v>0</v>
      </c>
      <c r="Z49" s="62">
        <f t="shared" si="17"/>
        <v>0</v>
      </c>
      <c r="AA49" s="62">
        <f t="shared" si="7"/>
        <v>0</v>
      </c>
      <c r="AE49" s="103">
        <v>2050</v>
      </c>
      <c r="AF49" s="62">
        <f>'Future Type Share'!U51*('Future EndUse Share'!Z112+'Future EndUse Share'!AB112+'Future EndUse Share'!AC112+'Future EndUse Share'!AD112)</f>
        <v>9390.3106767752761</v>
      </c>
      <c r="AG49" s="62">
        <f>'Future Type Share'!S51*0.5*('Future EndUse Share'!O112+'Future EndUse Share'!Q112+'Future EndUse Share'!R112+'Future EndUse Share'!S112)</f>
        <v>0</v>
      </c>
      <c r="AH49" s="62">
        <f>'Future Type Share'!Q51*('Future EndUse Share'!O112+'Future EndUse Share'!Q112+'Future EndUse Share'!R112+'Future EndUse Share'!S112)</f>
        <v>4627.3874834656544</v>
      </c>
      <c r="AI49" s="103">
        <f t="shared" si="3"/>
        <v>0</v>
      </c>
      <c r="AJ49" s="103">
        <f t="shared" ref="AJ49:AK49" si="20">AJ48</f>
        <v>0</v>
      </c>
      <c r="AK49" s="103">
        <f t="shared" si="20"/>
        <v>0</v>
      </c>
      <c r="AO49" s="103">
        <v>2050</v>
      </c>
      <c r="AP49" s="62">
        <f>'Future Type Share'!U51*('Future EndUse Share'!AE112)</f>
        <v>2500.2747351789985</v>
      </c>
      <c r="AQ49" s="62">
        <f>'Future Type Share'!S51*0.5*('Future EndUse Share'!T112)</f>
        <v>0</v>
      </c>
      <c r="AR49" s="62">
        <f>'Future Type Share'!Q51*'Future EndUse Share'!T112</f>
        <v>13.585785523426654</v>
      </c>
      <c r="AS49" s="103">
        <f t="shared" si="4"/>
        <v>0</v>
      </c>
      <c r="AT49" s="103">
        <f t="shared" ref="AT49:AU49" si="21">AT48</f>
        <v>0</v>
      </c>
      <c r="AU49" s="103">
        <f t="shared" si="21"/>
        <v>0</v>
      </c>
    </row>
    <row r="60" spans="1:47">
      <c r="U60" s="62"/>
      <c r="V60" s="62"/>
    </row>
    <row r="61" spans="1:47">
      <c r="S61" s="566"/>
      <c r="T61" s="62"/>
      <c r="U61" s="62"/>
      <c r="V61" s="62"/>
    </row>
    <row r="62" spans="1:47">
      <c r="S62" s="566"/>
      <c r="T62" s="62"/>
      <c r="U62" s="62"/>
      <c r="V62" s="62"/>
    </row>
    <row r="63" spans="1:47">
      <c r="S63" s="566"/>
      <c r="T63" s="62"/>
      <c r="U63" s="62"/>
      <c r="V63" s="62"/>
    </row>
    <row r="64" spans="1:47">
      <c r="S64" s="566"/>
      <c r="T64" s="62"/>
    </row>
  </sheetData>
  <phoneticPr fontId="3"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U55"/>
  <sheetViews>
    <sheetView zoomScale="85" workbookViewId="0">
      <selection activeCell="I32" sqref="I32"/>
    </sheetView>
  </sheetViews>
  <sheetFormatPr defaultColWidth="8.7109375" defaultRowHeight="15"/>
  <cols>
    <col min="1" max="1" width="5.85546875" style="103" customWidth="1"/>
    <col min="2" max="2" width="11.28515625" style="103" customWidth="1"/>
    <col min="3" max="10" width="8.7109375" style="103"/>
    <col min="11" max="11" width="6.28515625" style="103" customWidth="1"/>
    <col min="12" max="16384" width="8.7109375" style="103"/>
  </cols>
  <sheetData>
    <row r="1" spans="1:47" ht="21">
      <c r="A1" s="121" t="s">
        <v>673</v>
      </c>
    </row>
    <row r="2" spans="1:47" ht="21">
      <c r="A2" s="121"/>
      <c r="C2" s="103" t="s">
        <v>766</v>
      </c>
    </row>
    <row r="3" spans="1:47" s="64" customFormat="1">
      <c r="A3" s="174" t="s">
        <v>28</v>
      </c>
    </row>
    <row r="4" spans="1:47">
      <c r="B4" s="103" t="s">
        <v>0</v>
      </c>
      <c r="C4" s="103">
        <v>2006</v>
      </c>
      <c r="D4" s="103">
        <v>2007</v>
      </c>
      <c r="E4" s="103">
        <v>2008</v>
      </c>
      <c r="F4" s="103">
        <v>2009</v>
      </c>
      <c r="G4" s="103">
        <v>2010</v>
      </c>
      <c r="H4" s="103">
        <v>2011</v>
      </c>
      <c r="I4" s="103">
        <v>2012</v>
      </c>
      <c r="J4" s="103">
        <v>2013</v>
      </c>
      <c r="K4" s="103">
        <v>2014</v>
      </c>
      <c r="L4" s="103">
        <v>2015</v>
      </c>
      <c r="M4" s="103">
        <v>2016</v>
      </c>
      <c r="N4" s="103">
        <v>2017</v>
      </c>
      <c r="O4" s="103">
        <v>2018</v>
      </c>
      <c r="P4" s="103">
        <v>2019</v>
      </c>
      <c r="Q4" s="103">
        <v>2020</v>
      </c>
      <c r="R4" s="103">
        <v>2021</v>
      </c>
      <c r="S4" s="103">
        <v>2022</v>
      </c>
      <c r="T4" s="103">
        <v>2023</v>
      </c>
      <c r="U4" s="103">
        <v>2024</v>
      </c>
      <c r="V4" s="103">
        <v>2025</v>
      </c>
      <c r="W4" s="103">
        <v>2026</v>
      </c>
      <c r="X4" s="103">
        <v>2027</v>
      </c>
      <c r="Y4" s="103">
        <v>2028</v>
      </c>
      <c r="Z4" s="103">
        <v>2029</v>
      </c>
      <c r="AA4" s="103">
        <v>2030</v>
      </c>
      <c r="AB4" s="103">
        <v>2031</v>
      </c>
      <c r="AC4" s="103">
        <v>2032</v>
      </c>
      <c r="AD4" s="103">
        <v>2033</v>
      </c>
      <c r="AE4" s="103">
        <v>2034</v>
      </c>
      <c r="AF4" s="103">
        <v>2035</v>
      </c>
      <c r="AG4" s="103">
        <v>2036</v>
      </c>
      <c r="AH4" s="103">
        <v>2037</v>
      </c>
      <c r="AI4" s="103">
        <v>2038</v>
      </c>
      <c r="AJ4" s="103">
        <v>2039</v>
      </c>
      <c r="AK4" s="103">
        <v>2040</v>
      </c>
      <c r="AL4" s="103">
        <v>2041</v>
      </c>
      <c r="AM4" s="103">
        <v>2042</v>
      </c>
      <c r="AN4" s="103">
        <v>2043</v>
      </c>
      <c r="AO4" s="103">
        <v>2044</v>
      </c>
      <c r="AP4" s="103">
        <v>2045</v>
      </c>
      <c r="AQ4" s="103">
        <v>2046</v>
      </c>
      <c r="AR4" s="103">
        <v>2047</v>
      </c>
      <c r="AS4" s="103">
        <v>2048</v>
      </c>
      <c r="AT4" s="103">
        <v>2049</v>
      </c>
      <c r="AU4" s="103">
        <v>2050</v>
      </c>
    </row>
    <row r="5" spans="1:47">
      <c r="B5" s="103" t="s">
        <v>558</v>
      </c>
      <c r="C5" s="103">
        <f t="array" ref="C5:AU10">TRANSPOSE(Public_1!B5:G49)</f>
        <v>1911.1477561779245</v>
      </c>
      <c r="D5" s="103">
        <v>1850.1046096105729</v>
      </c>
      <c r="E5" s="103">
        <v>1740.2225788002036</v>
      </c>
      <c r="F5" s="103">
        <v>1781.1002550269741</v>
      </c>
      <c r="G5" s="103">
        <v>1713.2586653605979</v>
      </c>
      <c r="H5" s="103">
        <v>1671.5282266526758</v>
      </c>
      <c r="I5" s="103">
        <v>1681.4407310954484</v>
      </c>
      <c r="J5" s="103">
        <v>1602.3646453356264</v>
      </c>
      <c r="K5" s="103">
        <v>1584.3994533029611</v>
      </c>
      <c r="L5" s="103">
        <v>1538.6702685421994</v>
      </c>
      <c r="M5" s="103">
        <v>1589.6043490800023</v>
      </c>
      <c r="N5" s="103">
        <v>1484.050250052207</v>
      </c>
      <c r="O5" s="103">
        <v>1500.047202544873</v>
      </c>
      <c r="P5" s="103">
        <v>1514.1943614058289</v>
      </c>
      <c r="Q5" s="103">
        <v>1528.8228375950878</v>
      </c>
      <c r="R5" s="103">
        <v>1542.089311871347</v>
      </c>
      <c r="S5" s="103">
        <v>1554.8367900156902</v>
      </c>
      <c r="T5" s="103">
        <v>1566.9389343036291</v>
      </c>
      <c r="U5" s="103">
        <v>1577.760023372125</v>
      </c>
      <c r="V5" s="103">
        <v>1587.701668329622</v>
      </c>
      <c r="W5" s="103">
        <v>1596.5357288614066</v>
      </c>
      <c r="X5" s="103">
        <v>1604.6058681256047</v>
      </c>
      <c r="Y5" s="103">
        <v>1612.5841836694676</v>
      </c>
      <c r="Z5" s="103">
        <v>1620.1633353754139</v>
      </c>
      <c r="AA5" s="103">
        <v>1626.9948065680512</v>
      </c>
      <c r="AB5" s="103">
        <v>1633.3023656470391</v>
      </c>
      <c r="AC5" s="103">
        <v>1639.1466018822964</v>
      </c>
      <c r="AD5" s="103">
        <v>1644.6902219305944</v>
      </c>
      <c r="AE5" s="103">
        <v>1649.5246690200731</v>
      </c>
      <c r="AF5" s="103">
        <v>1653.3651985657048</v>
      </c>
      <c r="AG5" s="103">
        <v>1656.3561139314916</v>
      </c>
      <c r="AH5" s="103">
        <v>1658.4588549758848</v>
      </c>
      <c r="AI5" s="103">
        <v>1659.5545868191775</v>
      </c>
      <c r="AJ5" s="103">
        <v>1659.4449985080907</v>
      </c>
      <c r="AK5" s="103">
        <v>1658.3180754446064</v>
      </c>
      <c r="AL5" s="103">
        <v>1656.0587660362617</v>
      </c>
      <c r="AM5" s="103">
        <v>1652.7751863898029</v>
      </c>
      <c r="AN5" s="103">
        <v>1648.7959840092626</v>
      </c>
      <c r="AO5" s="103">
        <v>1644.0468797917588</v>
      </c>
      <c r="AP5" s="103">
        <v>1638.3950933405329</v>
      </c>
      <c r="AQ5" s="103">
        <v>1631.9288064475554</v>
      </c>
      <c r="AR5" s="103">
        <v>1624.4583090186031</v>
      </c>
      <c r="AS5" s="103">
        <v>1616.3106514048907</v>
      </c>
      <c r="AT5" s="103">
        <v>1607.3170532163351</v>
      </c>
      <c r="AU5" s="103">
        <v>1597.5274533098248</v>
      </c>
    </row>
    <row r="6" spans="1:47">
      <c r="B6" s="103" t="s">
        <v>559</v>
      </c>
      <c r="C6" s="103">
        <v>0</v>
      </c>
      <c r="D6" s="103">
        <v>0</v>
      </c>
      <c r="E6" s="103">
        <v>0</v>
      </c>
      <c r="F6" s="103">
        <v>0</v>
      </c>
      <c r="G6" s="103">
        <v>0</v>
      </c>
      <c r="H6" s="103">
        <v>0</v>
      </c>
      <c r="I6" s="103">
        <v>0</v>
      </c>
      <c r="J6" s="103">
        <v>0</v>
      </c>
      <c r="K6" s="103">
        <v>0</v>
      </c>
      <c r="L6" s="103">
        <v>0</v>
      </c>
      <c r="M6" s="103">
        <v>0</v>
      </c>
      <c r="N6" s="103">
        <v>0</v>
      </c>
      <c r="O6" s="103">
        <v>0</v>
      </c>
      <c r="P6" s="103">
        <v>0</v>
      </c>
      <c r="Q6" s="103">
        <v>0</v>
      </c>
      <c r="R6" s="103">
        <v>0</v>
      </c>
      <c r="S6" s="103">
        <v>0</v>
      </c>
      <c r="T6" s="103">
        <v>0</v>
      </c>
      <c r="U6" s="103">
        <v>0</v>
      </c>
      <c r="V6" s="103">
        <v>0</v>
      </c>
      <c r="W6" s="103">
        <v>0</v>
      </c>
      <c r="X6" s="103">
        <v>0</v>
      </c>
      <c r="Y6" s="103">
        <v>0</v>
      </c>
      <c r="Z6" s="103">
        <v>0</v>
      </c>
      <c r="AA6" s="103">
        <v>0</v>
      </c>
      <c r="AB6" s="103">
        <v>0</v>
      </c>
      <c r="AC6" s="103">
        <v>0</v>
      </c>
      <c r="AD6" s="103">
        <v>0</v>
      </c>
      <c r="AE6" s="103">
        <v>0</v>
      </c>
      <c r="AF6" s="103">
        <v>0</v>
      </c>
      <c r="AG6" s="103">
        <v>0</v>
      </c>
      <c r="AH6" s="103">
        <v>0</v>
      </c>
      <c r="AI6" s="103">
        <v>0</v>
      </c>
      <c r="AJ6" s="103">
        <v>0</v>
      </c>
      <c r="AK6" s="103">
        <v>0</v>
      </c>
      <c r="AL6" s="103">
        <v>0</v>
      </c>
      <c r="AM6" s="103">
        <v>0</v>
      </c>
      <c r="AN6" s="103">
        <v>0</v>
      </c>
      <c r="AO6" s="103">
        <v>0</v>
      </c>
      <c r="AP6" s="103">
        <v>0</v>
      </c>
      <c r="AQ6" s="103">
        <v>0</v>
      </c>
      <c r="AR6" s="103">
        <v>0</v>
      </c>
      <c r="AS6" s="103">
        <v>0</v>
      </c>
      <c r="AT6" s="103">
        <v>0</v>
      </c>
      <c r="AU6" s="103">
        <v>0</v>
      </c>
    </row>
    <row r="7" spans="1:47">
      <c r="B7" s="103" t="s">
        <v>560</v>
      </c>
      <c r="C7" s="103">
        <v>0</v>
      </c>
      <c r="D7" s="103">
        <v>0</v>
      </c>
      <c r="E7" s="103">
        <v>0</v>
      </c>
      <c r="F7" s="103">
        <v>0</v>
      </c>
      <c r="G7" s="103">
        <v>0</v>
      </c>
      <c r="H7" s="103">
        <v>0</v>
      </c>
      <c r="I7" s="103">
        <v>0</v>
      </c>
      <c r="J7" s="103">
        <v>0</v>
      </c>
      <c r="K7" s="103">
        <v>0</v>
      </c>
      <c r="L7" s="103">
        <v>0</v>
      </c>
      <c r="M7" s="103">
        <v>0</v>
      </c>
      <c r="N7" s="103">
        <v>0</v>
      </c>
      <c r="O7" s="103">
        <v>0</v>
      </c>
      <c r="P7" s="103">
        <v>0</v>
      </c>
      <c r="Q7" s="103">
        <v>0</v>
      </c>
      <c r="R7" s="103">
        <v>0</v>
      </c>
      <c r="S7" s="103">
        <v>0</v>
      </c>
      <c r="T7" s="103">
        <v>0</v>
      </c>
      <c r="U7" s="103">
        <v>0</v>
      </c>
      <c r="V7" s="103">
        <v>0</v>
      </c>
      <c r="W7" s="103">
        <v>0</v>
      </c>
      <c r="X7" s="103">
        <v>0</v>
      </c>
      <c r="Y7" s="103">
        <v>0</v>
      </c>
      <c r="Z7" s="103">
        <v>0</v>
      </c>
      <c r="AA7" s="103">
        <v>0</v>
      </c>
      <c r="AB7" s="103">
        <v>0</v>
      </c>
      <c r="AC7" s="103">
        <v>0</v>
      </c>
      <c r="AD7" s="103">
        <v>0</v>
      </c>
      <c r="AE7" s="103">
        <v>0</v>
      </c>
      <c r="AF7" s="103">
        <v>0</v>
      </c>
      <c r="AG7" s="103">
        <v>0</v>
      </c>
      <c r="AH7" s="103">
        <v>0</v>
      </c>
      <c r="AI7" s="103">
        <v>0</v>
      </c>
      <c r="AJ7" s="103">
        <v>0</v>
      </c>
      <c r="AK7" s="103">
        <v>0</v>
      </c>
      <c r="AL7" s="103">
        <v>0</v>
      </c>
      <c r="AM7" s="103">
        <v>0</v>
      </c>
      <c r="AN7" s="103">
        <v>0</v>
      </c>
      <c r="AO7" s="103">
        <v>0</v>
      </c>
      <c r="AP7" s="103">
        <v>0</v>
      </c>
      <c r="AQ7" s="103">
        <v>0</v>
      </c>
      <c r="AR7" s="103">
        <v>0</v>
      </c>
      <c r="AS7" s="103">
        <v>0</v>
      </c>
      <c r="AT7" s="103">
        <v>0</v>
      </c>
      <c r="AU7" s="103">
        <v>0</v>
      </c>
    </row>
    <row r="8" spans="1:47">
      <c r="B8" s="103" t="s">
        <v>561</v>
      </c>
      <c r="C8" s="103">
        <v>0</v>
      </c>
      <c r="D8" s="103">
        <v>0</v>
      </c>
      <c r="E8" s="103">
        <v>0</v>
      </c>
      <c r="F8" s="103">
        <v>0</v>
      </c>
      <c r="G8" s="103">
        <v>0</v>
      </c>
      <c r="H8" s="103">
        <v>0</v>
      </c>
      <c r="I8" s="103">
        <v>0</v>
      </c>
      <c r="J8" s="103">
        <v>0</v>
      </c>
      <c r="K8" s="103">
        <v>0</v>
      </c>
      <c r="L8" s="103">
        <v>0</v>
      </c>
      <c r="M8" s="103">
        <v>0</v>
      </c>
      <c r="N8" s="103">
        <v>0</v>
      </c>
      <c r="O8" s="103">
        <v>0</v>
      </c>
      <c r="P8" s="103">
        <v>0</v>
      </c>
      <c r="Q8" s="103">
        <v>0</v>
      </c>
      <c r="R8" s="103">
        <v>0</v>
      </c>
      <c r="S8" s="103">
        <v>0</v>
      </c>
      <c r="T8" s="103">
        <v>0</v>
      </c>
      <c r="U8" s="103">
        <v>0</v>
      </c>
      <c r="V8" s="103">
        <v>0</v>
      </c>
      <c r="W8" s="103">
        <v>0</v>
      </c>
      <c r="X8" s="103">
        <v>0</v>
      </c>
      <c r="Y8" s="103">
        <v>0</v>
      </c>
      <c r="Z8" s="103">
        <v>0</v>
      </c>
      <c r="AA8" s="103">
        <v>0</v>
      </c>
      <c r="AB8" s="103">
        <v>0</v>
      </c>
      <c r="AC8" s="103">
        <v>0</v>
      </c>
      <c r="AD8" s="103">
        <v>0</v>
      </c>
      <c r="AE8" s="103">
        <v>0</v>
      </c>
      <c r="AF8" s="103">
        <v>0</v>
      </c>
      <c r="AG8" s="103">
        <v>0</v>
      </c>
      <c r="AH8" s="103">
        <v>0</v>
      </c>
      <c r="AI8" s="103">
        <v>0</v>
      </c>
      <c r="AJ8" s="103">
        <v>0</v>
      </c>
      <c r="AK8" s="103">
        <v>0</v>
      </c>
      <c r="AL8" s="103">
        <v>0</v>
      </c>
      <c r="AM8" s="103">
        <v>0</v>
      </c>
      <c r="AN8" s="103">
        <v>0</v>
      </c>
      <c r="AO8" s="103">
        <v>0</v>
      </c>
      <c r="AP8" s="103">
        <v>0</v>
      </c>
      <c r="AQ8" s="103">
        <v>0</v>
      </c>
      <c r="AR8" s="103">
        <v>0</v>
      </c>
      <c r="AS8" s="103">
        <v>0</v>
      </c>
      <c r="AT8" s="103">
        <v>0</v>
      </c>
      <c r="AU8" s="103">
        <v>0</v>
      </c>
    </row>
    <row r="9" spans="1:47">
      <c r="B9" s="103" t="s">
        <v>562</v>
      </c>
      <c r="C9" s="103">
        <v>0</v>
      </c>
      <c r="D9" s="103">
        <v>0</v>
      </c>
      <c r="E9" s="103">
        <v>0</v>
      </c>
      <c r="F9" s="103">
        <v>0</v>
      </c>
      <c r="G9" s="103">
        <v>0</v>
      </c>
      <c r="H9" s="103">
        <v>0</v>
      </c>
      <c r="I9" s="103">
        <v>0</v>
      </c>
      <c r="J9" s="103">
        <v>0</v>
      </c>
      <c r="K9" s="103">
        <v>0</v>
      </c>
      <c r="L9" s="103">
        <v>0</v>
      </c>
      <c r="M9" s="103">
        <v>0</v>
      </c>
      <c r="N9" s="103">
        <v>0</v>
      </c>
      <c r="O9" s="103">
        <v>0</v>
      </c>
      <c r="P9" s="103">
        <v>0</v>
      </c>
      <c r="Q9" s="103">
        <v>0</v>
      </c>
      <c r="R9" s="103">
        <v>0</v>
      </c>
      <c r="S9" s="103">
        <v>0</v>
      </c>
      <c r="T9" s="103">
        <v>0</v>
      </c>
      <c r="U9" s="103">
        <v>0</v>
      </c>
      <c r="V9" s="103">
        <v>0</v>
      </c>
      <c r="W9" s="103">
        <v>0</v>
      </c>
      <c r="X9" s="103">
        <v>0</v>
      </c>
      <c r="Y9" s="103">
        <v>0</v>
      </c>
      <c r="Z9" s="103">
        <v>0</v>
      </c>
      <c r="AA9" s="103">
        <v>0</v>
      </c>
      <c r="AB9" s="103">
        <v>0</v>
      </c>
      <c r="AC9" s="103">
        <v>0</v>
      </c>
      <c r="AD9" s="103">
        <v>0</v>
      </c>
      <c r="AE9" s="103">
        <v>0</v>
      </c>
      <c r="AF9" s="103">
        <v>0</v>
      </c>
      <c r="AG9" s="103">
        <v>0</v>
      </c>
      <c r="AH9" s="103">
        <v>0</v>
      </c>
      <c r="AI9" s="103">
        <v>0</v>
      </c>
      <c r="AJ9" s="103">
        <v>0</v>
      </c>
      <c r="AK9" s="103">
        <v>0</v>
      </c>
      <c r="AL9" s="103">
        <v>0</v>
      </c>
      <c r="AM9" s="103">
        <v>0</v>
      </c>
      <c r="AN9" s="103">
        <v>0</v>
      </c>
      <c r="AO9" s="103">
        <v>0</v>
      </c>
      <c r="AP9" s="103">
        <v>0</v>
      </c>
      <c r="AQ9" s="103">
        <v>0</v>
      </c>
      <c r="AR9" s="103">
        <v>0</v>
      </c>
      <c r="AS9" s="103">
        <v>0</v>
      </c>
      <c r="AT9" s="103">
        <v>0</v>
      </c>
      <c r="AU9" s="103">
        <v>0</v>
      </c>
    </row>
    <row r="10" spans="1:47">
      <c r="B10" s="103" t="s">
        <v>563</v>
      </c>
      <c r="C10" s="103">
        <v>0</v>
      </c>
      <c r="D10" s="103">
        <v>0</v>
      </c>
      <c r="E10" s="103">
        <v>0</v>
      </c>
      <c r="F10" s="103">
        <v>0</v>
      </c>
      <c r="G10" s="103">
        <v>0</v>
      </c>
      <c r="H10" s="103">
        <v>0</v>
      </c>
      <c r="I10" s="103">
        <v>0</v>
      </c>
      <c r="J10" s="103">
        <v>0</v>
      </c>
      <c r="K10" s="103">
        <v>0</v>
      </c>
      <c r="L10" s="103">
        <v>0</v>
      </c>
      <c r="M10" s="103">
        <v>0</v>
      </c>
      <c r="N10" s="103">
        <v>0</v>
      </c>
      <c r="O10" s="103">
        <v>0</v>
      </c>
      <c r="P10" s="103">
        <v>0</v>
      </c>
      <c r="Q10" s="103">
        <v>0</v>
      </c>
      <c r="R10" s="103">
        <v>0</v>
      </c>
      <c r="S10" s="103">
        <v>0</v>
      </c>
      <c r="T10" s="103">
        <v>0</v>
      </c>
      <c r="U10" s="103">
        <v>0</v>
      </c>
      <c r="V10" s="103">
        <v>0</v>
      </c>
      <c r="W10" s="103">
        <v>0</v>
      </c>
      <c r="X10" s="103">
        <v>0</v>
      </c>
      <c r="Y10" s="103">
        <v>0</v>
      </c>
      <c r="Z10" s="103">
        <v>0</v>
      </c>
      <c r="AA10" s="103">
        <v>0</v>
      </c>
      <c r="AB10" s="103">
        <v>0</v>
      </c>
      <c r="AC10" s="103">
        <v>0</v>
      </c>
      <c r="AD10" s="103">
        <v>0</v>
      </c>
      <c r="AE10" s="103">
        <v>0</v>
      </c>
      <c r="AF10" s="103">
        <v>0</v>
      </c>
      <c r="AG10" s="103">
        <v>0</v>
      </c>
      <c r="AH10" s="103">
        <v>0</v>
      </c>
      <c r="AI10" s="103">
        <v>0</v>
      </c>
      <c r="AJ10" s="103">
        <v>0</v>
      </c>
      <c r="AK10" s="103">
        <v>0</v>
      </c>
      <c r="AL10" s="103">
        <v>0</v>
      </c>
      <c r="AM10" s="103">
        <v>0</v>
      </c>
      <c r="AN10" s="103">
        <v>0</v>
      </c>
      <c r="AO10" s="103">
        <v>0</v>
      </c>
      <c r="AP10" s="103">
        <v>0</v>
      </c>
      <c r="AQ10" s="103">
        <v>0</v>
      </c>
      <c r="AR10" s="103">
        <v>0</v>
      </c>
      <c r="AS10" s="103">
        <v>0</v>
      </c>
      <c r="AT10" s="103">
        <v>0</v>
      </c>
      <c r="AU10" s="103">
        <v>0</v>
      </c>
    </row>
    <row r="12" spans="1:47" s="64" customFormat="1">
      <c r="A12" s="124" t="s">
        <v>87</v>
      </c>
    </row>
    <row r="13" spans="1:47">
      <c r="B13" s="103" t="s">
        <v>0</v>
      </c>
      <c r="C13" s="103">
        <v>2006</v>
      </c>
      <c r="D13" s="103">
        <v>2007</v>
      </c>
      <c r="E13" s="103">
        <v>2008</v>
      </c>
      <c r="F13" s="103">
        <v>2009</v>
      </c>
      <c r="G13" s="103">
        <v>2010</v>
      </c>
      <c r="H13" s="103">
        <v>2011</v>
      </c>
      <c r="I13" s="103">
        <v>2012</v>
      </c>
      <c r="J13" s="103">
        <v>2013</v>
      </c>
      <c r="K13" s="103">
        <v>2014</v>
      </c>
      <c r="L13" s="103">
        <v>2015</v>
      </c>
      <c r="M13" s="103">
        <v>2016</v>
      </c>
      <c r="N13" s="103">
        <v>2017</v>
      </c>
      <c r="O13" s="103">
        <v>2018</v>
      </c>
      <c r="P13" s="103">
        <v>2019</v>
      </c>
      <c r="Q13" s="103">
        <v>2020</v>
      </c>
      <c r="R13" s="103">
        <v>2021</v>
      </c>
      <c r="S13" s="103">
        <v>2022</v>
      </c>
      <c r="T13" s="103">
        <v>2023</v>
      </c>
      <c r="U13" s="103">
        <v>2024</v>
      </c>
      <c r="V13" s="103">
        <v>2025</v>
      </c>
      <c r="W13" s="103">
        <v>2026</v>
      </c>
      <c r="X13" s="103">
        <v>2027</v>
      </c>
      <c r="Y13" s="103">
        <v>2028</v>
      </c>
      <c r="Z13" s="103">
        <v>2029</v>
      </c>
      <c r="AA13" s="103">
        <v>2030</v>
      </c>
      <c r="AB13" s="103">
        <v>2031</v>
      </c>
      <c r="AC13" s="103">
        <v>2032</v>
      </c>
      <c r="AD13" s="103">
        <v>2033</v>
      </c>
      <c r="AE13" s="103">
        <v>2034</v>
      </c>
      <c r="AF13" s="103">
        <v>2035</v>
      </c>
      <c r="AG13" s="103">
        <v>2036</v>
      </c>
      <c r="AH13" s="103">
        <v>2037</v>
      </c>
      <c r="AI13" s="103">
        <v>2038</v>
      </c>
      <c r="AJ13" s="103">
        <v>2039</v>
      </c>
      <c r="AK13" s="103">
        <v>2040</v>
      </c>
      <c r="AL13" s="103">
        <v>2041</v>
      </c>
      <c r="AM13" s="103">
        <v>2042</v>
      </c>
      <c r="AN13" s="103">
        <v>2043</v>
      </c>
      <c r="AO13" s="103">
        <v>2044</v>
      </c>
      <c r="AP13" s="103">
        <v>2045</v>
      </c>
      <c r="AQ13" s="103">
        <v>2046</v>
      </c>
      <c r="AR13" s="103">
        <v>2047</v>
      </c>
      <c r="AS13" s="103">
        <v>2048</v>
      </c>
      <c r="AT13" s="103">
        <v>2049</v>
      </c>
      <c r="AU13" s="103">
        <v>2050</v>
      </c>
    </row>
    <row r="14" spans="1:47">
      <c r="B14" s="103" t="s">
        <v>558</v>
      </c>
      <c r="C14" s="103">
        <f t="array" ref="C14:AU19">TRANSPOSE(Public_1!L5:Q49)</f>
        <v>5435.9123110378914</v>
      </c>
      <c r="D14" s="103">
        <v>5372.7730705074746</v>
      </c>
      <c r="E14" s="103">
        <v>5178.9023945094059</v>
      </c>
      <c r="F14" s="103">
        <v>5545.4268464933793</v>
      </c>
      <c r="G14" s="103">
        <v>5547.6434798579658</v>
      </c>
      <c r="H14" s="103">
        <v>5576.1393494228751</v>
      </c>
      <c r="I14" s="103">
        <v>5701.0834977899885</v>
      </c>
      <c r="J14" s="103">
        <v>4996.6326500030718</v>
      </c>
      <c r="K14" s="103">
        <v>6380.1833257403187</v>
      </c>
      <c r="L14" s="103">
        <v>6237.44040920716</v>
      </c>
      <c r="M14" s="103">
        <v>6157.257011016899</v>
      </c>
      <c r="N14" s="103">
        <v>5869.6856100071072</v>
      </c>
      <c r="O14" s="103">
        <v>6083.8259711194896</v>
      </c>
      <c r="P14" s="103">
        <v>6293.4958099755404</v>
      </c>
      <c r="Q14" s="103">
        <v>6508.0603172919709</v>
      </c>
      <c r="R14" s="103">
        <v>6719.6324830810272</v>
      </c>
      <c r="S14" s="103">
        <v>6931.5595235032079</v>
      </c>
      <c r="T14" s="103">
        <v>7143.1089139976166</v>
      </c>
      <c r="U14" s="103">
        <v>7351.1239754148237</v>
      </c>
      <c r="V14" s="103">
        <v>7557.1297608585573</v>
      </c>
      <c r="W14" s="103">
        <v>7759.7520700126361</v>
      </c>
      <c r="X14" s="103">
        <v>7960.3616059514343</v>
      </c>
      <c r="Y14" s="103">
        <v>8162.1297072969819</v>
      </c>
      <c r="Z14" s="103">
        <v>8363.4421482659363</v>
      </c>
      <c r="AA14" s="103">
        <v>8562.3443594409509</v>
      </c>
      <c r="AB14" s="103">
        <v>8759.8108696326253</v>
      </c>
      <c r="AC14" s="103">
        <v>8956.0146483918488</v>
      </c>
      <c r="AD14" s="103">
        <v>9151.7212631244474</v>
      </c>
      <c r="AE14" s="103">
        <v>9344.5255427752709</v>
      </c>
      <c r="AF14" s="103">
        <v>9532.5717976634405</v>
      </c>
      <c r="AG14" s="103">
        <v>9716.4066363116308</v>
      </c>
      <c r="AH14" s="103">
        <v>9895.5436277945064</v>
      </c>
      <c r="AI14" s="103">
        <v>10068.993778340244</v>
      </c>
      <c r="AJ14" s="103">
        <v>10235.2300886132</v>
      </c>
      <c r="AK14" s="103">
        <v>10395.067253071076</v>
      </c>
      <c r="AL14" s="103">
        <v>10547.465546240061</v>
      </c>
      <c r="AM14" s="103">
        <v>10692.782760870552</v>
      </c>
      <c r="AN14" s="103">
        <v>10832.869114147008</v>
      </c>
      <c r="AO14" s="103">
        <v>10967.019219082486</v>
      </c>
      <c r="AP14" s="103">
        <v>11094.101674621901</v>
      </c>
      <c r="AQ14" s="103">
        <v>11214.45009121074</v>
      </c>
      <c r="AR14" s="103">
        <v>11326.4959609656</v>
      </c>
      <c r="AS14" s="103">
        <v>11432.249528053282</v>
      </c>
      <c r="AT14" s="103">
        <v>11530.295705369505</v>
      </c>
      <c r="AU14" s="103">
        <v>11620.742513112787</v>
      </c>
    </row>
    <row r="15" spans="1:47">
      <c r="B15" s="103" t="s">
        <v>559</v>
      </c>
      <c r="C15" s="103">
        <v>0</v>
      </c>
      <c r="D15" s="103">
        <v>0</v>
      </c>
      <c r="E15" s="103">
        <v>0</v>
      </c>
      <c r="F15" s="103">
        <v>0</v>
      </c>
      <c r="G15" s="103">
        <v>0</v>
      </c>
      <c r="H15" s="103">
        <v>0</v>
      </c>
      <c r="I15" s="103">
        <v>0</v>
      </c>
      <c r="J15" s="103">
        <v>0</v>
      </c>
      <c r="K15" s="103">
        <v>0</v>
      </c>
      <c r="L15" s="103">
        <v>0</v>
      </c>
      <c r="M15" s="103">
        <v>0</v>
      </c>
      <c r="N15" s="103">
        <v>0</v>
      </c>
      <c r="O15" s="103">
        <v>0</v>
      </c>
      <c r="P15" s="103">
        <v>0</v>
      </c>
      <c r="Q15" s="103">
        <v>0</v>
      </c>
      <c r="R15" s="103">
        <v>0</v>
      </c>
      <c r="S15" s="103">
        <v>0</v>
      </c>
      <c r="T15" s="103">
        <v>0</v>
      </c>
      <c r="U15" s="103">
        <v>0</v>
      </c>
      <c r="V15" s="103">
        <v>0</v>
      </c>
      <c r="W15" s="103">
        <v>0</v>
      </c>
      <c r="X15" s="103">
        <v>0</v>
      </c>
      <c r="Y15" s="103">
        <v>0</v>
      </c>
      <c r="Z15" s="103">
        <v>0</v>
      </c>
      <c r="AA15" s="103">
        <v>0</v>
      </c>
      <c r="AB15" s="103">
        <v>0</v>
      </c>
      <c r="AC15" s="103">
        <v>0</v>
      </c>
      <c r="AD15" s="103">
        <v>0</v>
      </c>
      <c r="AE15" s="103">
        <v>0</v>
      </c>
      <c r="AF15" s="103">
        <v>0</v>
      </c>
      <c r="AG15" s="103">
        <v>0</v>
      </c>
      <c r="AH15" s="103">
        <v>0</v>
      </c>
      <c r="AI15" s="103">
        <v>0</v>
      </c>
      <c r="AJ15" s="103">
        <v>0</v>
      </c>
      <c r="AK15" s="103">
        <v>0</v>
      </c>
      <c r="AL15" s="103">
        <v>0</v>
      </c>
      <c r="AM15" s="103">
        <v>0</v>
      </c>
      <c r="AN15" s="103">
        <v>0</v>
      </c>
      <c r="AO15" s="103">
        <v>0</v>
      </c>
      <c r="AP15" s="103">
        <v>0</v>
      </c>
      <c r="AQ15" s="103">
        <v>0</v>
      </c>
      <c r="AR15" s="103">
        <v>0</v>
      </c>
      <c r="AS15" s="103">
        <v>0</v>
      </c>
      <c r="AT15" s="103">
        <v>0</v>
      </c>
      <c r="AU15" s="103">
        <v>0</v>
      </c>
    </row>
    <row r="16" spans="1:47">
      <c r="B16" s="103" t="s">
        <v>560</v>
      </c>
      <c r="C16" s="103">
        <v>0</v>
      </c>
      <c r="D16" s="103">
        <v>0</v>
      </c>
      <c r="E16" s="103">
        <v>0</v>
      </c>
      <c r="F16" s="103">
        <v>0</v>
      </c>
      <c r="G16" s="103">
        <v>0</v>
      </c>
      <c r="H16" s="103">
        <v>0</v>
      </c>
      <c r="I16" s="103">
        <v>0</v>
      </c>
      <c r="J16" s="103">
        <v>0</v>
      </c>
      <c r="K16" s="103">
        <v>0</v>
      </c>
      <c r="L16" s="103">
        <v>0</v>
      </c>
      <c r="M16" s="103">
        <v>0</v>
      </c>
      <c r="N16" s="103">
        <v>0</v>
      </c>
      <c r="O16" s="103">
        <v>0</v>
      </c>
      <c r="P16" s="103">
        <v>0</v>
      </c>
      <c r="Q16" s="103">
        <v>0</v>
      </c>
      <c r="R16" s="103">
        <v>0</v>
      </c>
      <c r="S16" s="103">
        <v>0</v>
      </c>
      <c r="T16" s="103">
        <v>0</v>
      </c>
      <c r="U16" s="103">
        <v>0</v>
      </c>
      <c r="V16" s="103">
        <v>0</v>
      </c>
      <c r="W16" s="103">
        <v>0</v>
      </c>
      <c r="X16" s="103">
        <v>0</v>
      </c>
      <c r="Y16" s="103">
        <v>0</v>
      </c>
      <c r="Z16" s="103">
        <v>0</v>
      </c>
      <c r="AA16" s="103">
        <v>0</v>
      </c>
      <c r="AB16" s="103">
        <v>0</v>
      </c>
      <c r="AC16" s="103">
        <v>0</v>
      </c>
      <c r="AD16" s="103">
        <v>0</v>
      </c>
      <c r="AE16" s="103">
        <v>0</v>
      </c>
      <c r="AF16" s="103">
        <v>0</v>
      </c>
      <c r="AG16" s="103">
        <v>0</v>
      </c>
      <c r="AH16" s="103">
        <v>0</v>
      </c>
      <c r="AI16" s="103">
        <v>0</v>
      </c>
      <c r="AJ16" s="103">
        <v>0</v>
      </c>
      <c r="AK16" s="103">
        <v>0</v>
      </c>
      <c r="AL16" s="103">
        <v>0</v>
      </c>
      <c r="AM16" s="103">
        <v>0</v>
      </c>
      <c r="AN16" s="103">
        <v>0</v>
      </c>
      <c r="AO16" s="103">
        <v>0</v>
      </c>
      <c r="AP16" s="103">
        <v>0</v>
      </c>
      <c r="AQ16" s="103">
        <v>0</v>
      </c>
      <c r="AR16" s="103">
        <v>0</v>
      </c>
      <c r="AS16" s="103">
        <v>0</v>
      </c>
      <c r="AT16" s="103">
        <v>0</v>
      </c>
      <c r="AU16" s="103">
        <v>0</v>
      </c>
    </row>
    <row r="17" spans="1:47">
      <c r="B17" s="103" t="s">
        <v>561</v>
      </c>
      <c r="C17" s="103">
        <v>0</v>
      </c>
      <c r="D17" s="103">
        <v>0</v>
      </c>
      <c r="E17" s="103">
        <v>0</v>
      </c>
      <c r="F17" s="103">
        <v>0</v>
      </c>
      <c r="G17" s="103">
        <v>0</v>
      </c>
      <c r="H17" s="103">
        <v>0</v>
      </c>
      <c r="I17" s="103">
        <v>0</v>
      </c>
      <c r="J17" s="103">
        <v>0</v>
      </c>
      <c r="K17" s="103">
        <v>0</v>
      </c>
      <c r="L17" s="103">
        <v>0</v>
      </c>
      <c r="M17" s="103">
        <v>0</v>
      </c>
      <c r="N17" s="103">
        <v>0</v>
      </c>
      <c r="O17" s="103">
        <v>0</v>
      </c>
      <c r="P17" s="103">
        <v>0</v>
      </c>
      <c r="Q17" s="103">
        <v>0</v>
      </c>
      <c r="R17" s="103">
        <v>0</v>
      </c>
      <c r="S17" s="103">
        <v>0</v>
      </c>
      <c r="T17" s="103">
        <v>0</v>
      </c>
      <c r="U17" s="103">
        <v>0</v>
      </c>
      <c r="V17" s="103">
        <v>0</v>
      </c>
      <c r="W17" s="103">
        <v>0</v>
      </c>
      <c r="X17" s="103">
        <v>0</v>
      </c>
      <c r="Y17" s="103">
        <v>0</v>
      </c>
      <c r="Z17" s="103">
        <v>0</v>
      </c>
      <c r="AA17" s="103">
        <v>0</v>
      </c>
      <c r="AB17" s="103">
        <v>0</v>
      </c>
      <c r="AC17" s="103">
        <v>0</v>
      </c>
      <c r="AD17" s="103">
        <v>0</v>
      </c>
      <c r="AE17" s="103">
        <v>0</v>
      </c>
      <c r="AF17" s="103">
        <v>0</v>
      </c>
      <c r="AG17" s="103">
        <v>0</v>
      </c>
      <c r="AH17" s="103">
        <v>0</v>
      </c>
      <c r="AI17" s="103">
        <v>0</v>
      </c>
      <c r="AJ17" s="103">
        <v>0</v>
      </c>
      <c r="AK17" s="103">
        <v>0</v>
      </c>
      <c r="AL17" s="103">
        <v>0</v>
      </c>
      <c r="AM17" s="103">
        <v>0</v>
      </c>
      <c r="AN17" s="103">
        <v>0</v>
      </c>
      <c r="AO17" s="103">
        <v>0</v>
      </c>
      <c r="AP17" s="103">
        <v>0</v>
      </c>
      <c r="AQ17" s="103">
        <v>0</v>
      </c>
      <c r="AR17" s="103">
        <v>0</v>
      </c>
      <c r="AS17" s="103">
        <v>0</v>
      </c>
      <c r="AT17" s="103">
        <v>0</v>
      </c>
      <c r="AU17" s="103">
        <v>0</v>
      </c>
    </row>
    <row r="18" spans="1:47">
      <c r="B18" s="103" t="s">
        <v>562</v>
      </c>
      <c r="C18" s="103">
        <v>0</v>
      </c>
      <c r="D18" s="103">
        <v>0</v>
      </c>
      <c r="E18" s="103">
        <v>0</v>
      </c>
      <c r="F18" s="103">
        <v>0</v>
      </c>
      <c r="G18" s="103">
        <v>0</v>
      </c>
      <c r="H18" s="103">
        <v>0</v>
      </c>
      <c r="I18" s="103">
        <v>0</v>
      </c>
      <c r="J18" s="103">
        <v>0</v>
      </c>
      <c r="K18" s="103">
        <v>0</v>
      </c>
      <c r="L18" s="103">
        <v>0</v>
      </c>
      <c r="M18" s="103">
        <v>0</v>
      </c>
      <c r="N18" s="103">
        <v>0</v>
      </c>
      <c r="O18" s="103">
        <v>0</v>
      </c>
      <c r="P18" s="103">
        <v>0</v>
      </c>
      <c r="Q18" s="103">
        <v>0</v>
      </c>
      <c r="R18" s="103">
        <v>0</v>
      </c>
      <c r="S18" s="103">
        <v>0</v>
      </c>
      <c r="T18" s="103">
        <v>0</v>
      </c>
      <c r="U18" s="103">
        <v>0</v>
      </c>
      <c r="V18" s="103">
        <v>0</v>
      </c>
      <c r="W18" s="103">
        <v>0</v>
      </c>
      <c r="X18" s="103">
        <v>0</v>
      </c>
      <c r="Y18" s="103">
        <v>0</v>
      </c>
      <c r="Z18" s="103">
        <v>0</v>
      </c>
      <c r="AA18" s="103">
        <v>0</v>
      </c>
      <c r="AB18" s="103">
        <v>0</v>
      </c>
      <c r="AC18" s="103">
        <v>0</v>
      </c>
      <c r="AD18" s="103">
        <v>0</v>
      </c>
      <c r="AE18" s="103">
        <v>0</v>
      </c>
      <c r="AF18" s="103">
        <v>0</v>
      </c>
      <c r="AG18" s="103">
        <v>0</v>
      </c>
      <c r="AH18" s="103">
        <v>0</v>
      </c>
      <c r="AI18" s="103">
        <v>0</v>
      </c>
      <c r="AJ18" s="103">
        <v>0</v>
      </c>
      <c r="AK18" s="103">
        <v>0</v>
      </c>
      <c r="AL18" s="103">
        <v>0</v>
      </c>
      <c r="AM18" s="103">
        <v>0</v>
      </c>
      <c r="AN18" s="103">
        <v>0</v>
      </c>
      <c r="AO18" s="103">
        <v>0</v>
      </c>
      <c r="AP18" s="103">
        <v>0</v>
      </c>
      <c r="AQ18" s="103">
        <v>0</v>
      </c>
      <c r="AR18" s="103">
        <v>0</v>
      </c>
      <c r="AS18" s="103">
        <v>0</v>
      </c>
      <c r="AT18" s="103">
        <v>0</v>
      </c>
      <c r="AU18" s="103">
        <v>0</v>
      </c>
    </row>
    <row r="19" spans="1:47">
      <c r="B19" s="103" t="s">
        <v>563</v>
      </c>
      <c r="C19" s="103">
        <v>0</v>
      </c>
      <c r="D19" s="103">
        <v>0</v>
      </c>
      <c r="E19" s="103">
        <v>0</v>
      </c>
      <c r="F19" s="103">
        <v>0</v>
      </c>
      <c r="G19" s="103">
        <v>0</v>
      </c>
      <c r="H19" s="103">
        <v>0</v>
      </c>
      <c r="I19" s="103">
        <v>0</v>
      </c>
      <c r="J19" s="103">
        <v>0</v>
      </c>
      <c r="K19" s="103">
        <v>0</v>
      </c>
      <c r="L19" s="103">
        <v>0</v>
      </c>
      <c r="M19" s="103">
        <v>0</v>
      </c>
      <c r="N19" s="103">
        <v>0</v>
      </c>
      <c r="O19" s="103">
        <v>0</v>
      </c>
      <c r="P19" s="103">
        <v>0</v>
      </c>
      <c r="Q19" s="103">
        <v>0</v>
      </c>
      <c r="R19" s="103">
        <v>0</v>
      </c>
      <c r="S19" s="103">
        <v>0</v>
      </c>
      <c r="T19" s="103">
        <v>0</v>
      </c>
      <c r="U19" s="103">
        <v>0</v>
      </c>
      <c r="V19" s="103">
        <v>0</v>
      </c>
      <c r="W19" s="103">
        <v>0</v>
      </c>
      <c r="X19" s="103">
        <v>0</v>
      </c>
      <c r="Y19" s="103">
        <v>0</v>
      </c>
      <c r="Z19" s="103">
        <v>0</v>
      </c>
      <c r="AA19" s="103">
        <v>0</v>
      </c>
      <c r="AB19" s="103">
        <v>0</v>
      </c>
      <c r="AC19" s="103">
        <v>0</v>
      </c>
      <c r="AD19" s="103">
        <v>0</v>
      </c>
      <c r="AE19" s="103">
        <v>0</v>
      </c>
      <c r="AF19" s="103">
        <v>0</v>
      </c>
      <c r="AG19" s="103">
        <v>0</v>
      </c>
      <c r="AH19" s="103">
        <v>0</v>
      </c>
      <c r="AI19" s="103">
        <v>0</v>
      </c>
      <c r="AJ19" s="103">
        <v>0</v>
      </c>
      <c r="AK19" s="103">
        <v>0</v>
      </c>
      <c r="AL19" s="103">
        <v>0</v>
      </c>
      <c r="AM19" s="103">
        <v>0</v>
      </c>
      <c r="AN19" s="103">
        <v>0</v>
      </c>
      <c r="AO19" s="103">
        <v>0</v>
      </c>
      <c r="AP19" s="103">
        <v>0</v>
      </c>
      <c r="AQ19" s="103">
        <v>0</v>
      </c>
      <c r="AR19" s="103">
        <v>0</v>
      </c>
      <c r="AS19" s="103">
        <v>0</v>
      </c>
      <c r="AT19" s="103">
        <v>0</v>
      </c>
      <c r="AU19" s="103">
        <v>0</v>
      </c>
    </row>
    <row r="21" spans="1:47" s="64" customFormat="1">
      <c r="A21" s="124" t="s">
        <v>88</v>
      </c>
    </row>
    <row r="22" spans="1:47">
      <c r="B22" s="103" t="s">
        <v>1</v>
      </c>
      <c r="C22" s="103">
        <v>2006</v>
      </c>
      <c r="D22" s="103">
        <v>2007</v>
      </c>
      <c r="E22" s="103">
        <v>2008</v>
      </c>
      <c r="F22" s="103">
        <v>2009</v>
      </c>
      <c r="G22" s="103">
        <v>2010</v>
      </c>
      <c r="H22" s="103">
        <v>2011</v>
      </c>
      <c r="I22" s="103">
        <v>2012</v>
      </c>
      <c r="J22" s="103">
        <v>2013</v>
      </c>
      <c r="K22" s="103">
        <v>2014</v>
      </c>
      <c r="L22" s="103">
        <v>2015</v>
      </c>
      <c r="M22" s="103">
        <v>2016</v>
      </c>
      <c r="N22" s="103">
        <v>2017</v>
      </c>
      <c r="O22" s="103">
        <v>2018</v>
      </c>
      <c r="P22" s="103">
        <v>2019</v>
      </c>
      <c r="Q22" s="103">
        <v>2020</v>
      </c>
      <c r="R22" s="103">
        <v>2021</v>
      </c>
      <c r="S22" s="103">
        <v>2022</v>
      </c>
      <c r="T22" s="103">
        <v>2023</v>
      </c>
      <c r="U22" s="103">
        <v>2024</v>
      </c>
      <c r="V22" s="103">
        <v>2025</v>
      </c>
      <c r="W22" s="103">
        <v>2026</v>
      </c>
      <c r="X22" s="103">
        <v>2027</v>
      </c>
      <c r="Y22" s="103">
        <v>2028</v>
      </c>
      <c r="Z22" s="103">
        <v>2029</v>
      </c>
      <c r="AA22" s="103">
        <v>2030</v>
      </c>
      <c r="AB22" s="103">
        <v>2031</v>
      </c>
      <c r="AC22" s="103">
        <v>2032</v>
      </c>
      <c r="AD22" s="103">
        <v>2033</v>
      </c>
      <c r="AE22" s="103">
        <v>2034</v>
      </c>
      <c r="AF22" s="103">
        <v>2035</v>
      </c>
      <c r="AG22" s="103">
        <v>2036</v>
      </c>
      <c r="AH22" s="103">
        <v>2037</v>
      </c>
      <c r="AI22" s="103">
        <v>2038</v>
      </c>
      <c r="AJ22" s="103">
        <v>2039</v>
      </c>
      <c r="AK22" s="103">
        <v>2040</v>
      </c>
      <c r="AL22" s="103">
        <v>2041</v>
      </c>
      <c r="AM22" s="103">
        <v>2042</v>
      </c>
      <c r="AN22" s="103">
        <v>2043</v>
      </c>
      <c r="AO22" s="103">
        <v>2044</v>
      </c>
      <c r="AP22" s="103">
        <v>2045</v>
      </c>
      <c r="AQ22" s="103">
        <v>2046</v>
      </c>
      <c r="AR22" s="103">
        <v>2047</v>
      </c>
      <c r="AS22" s="103">
        <v>2048</v>
      </c>
      <c r="AT22" s="103">
        <v>2049</v>
      </c>
      <c r="AU22" s="103">
        <v>2050</v>
      </c>
    </row>
    <row r="23" spans="1:47">
      <c r="B23" s="103" t="s">
        <v>40</v>
      </c>
      <c r="C23" s="103">
        <f t="array" ref="C23:AU28">TRANSPOSE(Public_1!V5:AA49)</f>
        <v>0</v>
      </c>
      <c r="D23" s="103">
        <v>0</v>
      </c>
      <c r="E23" s="103">
        <v>0</v>
      </c>
      <c r="F23" s="103">
        <v>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row>
    <row r="24" spans="1:47">
      <c r="B24" s="103" t="s">
        <v>82</v>
      </c>
      <c r="C24" s="103">
        <v>0</v>
      </c>
      <c r="D24" s="103">
        <v>0</v>
      </c>
      <c r="E24" s="103">
        <v>0</v>
      </c>
      <c r="F24" s="103">
        <v>0</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row>
    <row r="25" spans="1:47">
      <c r="B25" s="103" t="s">
        <v>81</v>
      </c>
      <c r="C25" s="103">
        <v>0</v>
      </c>
      <c r="D25" s="103">
        <v>0</v>
      </c>
      <c r="E25" s="103">
        <v>0</v>
      </c>
      <c r="F25" s="103">
        <v>0</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row>
    <row r="26" spans="1:47">
      <c r="B26" s="103" t="s">
        <v>83</v>
      </c>
      <c r="C26" s="103">
        <v>0</v>
      </c>
      <c r="D26" s="103">
        <v>0</v>
      </c>
      <c r="E26" s="103">
        <v>0</v>
      </c>
      <c r="F26" s="103">
        <v>0</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row>
    <row r="27" spans="1:47">
      <c r="B27" s="103" t="s">
        <v>85</v>
      </c>
      <c r="C27" s="103">
        <v>0</v>
      </c>
      <c r="D27" s="103">
        <v>0</v>
      </c>
      <c r="E27" s="103">
        <v>0</v>
      </c>
      <c r="F27" s="103">
        <v>0</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row>
    <row r="28" spans="1:47">
      <c r="B28" s="103" t="s">
        <v>84</v>
      </c>
      <c r="C28" s="103">
        <v>0</v>
      </c>
      <c r="D28" s="103">
        <v>0</v>
      </c>
      <c r="E28" s="103">
        <v>0</v>
      </c>
      <c r="F28" s="103">
        <v>0</v>
      </c>
      <c r="G28" s="103">
        <v>0</v>
      </c>
      <c r="H28" s="103">
        <v>0</v>
      </c>
      <c r="I28" s="103">
        <v>0</v>
      </c>
      <c r="J28" s="103">
        <v>0</v>
      </c>
      <c r="K28" s="103">
        <v>0</v>
      </c>
      <c r="L28" s="103">
        <v>0</v>
      </c>
      <c r="M28" s="103">
        <v>0</v>
      </c>
      <c r="N28" s="103">
        <v>0</v>
      </c>
      <c r="O28" s="103">
        <v>0</v>
      </c>
      <c r="P28" s="103">
        <v>0</v>
      </c>
      <c r="Q28" s="103">
        <v>0</v>
      </c>
      <c r="R28" s="103">
        <v>0</v>
      </c>
      <c r="S28" s="103">
        <v>0</v>
      </c>
      <c r="T28" s="103">
        <v>0</v>
      </c>
      <c r="U28" s="103">
        <v>0</v>
      </c>
      <c r="V28" s="103">
        <v>0</v>
      </c>
      <c r="W28" s="103">
        <v>0</v>
      </c>
      <c r="X28" s="103">
        <v>0</v>
      </c>
      <c r="Y28" s="103">
        <v>0</v>
      </c>
      <c r="Z28" s="103">
        <v>0</v>
      </c>
      <c r="AA28" s="103">
        <v>0</v>
      </c>
      <c r="AB28" s="103">
        <v>0</v>
      </c>
      <c r="AC28" s="103">
        <v>0</v>
      </c>
      <c r="AD28" s="103">
        <v>0</v>
      </c>
      <c r="AE28" s="103">
        <v>0</v>
      </c>
      <c r="AF28" s="103">
        <v>0</v>
      </c>
      <c r="AG28" s="103">
        <v>0</v>
      </c>
      <c r="AH28" s="103">
        <v>0</v>
      </c>
      <c r="AI28" s="103">
        <v>0</v>
      </c>
      <c r="AJ28" s="103">
        <v>0</v>
      </c>
      <c r="AK28" s="103">
        <v>0</v>
      </c>
      <c r="AL28" s="103">
        <v>0</v>
      </c>
      <c r="AM28" s="103">
        <v>0</v>
      </c>
      <c r="AN28" s="103">
        <v>0</v>
      </c>
      <c r="AO28" s="103">
        <v>0</v>
      </c>
      <c r="AP28" s="103">
        <v>0</v>
      </c>
      <c r="AQ28" s="103">
        <v>0</v>
      </c>
      <c r="AR28" s="103">
        <v>0</v>
      </c>
      <c r="AS28" s="103">
        <v>0</v>
      </c>
      <c r="AT28" s="103">
        <v>0</v>
      </c>
      <c r="AU28" s="103">
        <v>0</v>
      </c>
    </row>
    <row r="30" spans="1:47" s="64" customFormat="1">
      <c r="A30" s="124" t="s">
        <v>89</v>
      </c>
    </row>
    <row r="31" spans="1:47">
      <c r="B31" s="103" t="s">
        <v>0</v>
      </c>
      <c r="C31" s="103">
        <v>2006</v>
      </c>
      <c r="D31" s="103">
        <v>2007</v>
      </c>
      <c r="E31" s="103">
        <v>2008</v>
      </c>
      <c r="F31" s="103">
        <v>2009</v>
      </c>
      <c r="G31" s="103">
        <v>2010</v>
      </c>
      <c r="H31" s="103">
        <v>2011</v>
      </c>
      <c r="I31" s="103">
        <v>2012</v>
      </c>
      <c r="J31" s="103">
        <v>2013</v>
      </c>
      <c r="K31" s="103">
        <v>2014</v>
      </c>
      <c r="L31" s="103">
        <v>2015</v>
      </c>
      <c r="M31" s="103">
        <v>2016</v>
      </c>
      <c r="N31" s="103">
        <v>2017</v>
      </c>
      <c r="O31" s="103">
        <v>2018</v>
      </c>
      <c r="P31" s="103">
        <v>2019</v>
      </c>
      <c r="Q31" s="103">
        <v>2020</v>
      </c>
      <c r="R31" s="103">
        <v>2021</v>
      </c>
      <c r="S31" s="103">
        <v>2022</v>
      </c>
      <c r="T31" s="103">
        <v>2023</v>
      </c>
      <c r="U31" s="103">
        <v>2024</v>
      </c>
      <c r="V31" s="103">
        <v>2025</v>
      </c>
      <c r="W31" s="103">
        <v>2026</v>
      </c>
      <c r="X31" s="103">
        <v>2027</v>
      </c>
      <c r="Y31" s="103">
        <v>2028</v>
      </c>
      <c r="Z31" s="103">
        <v>2029</v>
      </c>
      <c r="AA31" s="103">
        <v>2030</v>
      </c>
      <c r="AB31" s="103">
        <v>2031</v>
      </c>
      <c r="AC31" s="103">
        <v>2032</v>
      </c>
      <c r="AD31" s="103">
        <v>2033</v>
      </c>
      <c r="AE31" s="103">
        <v>2034</v>
      </c>
      <c r="AF31" s="103">
        <v>2035</v>
      </c>
      <c r="AG31" s="103">
        <v>2036</v>
      </c>
      <c r="AH31" s="103">
        <v>2037</v>
      </c>
      <c r="AI31" s="103">
        <v>2038</v>
      </c>
      <c r="AJ31" s="103">
        <v>2039</v>
      </c>
      <c r="AK31" s="103">
        <v>2040</v>
      </c>
      <c r="AL31" s="103">
        <v>2041</v>
      </c>
      <c r="AM31" s="103">
        <v>2042</v>
      </c>
      <c r="AN31" s="103">
        <v>2043</v>
      </c>
      <c r="AO31" s="103">
        <v>2044</v>
      </c>
      <c r="AP31" s="103">
        <v>2045</v>
      </c>
      <c r="AQ31" s="103">
        <v>2046</v>
      </c>
      <c r="AR31" s="103">
        <v>2047</v>
      </c>
      <c r="AS31" s="103">
        <v>2048</v>
      </c>
      <c r="AT31" s="103">
        <v>2049</v>
      </c>
      <c r="AU31" s="103">
        <v>2050</v>
      </c>
    </row>
    <row r="32" spans="1:47">
      <c r="B32" s="103" t="s">
        <v>558</v>
      </c>
      <c r="C32" s="103">
        <f t="array" ref="C32:AU37">TRANSPOSE(Public_1!AF5:AK49)</f>
        <v>8152.7825871499181</v>
      </c>
      <c r="D32" s="103">
        <v>8630.2129595175484</v>
      </c>
      <c r="E32" s="103">
        <v>8899.2305414336552</v>
      </c>
      <c r="F32" s="103">
        <v>9210.8637959784228</v>
      </c>
      <c r="G32" s="103">
        <v>9004.2935006734442</v>
      </c>
      <c r="H32" s="103">
        <v>8982.6854144805875</v>
      </c>
      <c r="I32" s="103">
        <v>9199.0513152550466</v>
      </c>
      <c r="J32" s="103">
        <v>9236.1997469753751</v>
      </c>
      <c r="K32" s="103">
        <v>9329.5030523917994</v>
      </c>
      <c r="L32" s="103">
        <v>9134.0171355498715</v>
      </c>
      <c r="M32" s="103">
        <v>9323.3465536136573</v>
      </c>
      <c r="N32" s="103">
        <v>10194.174384732241</v>
      </c>
      <c r="O32" s="103">
        <v>10258.996554482088</v>
      </c>
      <c r="P32" s="103">
        <v>10310.262874475391</v>
      </c>
      <c r="Q32" s="103">
        <v>10363.942753477191</v>
      </c>
      <c r="R32" s="103">
        <v>10407.552282599121</v>
      </c>
      <c r="S32" s="103">
        <v>10446.878340972764</v>
      </c>
      <c r="T32" s="103">
        <v>10481.122654405848</v>
      </c>
      <c r="U32" s="103">
        <v>10506.110204306675</v>
      </c>
      <c r="V32" s="103">
        <v>10524.618664012116</v>
      </c>
      <c r="W32" s="103">
        <v>10535.221844995944</v>
      </c>
      <c r="X32" s="103">
        <v>10540.277009272784</v>
      </c>
      <c r="Y32" s="103">
        <v>10544.247668411936</v>
      </c>
      <c r="Z32" s="103">
        <v>10545.141725630136</v>
      </c>
      <c r="AA32" s="103">
        <v>10540.737240279586</v>
      </c>
      <c r="AB32" s="103">
        <v>10532.544590599771</v>
      </c>
      <c r="AC32" s="103">
        <v>10520.999890276929</v>
      </c>
      <c r="AD32" s="103">
        <v>10507.18435443407</v>
      </c>
      <c r="AE32" s="103">
        <v>10488.527262837535</v>
      </c>
      <c r="AF32" s="103">
        <v>10463.290519563096</v>
      </c>
      <c r="AG32" s="103">
        <v>10432.472570240679</v>
      </c>
      <c r="AH32" s="103">
        <v>10395.908258133015</v>
      </c>
      <c r="AI32" s="103">
        <v>10352.936271940782</v>
      </c>
      <c r="AJ32" s="103">
        <v>10302.416158077409</v>
      </c>
      <c r="AK32" s="103">
        <v>10245.617944704989</v>
      </c>
      <c r="AL32" s="103">
        <v>10181.925916470669</v>
      </c>
      <c r="AM32" s="103">
        <v>10112.103572986176</v>
      </c>
      <c r="AN32" s="103">
        <v>10038.244069026794</v>
      </c>
      <c r="AO32" s="103">
        <v>9959.9600709748447</v>
      </c>
      <c r="AP32" s="103">
        <v>9876.520509954662</v>
      </c>
      <c r="AQ32" s="103">
        <v>9788.5356259306991</v>
      </c>
      <c r="AR32" s="103">
        <v>9694.9465751473472</v>
      </c>
      <c r="AS32" s="103">
        <v>9597.7858642612573</v>
      </c>
      <c r="AT32" s="103">
        <v>9496.1173199329169</v>
      </c>
      <c r="AU32" s="103">
        <v>9390.3106767752761</v>
      </c>
    </row>
    <row r="33" spans="1:47">
      <c r="B33" s="103" t="s">
        <v>559</v>
      </c>
      <c r="C33" s="103">
        <v>0</v>
      </c>
      <c r="D33" s="103">
        <v>0</v>
      </c>
      <c r="E33" s="103">
        <v>0</v>
      </c>
      <c r="F33" s="103">
        <v>0</v>
      </c>
      <c r="G33" s="103">
        <v>0</v>
      </c>
      <c r="H33" s="103">
        <v>0</v>
      </c>
      <c r="I33" s="103">
        <v>0</v>
      </c>
      <c r="J33" s="103">
        <v>0</v>
      </c>
      <c r="K33" s="103">
        <v>0</v>
      </c>
      <c r="L33" s="103">
        <v>0</v>
      </c>
      <c r="M33" s="103">
        <v>0</v>
      </c>
      <c r="N33" s="103">
        <v>0</v>
      </c>
      <c r="O33" s="103">
        <v>0</v>
      </c>
      <c r="P33" s="103">
        <v>0</v>
      </c>
      <c r="Q33" s="103">
        <v>0</v>
      </c>
      <c r="R33" s="103">
        <v>0</v>
      </c>
      <c r="S33" s="103">
        <v>0</v>
      </c>
      <c r="T33" s="103">
        <v>0</v>
      </c>
      <c r="U33" s="103">
        <v>0</v>
      </c>
      <c r="V33" s="103">
        <v>0</v>
      </c>
      <c r="W33" s="103">
        <v>0</v>
      </c>
      <c r="X33" s="103">
        <v>0</v>
      </c>
      <c r="Y33" s="103">
        <v>0</v>
      </c>
      <c r="Z33" s="103">
        <v>0</v>
      </c>
      <c r="AA33" s="103">
        <v>0</v>
      </c>
      <c r="AB33" s="103">
        <v>0</v>
      </c>
      <c r="AC33" s="103">
        <v>0</v>
      </c>
      <c r="AD33" s="103">
        <v>0</v>
      </c>
      <c r="AE33" s="103">
        <v>0</v>
      </c>
      <c r="AF33" s="103">
        <v>0</v>
      </c>
      <c r="AG33" s="103">
        <v>0</v>
      </c>
      <c r="AH33" s="103">
        <v>0</v>
      </c>
      <c r="AI33" s="103">
        <v>0</v>
      </c>
      <c r="AJ33" s="103">
        <v>0</v>
      </c>
      <c r="AK33" s="103">
        <v>0</v>
      </c>
      <c r="AL33" s="103">
        <v>0</v>
      </c>
      <c r="AM33" s="103">
        <v>0</v>
      </c>
      <c r="AN33" s="103">
        <v>0</v>
      </c>
      <c r="AO33" s="103">
        <v>0</v>
      </c>
      <c r="AP33" s="103">
        <v>0</v>
      </c>
      <c r="AQ33" s="103">
        <v>0</v>
      </c>
      <c r="AR33" s="103">
        <v>0</v>
      </c>
      <c r="AS33" s="103">
        <v>0</v>
      </c>
      <c r="AT33" s="103">
        <v>0</v>
      </c>
      <c r="AU33" s="103">
        <v>0</v>
      </c>
    </row>
    <row r="34" spans="1:47">
      <c r="B34" s="103" t="s">
        <v>560</v>
      </c>
      <c r="C34" s="103">
        <v>8447.1683333333349</v>
      </c>
      <c r="D34" s="103">
        <v>8270.3520056261732</v>
      </c>
      <c r="E34" s="103">
        <v>8382.0275533326549</v>
      </c>
      <c r="F34" s="103">
        <v>8303.2832472324717</v>
      </c>
      <c r="G34" s="103">
        <v>8622.9057321753189</v>
      </c>
      <c r="H34" s="103">
        <v>8316.0326348820727</v>
      </c>
      <c r="I34" s="103">
        <v>8235.8621926105388</v>
      </c>
      <c r="J34" s="103">
        <v>8322.1825691255999</v>
      </c>
      <c r="K34" s="103">
        <v>8193.3617575264452</v>
      </c>
      <c r="L34" s="103">
        <v>8005.3819332566172</v>
      </c>
      <c r="M34" s="103">
        <v>8098.9141786447635</v>
      </c>
      <c r="N34" s="103">
        <v>8100.6132761104764</v>
      </c>
      <c r="O34" s="103">
        <v>8071.4908221135775</v>
      </c>
      <c r="P34" s="103">
        <v>8030.074347273935</v>
      </c>
      <c r="Q34" s="103">
        <v>7988.9759968271228</v>
      </c>
      <c r="R34" s="103">
        <v>7938.5943532565398</v>
      </c>
      <c r="S34" s="103">
        <v>7883.5208896260219</v>
      </c>
      <c r="T34" s="103">
        <v>7823.2456872621697</v>
      </c>
      <c r="U34" s="103">
        <v>7754.794403907812</v>
      </c>
      <c r="V34" s="103">
        <v>7680.4081295015976</v>
      </c>
      <c r="W34" s="103">
        <v>7599.2057548661696</v>
      </c>
      <c r="X34" s="103">
        <v>7513.0543013566939</v>
      </c>
      <c r="Y34" s="103">
        <v>7425.2263728528715</v>
      </c>
      <c r="Z34" s="103">
        <v>7334.3520388229626</v>
      </c>
      <c r="AA34" s="103">
        <v>7238.9735980160667</v>
      </c>
      <c r="AB34" s="103">
        <v>7140.2434086236408</v>
      </c>
      <c r="AC34" s="103">
        <v>7038.5436492931849</v>
      </c>
      <c r="AD34" s="103">
        <v>6934.6682530367816</v>
      </c>
      <c r="AE34" s="103">
        <v>6826.9963035799356</v>
      </c>
      <c r="AF34" s="103">
        <v>6714.5365722971737</v>
      </c>
      <c r="AG34" s="103">
        <v>6598.095367340793</v>
      </c>
      <c r="AH34" s="103">
        <v>6477.7199479482952</v>
      </c>
      <c r="AI34" s="103">
        <v>6353.1622394673605</v>
      </c>
      <c r="AJ34" s="103">
        <v>6223.9129893317577</v>
      </c>
      <c r="AK34" s="103">
        <v>6090.9433836666039</v>
      </c>
      <c r="AL34" s="103">
        <v>5954.0767169331957</v>
      </c>
      <c r="AM34" s="103">
        <v>5813.9570503141504</v>
      </c>
      <c r="AN34" s="103">
        <v>5671.9535139589225</v>
      </c>
      <c r="AO34" s="103">
        <v>5527.9783716187349</v>
      </c>
      <c r="AP34" s="103">
        <v>5381.7747919478998</v>
      </c>
      <c r="AQ34" s="103">
        <v>5233.8358387695944</v>
      </c>
      <c r="AR34" s="103">
        <v>5083.7575280931433</v>
      </c>
      <c r="AS34" s="103">
        <v>4932.7718794172097</v>
      </c>
      <c r="AT34" s="103">
        <v>4780.534632000009</v>
      </c>
      <c r="AU34" s="103">
        <v>4627.3874834656544</v>
      </c>
    </row>
    <row r="35" spans="1:47">
      <c r="B35" s="103" t="s">
        <v>561</v>
      </c>
      <c r="C35" s="103">
        <v>0</v>
      </c>
      <c r="D35" s="103">
        <v>0</v>
      </c>
      <c r="E35" s="103">
        <v>0</v>
      </c>
      <c r="F35" s="103">
        <v>0</v>
      </c>
      <c r="G35" s="103">
        <v>0</v>
      </c>
      <c r="H35" s="103">
        <v>0</v>
      </c>
      <c r="I35" s="103">
        <v>0</v>
      </c>
      <c r="J35" s="103">
        <v>0</v>
      </c>
      <c r="K35" s="103">
        <v>0</v>
      </c>
      <c r="L35" s="103">
        <v>0</v>
      </c>
      <c r="M35" s="103">
        <v>0</v>
      </c>
      <c r="N35" s="103">
        <v>0</v>
      </c>
      <c r="O35" s="103">
        <v>0</v>
      </c>
      <c r="P35" s="103">
        <v>0</v>
      </c>
      <c r="Q35" s="103">
        <v>0</v>
      </c>
      <c r="R35" s="103">
        <v>0</v>
      </c>
      <c r="S35" s="103">
        <v>0</v>
      </c>
      <c r="T35" s="103">
        <v>0</v>
      </c>
      <c r="U35" s="103">
        <v>0</v>
      </c>
      <c r="V35" s="103">
        <v>0</v>
      </c>
      <c r="W35" s="103">
        <v>0</v>
      </c>
      <c r="X35" s="103">
        <v>0</v>
      </c>
      <c r="Y35" s="103">
        <v>0</v>
      </c>
      <c r="Z35" s="103">
        <v>0</v>
      </c>
      <c r="AA35" s="103">
        <v>0</v>
      </c>
      <c r="AB35" s="103">
        <v>0</v>
      </c>
      <c r="AC35" s="103">
        <v>0</v>
      </c>
      <c r="AD35" s="103">
        <v>0</v>
      </c>
      <c r="AE35" s="103">
        <v>0</v>
      </c>
      <c r="AF35" s="103">
        <v>0</v>
      </c>
      <c r="AG35" s="103">
        <v>0</v>
      </c>
      <c r="AH35" s="103">
        <v>0</v>
      </c>
      <c r="AI35" s="103">
        <v>0</v>
      </c>
      <c r="AJ35" s="103">
        <v>0</v>
      </c>
      <c r="AK35" s="103">
        <v>0</v>
      </c>
      <c r="AL35" s="103">
        <v>0</v>
      </c>
      <c r="AM35" s="103">
        <v>0</v>
      </c>
      <c r="AN35" s="103">
        <v>0</v>
      </c>
      <c r="AO35" s="103">
        <v>0</v>
      </c>
      <c r="AP35" s="103">
        <v>0</v>
      </c>
      <c r="AQ35" s="103">
        <v>0</v>
      </c>
      <c r="AR35" s="103">
        <v>0</v>
      </c>
      <c r="AS35" s="103">
        <v>0</v>
      </c>
      <c r="AT35" s="103">
        <v>0</v>
      </c>
      <c r="AU35" s="103">
        <v>0</v>
      </c>
    </row>
    <row r="36" spans="1:47">
      <c r="B36" s="103" t="s">
        <v>562</v>
      </c>
      <c r="C36" s="103">
        <v>0</v>
      </c>
      <c r="D36" s="103">
        <v>0</v>
      </c>
      <c r="E36" s="103">
        <v>0</v>
      </c>
      <c r="F36" s="103">
        <v>0</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0</v>
      </c>
      <c r="AM36" s="103">
        <v>0</v>
      </c>
      <c r="AN36" s="103">
        <v>0</v>
      </c>
      <c r="AO36" s="103">
        <v>0</v>
      </c>
      <c r="AP36" s="103">
        <v>0</v>
      </c>
      <c r="AQ36" s="103">
        <v>0</v>
      </c>
      <c r="AR36" s="103">
        <v>0</v>
      </c>
      <c r="AS36" s="103">
        <v>0</v>
      </c>
      <c r="AT36" s="103">
        <v>0</v>
      </c>
      <c r="AU36" s="103">
        <v>0</v>
      </c>
    </row>
    <row r="37" spans="1:47">
      <c r="B37" s="103" t="s">
        <v>563</v>
      </c>
      <c r="C37" s="103">
        <v>0</v>
      </c>
      <c r="D37" s="103">
        <v>0</v>
      </c>
      <c r="E37" s="103">
        <v>0</v>
      </c>
      <c r="F37" s="103">
        <v>0</v>
      </c>
      <c r="G37" s="103">
        <v>0</v>
      </c>
      <c r="H37" s="103">
        <v>0</v>
      </c>
      <c r="I37" s="103">
        <v>0</v>
      </c>
      <c r="J37" s="103">
        <v>0</v>
      </c>
      <c r="K37" s="103">
        <v>0</v>
      </c>
      <c r="L37" s="103">
        <v>0</v>
      </c>
      <c r="M37" s="103">
        <v>0</v>
      </c>
      <c r="N37" s="103">
        <v>0</v>
      </c>
      <c r="O37" s="103">
        <v>0</v>
      </c>
      <c r="P37" s="103">
        <v>0</v>
      </c>
      <c r="Q37" s="103">
        <v>0</v>
      </c>
      <c r="R37" s="103">
        <v>0</v>
      </c>
      <c r="S37" s="103">
        <v>0</v>
      </c>
      <c r="T37" s="103">
        <v>0</v>
      </c>
      <c r="U37" s="103">
        <v>0</v>
      </c>
      <c r="V37" s="103">
        <v>0</v>
      </c>
      <c r="W37" s="103">
        <v>0</v>
      </c>
      <c r="X37" s="103">
        <v>0</v>
      </c>
      <c r="Y37" s="103">
        <v>0</v>
      </c>
      <c r="Z37" s="103">
        <v>0</v>
      </c>
      <c r="AA37" s="103">
        <v>0</v>
      </c>
      <c r="AB37" s="103">
        <v>0</v>
      </c>
      <c r="AC37" s="103">
        <v>0</v>
      </c>
      <c r="AD37" s="103">
        <v>0</v>
      </c>
      <c r="AE37" s="103">
        <v>0</v>
      </c>
      <c r="AF37" s="103">
        <v>0</v>
      </c>
      <c r="AG37" s="103">
        <v>0</v>
      </c>
      <c r="AH37" s="103">
        <v>0</v>
      </c>
      <c r="AI37" s="103">
        <v>0</v>
      </c>
      <c r="AJ37" s="103">
        <v>0</v>
      </c>
      <c r="AK37" s="103">
        <v>0</v>
      </c>
      <c r="AL37" s="103">
        <v>0</v>
      </c>
      <c r="AM37" s="103">
        <v>0</v>
      </c>
      <c r="AN37" s="103">
        <v>0</v>
      </c>
      <c r="AO37" s="103">
        <v>0</v>
      </c>
      <c r="AP37" s="103">
        <v>0</v>
      </c>
      <c r="AQ37" s="103">
        <v>0</v>
      </c>
      <c r="AR37" s="103">
        <v>0</v>
      </c>
      <c r="AS37" s="103">
        <v>0</v>
      </c>
      <c r="AT37" s="103">
        <v>0</v>
      </c>
      <c r="AU37" s="103">
        <v>0</v>
      </c>
    </row>
    <row r="39" spans="1:47" s="64" customFormat="1">
      <c r="A39" s="124" t="s">
        <v>33</v>
      </c>
    </row>
    <row r="40" spans="1:47">
      <c r="B40" s="103" t="s">
        <v>0</v>
      </c>
      <c r="C40" s="103">
        <v>2006</v>
      </c>
      <c r="D40" s="103">
        <v>2007</v>
      </c>
      <c r="E40" s="103">
        <v>2008</v>
      </c>
      <c r="F40" s="103">
        <v>2009</v>
      </c>
      <c r="G40" s="103">
        <v>2010</v>
      </c>
      <c r="H40" s="103">
        <v>2011</v>
      </c>
      <c r="I40" s="103">
        <v>2012</v>
      </c>
      <c r="J40" s="103">
        <v>2013</v>
      </c>
      <c r="K40" s="103">
        <v>2014</v>
      </c>
      <c r="L40" s="103">
        <v>2015</v>
      </c>
      <c r="M40" s="103">
        <v>2016</v>
      </c>
      <c r="N40" s="103">
        <v>2017</v>
      </c>
      <c r="O40" s="103">
        <v>2018</v>
      </c>
      <c r="P40" s="103">
        <v>2019</v>
      </c>
      <c r="Q40" s="103">
        <v>2020</v>
      </c>
      <c r="R40" s="103">
        <v>2021</v>
      </c>
      <c r="S40" s="103">
        <v>2022</v>
      </c>
      <c r="T40" s="103">
        <v>2023</v>
      </c>
      <c r="U40" s="103">
        <v>2024</v>
      </c>
      <c r="V40" s="103">
        <v>2025</v>
      </c>
      <c r="W40" s="103">
        <v>2026</v>
      </c>
      <c r="X40" s="103">
        <v>2027</v>
      </c>
      <c r="Y40" s="103">
        <v>2028</v>
      </c>
      <c r="Z40" s="103">
        <v>2029</v>
      </c>
      <c r="AA40" s="103">
        <v>2030</v>
      </c>
      <c r="AB40" s="103">
        <v>2031</v>
      </c>
      <c r="AC40" s="103">
        <v>2032</v>
      </c>
      <c r="AD40" s="103">
        <v>2033</v>
      </c>
      <c r="AE40" s="103">
        <v>2034</v>
      </c>
      <c r="AF40" s="103">
        <v>2035</v>
      </c>
      <c r="AG40" s="103">
        <v>2036</v>
      </c>
      <c r="AH40" s="103">
        <v>2037</v>
      </c>
      <c r="AI40" s="103">
        <v>2038</v>
      </c>
      <c r="AJ40" s="103">
        <v>2039</v>
      </c>
      <c r="AK40" s="103">
        <v>2040</v>
      </c>
      <c r="AL40" s="103">
        <v>2041</v>
      </c>
      <c r="AM40" s="103">
        <v>2042</v>
      </c>
      <c r="AN40" s="103">
        <v>2043</v>
      </c>
      <c r="AO40" s="103">
        <v>2044</v>
      </c>
      <c r="AP40" s="103">
        <v>2045</v>
      </c>
      <c r="AQ40" s="103">
        <v>2046</v>
      </c>
      <c r="AR40" s="103">
        <v>2047</v>
      </c>
      <c r="AS40" s="103">
        <v>2048</v>
      </c>
      <c r="AT40" s="103">
        <v>2049</v>
      </c>
      <c r="AU40" s="103">
        <v>2050</v>
      </c>
    </row>
    <row r="41" spans="1:47">
      <c r="B41" s="103" t="s">
        <v>558</v>
      </c>
      <c r="C41" s="62">
        <f t="array" ref="C41:AU46">TRANSPOSE(Public_1!AP5:AU49)</f>
        <v>980.54910444810548</v>
      </c>
      <c r="D41" s="63">
        <v>1020.8593603644063</v>
      </c>
      <c r="E41" s="63">
        <v>1033.4244852567363</v>
      </c>
      <c r="F41" s="63">
        <v>1188.8491025012263</v>
      </c>
      <c r="G41" s="63">
        <v>1314.000521611363</v>
      </c>
      <c r="H41" s="63">
        <v>1502.9523609653725</v>
      </c>
      <c r="I41" s="62">
        <v>1804.4461928085057</v>
      </c>
      <c r="J41" s="62">
        <v>1900.8336547319293</v>
      </c>
      <c r="K41" s="62">
        <v>1880.31416856492</v>
      </c>
      <c r="L41" s="62">
        <v>1825.0611253196928</v>
      </c>
      <c r="M41" s="62">
        <v>1882.5988233258347</v>
      </c>
      <c r="N41" s="103">
        <v>1963.5352890382396</v>
      </c>
      <c r="O41" s="103">
        <v>1995.7116488098202</v>
      </c>
      <c r="P41" s="103">
        <v>2025.6475798471108</v>
      </c>
      <c r="Q41" s="103">
        <v>2056.4379365173213</v>
      </c>
      <c r="R41" s="103">
        <v>2085.6002981798451</v>
      </c>
      <c r="S41" s="103">
        <v>2114.2509703042715</v>
      </c>
      <c r="T41" s="103">
        <v>2142.2057899732367</v>
      </c>
      <c r="U41" s="103">
        <v>2168.5767572807217</v>
      </c>
      <c r="V41" s="103">
        <v>2193.8906051065396</v>
      </c>
      <c r="W41" s="103">
        <v>2217.811043294616</v>
      </c>
      <c r="X41" s="103">
        <v>2240.7935989632556</v>
      </c>
      <c r="Y41" s="103">
        <v>2263.7649466711732</v>
      </c>
      <c r="Z41" s="103">
        <v>2286.2893527295087</v>
      </c>
      <c r="AA41" s="103">
        <v>2307.8636580439274</v>
      </c>
      <c r="AB41" s="103">
        <v>2328.7904535000357</v>
      </c>
      <c r="AC41" s="103">
        <v>2349.1450362149421</v>
      </c>
      <c r="AD41" s="103">
        <v>2369.1515806436578</v>
      </c>
      <c r="AE41" s="103">
        <v>2388.2119495391448</v>
      </c>
      <c r="AF41" s="103">
        <v>2405.8961883816796</v>
      </c>
      <c r="AG41" s="103">
        <v>2422.3934686505595</v>
      </c>
      <c r="AH41" s="103">
        <v>2437.6284209671398</v>
      </c>
      <c r="AI41" s="103">
        <v>2451.4059698179562</v>
      </c>
      <c r="AJ41" s="103">
        <v>2463.4095768327261</v>
      </c>
      <c r="AK41" s="103">
        <v>2473.8931715868684</v>
      </c>
      <c r="AL41" s="103">
        <v>2482.661904217809</v>
      </c>
      <c r="AM41" s="103">
        <v>2489.8537494953898</v>
      </c>
      <c r="AN41" s="103">
        <v>2495.9436947980716</v>
      </c>
      <c r="AO41" s="103">
        <v>2500.8034622633186</v>
      </c>
      <c r="AP41" s="103">
        <v>2504.2131819005203</v>
      </c>
      <c r="AQ41" s="103">
        <v>2506.2884437013727</v>
      </c>
      <c r="AR41" s="103">
        <v>2506.7186067961584</v>
      </c>
      <c r="AS41" s="103">
        <v>2505.9886771987481</v>
      </c>
      <c r="AT41" s="103">
        <v>2503.8208609419053</v>
      </c>
      <c r="AU41" s="103">
        <v>2500.2747351789985</v>
      </c>
    </row>
    <row r="42" spans="1:47">
      <c r="B42" s="103" t="s">
        <v>559</v>
      </c>
      <c r="C42" s="62">
        <v>0</v>
      </c>
      <c r="D42" s="63">
        <v>0</v>
      </c>
      <c r="E42" s="63">
        <v>0</v>
      </c>
      <c r="F42" s="63">
        <v>0</v>
      </c>
      <c r="G42" s="63">
        <v>0</v>
      </c>
      <c r="H42" s="63">
        <v>0</v>
      </c>
      <c r="I42" s="62">
        <v>0</v>
      </c>
      <c r="J42" s="62">
        <v>0</v>
      </c>
      <c r="K42" s="62">
        <v>0</v>
      </c>
      <c r="L42" s="62">
        <v>0</v>
      </c>
      <c r="M42" s="62">
        <v>0</v>
      </c>
      <c r="N42" s="103">
        <v>0</v>
      </c>
      <c r="O42" s="103">
        <v>0</v>
      </c>
      <c r="P42" s="103">
        <v>0</v>
      </c>
      <c r="Q42" s="103">
        <v>0</v>
      </c>
      <c r="R42" s="103">
        <v>0</v>
      </c>
      <c r="S42" s="103">
        <v>0</v>
      </c>
      <c r="T42" s="103">
        <v>0</v>
      </c>
      <c r="U42" s="103">
        <v>0</v>
      </c>
      <c r="V42" s="103">
        <v>0</v>
      </c>
      <c r="W42" s="103">
        <v>0</v>
      </c>
      <c r="X42" s="103">
        <v>0</v>
      </c>
      <c r="Y42" s="103">
        <v>0</v>
      </c>
      <c r="Z42" s="103">
        <v>0</v>
      </c>
      <c r="AA42" s="103">
        <v>0</v>
      </c>
      <c r="AB42" s="103">
        <v>0</v>
      </c>
      <c r="AC42" s="103">
        <v>0</v>
      </c>
      <c r="AD42" s="103">
        <v>0</v>
      </c>
      <c r="AE42" s="103">
        <v>0</v>
      </c>
      <c r="AF42" s="103">
        <v>0</v>
      </c>
      <c r="AG42" s="103">
        <v>0</v>
      </c>
      <c r="AH42" s="103">
        <v>0</v>
      </c>
      <c r="AI42" s="103">
        <v>0</v>
      </c>
      <c r="AJ42" s="103">
        <v>0</v>
      </c>
      <c r="AK42" s="103">
        <v>0</v>
      </c>
      <c r="AL42" s="103">
        <v>0</v>
      </c>
      <c r="AM42" s="103">
        <v>0</v>
      </c>
      <c r="AN42" s="103">
        <v>0</v>
      </c>
      <c r="AO42" s="103">
        <v>0</v>
      </c>
      <c r="AP42" s="103">
        <v>0</v>
      </c>
      <c r="AQ42" s="103">
        <v>0</v>
      </c>
      <c r="AR42" s="103">
        <v>0</v>
      </c>
      <c r="AS42" s="103">
        <v>0</v>
      </c>
      <c r="AT42" s="103">
        <v>0</v>
      </c>
      <c r="AU42" s="103">
        <v>0</v>
      </c>
    </row>
    <row r="43" spans="1:47">
      <c r="B43" s="103" t="s">
        <v>560</v>
      </c>
      <c r="C43" s="62">
        <v>39.010937500000004</v>
      </c>
      <c r="D43" s="63">
        <v>40.697994373827882</v>
      </c>
      <c r="E43" s="63">
        <v>44.722494641216706</v>
      </c>
      <c r="F43" s="63">
        <v>38.476752767527678</v>
      </c>
      <c r="G43" s="63">
        <v>34.974267824681888</v>
      </c>
      <c r="H43" s="63">
        <v>29.567365117926919</v>
      </c>
      <c r="I43" s="62">
        <v>25.017807389460931</v>
      </c>
      <c r="J43" s="62">
        <v>25.5490664217937</v>
      </c>
      <c r="K43" s="62">
        <v>25.074043938161108</v>
      </c>
      <c r="L43" s="62">
        <v>23.518066743383198</v>
      </c>
      <c r="M43" s="62">
        <v>25.019815195071867</v>
      </c>
      <c r="N43" s="103">
        <v>24.549594917780176</v>
      </c>
      <c r="O43" s="103">
        <v>24.438188349354657</v>
      </c>
      <c r="P43" s="103">
        <v>24.289761400202195</v>
      </c>
      <c r="Q43" s="103">
        <v>24.142533506014107</v>
      </c>
      <c r="R43" s="103">
        <v>23.967514162370758</v>
      </c>
      <c r="S43" s="103">
        <v>23.778632245749602</v>
      </c>
      <c r="T43" s="103">
        <v>23.574391542616322</v>
      </c>
      <c r="U43" s="103">
        <v>23.345882517722458</v>
      </c>
      <c r="V43" s="103">
        <v>23.099915906265345</v>
      </c>
      <c r="W43" s="103">
        <v>22.83389523215731</v>
      </c>
      <c r="X43" s="103">
        <v>22.553483755948214</v>
      </c>
      <c r="Y43" s="103">
        <v>22.26853871667285</v>
      </c>
      <c r="Z43" s="103">
        <v>21.974969987653523</v>
      </c>
      <c r="AA43" s="103">
        <v>21.668440432105953</v>
      </c>
      <c r="AB43" s="103">
        <v>21.352434847560005</v>
      </c>
      <c r="AC43" s="103">
        <v>21.028123849280782</v>
      </c>
      <c r="AD43" s="103">
        <v>20.69790263147781</v>
      </c>
      <c r="AE43" s="103">
        <v>20.356956606034014</v>
      </c>
      <c r="AF43" s="103">
        <v>20.00236559464188</v>
      </c>
      <c r="AG43" s="103">
        <v>19.636570431994919</v>
      </c>
      <c r="AH43" s="103">
        <v>19.259745877194185</v>
      </c>
      <c r="AI43" s="103">
        <v>18.871188898431924</v>
      </c>
      <c r="AJ43" s="103">
        <v>18.469424265134126</v>
      </c>
      <c r="AK43" s="103">
        <v>18.057371535214578</v>
      </c>
      <c r="AL43" s="103">
        <v>17.634539348117226</v>
      </c>
      <c r="AM43" s="103">
        <v>17.202866929271536</v>
      </c>
      <c r="AN43" s="103">
        <v>16.766429437384069</v>
      </c>
      <c r="AO43" s="103">
        <v>16.324983972741773</v>
      </c>
      <c r="AP43" s="103">
        <v>15.877789762411629</v>
      </c>
      <c r="AQ43" s="103">
        <v>15.426319236090645</v>
      </c>
      <c r="AR43" s="103">
        <v>14.969397762309383</v>
      </c>
      <c r="AS43" s="103">
        <v>14.510667952245727</v>
      </c>
      <c r="AT43" s="103">
        <v>14.049125883689893</v>
      </c>
      <c r="AU43" s="103">
        <v>13.585785523426654</v>
      </c>
    </row>
    <row r="44" spans="1:47">
      <c r="B44" s="103" t="s">
        <v>561</v>
      </c>
      <c r="C44" s="62">
        <v>0</v>
      </c>
      <c r="D44" s="63">
        <v>0</v>
      </c>
      <c r="E44" s="63">
        <v>0</v>
      </c>
      <c r="F44" s="63">
        <v>0</v>
      </c>
      <c r="G44" s="63">
        <v>0</v>
      </c>
      <c r="H44" s="63">
        <v>0</v>
      </c>
      <c r="I44" s="62">
        <v>0</v>
      </c>
      <c r="J44" s="62">
        <v>0</v>
      </c>
      <c r="K44" s="62">
        <v>0</v>
      </c>
      <c r="L44" s="62">
        <v>0</v>
      </c>
      <c r="M44" s="62">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row>
    <row r="45" spans="1:47">
      <c r="B45" s="103" t="s">
        <v>562</v>
      </c>
      <c r="C45" s="103">
        <v>0</v>
      </c>
      <c r="D45" s="63">
        <v>0</v>
      </c>
      <c r="E45" s="63">
        <v>0</v>
      </c>
      <c r="F45" s="63">
        <v>0</v>
      </c>
      <c r="G45" s="63">
        <v>0</v>
      </c>
      <c r="H45" s="6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row>
    <row r="46" spans="1:47">
      <c r="B46" s="103" t="s">
        <v>563</v>
      </c>
      <c r="C46" s="103">
        <v>0</v>
      </c>
      <c r="D46" s="63">
        <v>0</v>
      </c>
      <c r="E46" s="63">
        <v>0</v>
      </c>
      <c r="F46" s="63">
        <v>0</v>
      </c>
      <c r="G46" s="63">
        <v>0</v>
      </c>
      <c r="H46" s="6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row>
    <row r="48" spans="1:47" s="19" customFormat="1">
      <c r="A48" s="187" t="s">
        <v>765</v>
      </c>
    </row>
    <row r="49" spans="2:47">
      <c r="B49" s="103" t="s">
        <v>0</v>
      </c>
      <c r="C49" s="103">
        <v>2006</v>
      </c>
      <c r="D49" s="103">
        <v>2007</v>
      </c>
      <c r="E49" s="103">
        <v>2008</v>
      </c>
      <c r="F49" s="103">
        <v>2009</v>
      </c>
      <c r="G49" s="103">
        <v>2010</v>
      </c>
      <c r="H49" s="103">
        <v>2011</v>
      </c>
      <c r="I49" s="103">
        <v>2012</v>
      </c>
      <c r="J49" s="103">
        <v>2013</v>
      </c>
      <c r="K49" s="103">
        <v>2014</v>
      </c>
      <c r="L49" s="103">
        <v>2015</v>
      </c>
      <c r="M49" s="103">
        <v>2016</v>
      </c>
      <c r="N49" s="103">
        <v>2017</v>
      </c>
      <c r="O49" s="103">
        <v>2018</v>
      </c>
      <c r="P49" s="103">
        <v>2019</v>
      </c>
      <c r="Q49" s="103">
        <v>2020</v>
      </c>
      <c r="R49" s="103">
        <v>2021</v>
      </c>
      <c r="S49" s="103">
        <v>2022</v>
      </c>
      <c r="T49" s="103">
        <v>2023</v>
      </c>
      <c r="U49" s="103">
        <v>2024</v>
      </c>
      <c r="V49" s="103">
        <v>2025</v>
      </c>
      <c r="W49" s="103">
        <v>2026</v>
      </c>
      <c r="X49" s="103">
        <v>2027</v>
      </c>
      <c r="Y49" s="103">
        <v>2028</v>
      </c>
      <c r="Z49" s="103">
        <v>2029</v>
      </c>
      <c r="AA49" s="103">
        <v>2030</v>
      </c>
      <c r="AB49" s="103">
        <v>2031</v>
      </c>
      <c r="AC49" s="103">
        <v>2032</v>
      </c>
      <c r="AD49" s="103">
        <v>2033</v>
      </c>
      <c r="AE49" s="103">
        <v>2034</v>
      </c>
      <c r="AF49" s="103">
        <v>2035</v>
      </c>
      <c r="AG49" s="103">
        <v>2036</v>
      </c>
      <c r="AH49" s="103">
        <v>2037</v>
      </c>
      <c r="AI49" s="103">
        <v>2038</v>
      </c>
      <c r="AJ49" s="103">
        <v>2039</v>
      </c>
      <c r="AK49" s="103">
        <v>2040</v>
      </c>
      <c r="AL49" s="103">
        <v>2041</v>
      </c>
      <c r="AM49" s="103">
        <v>2042</v>
      </c>
      <c r="AN49" s="103">
        <v>2043</v>
      </c>
      <c r="AO49" s="103">
        <v>2044</v>
      </c>
      <c r="AP49" s="103">
        <v>2045</v>
      </c>
      <c r="AQ49" s="103">
        <v>2046</v>
      </c>
      <c r="AR49" s="103">
        <v>2047</v>
      </c>
      <c r="AS49" s="103">
        <v>2048</v>
      </c>
      <c r="AT49" s="103">
        <v>2049</v>
      </c>
      <c r="AU49" s="103">
        <v>2050</v>
      </c>
    </row>
    <row r="50" spans="2:47">
      <c r="B50" s="103" t="s">
        <v>558</v>
      </c>
      <c r="C50" s="62">
        <f t="shared" ref="C50:AU55" si="0">SUM(C5,C14,C23,C32,C41)</f>
        <v>16480.391758813839</v>
      </c>
      <c r="D50" s="62">
        <f t="shared" si="0"/>
        <v>16873.950000000004</v>
      </c>
      <c r="E50" s="62">
        <f t="shared" si="0"/>
        <v>16851.78</v>
      </c>
      <c r="F50" s="62">
        <f t="shared" si="0"/>
        <v>17726.240000000002</v>
      </c>
      <c r="G50" s="62">
        <f t="shared" si="0"/>
        <v>17579.196167503371</v>
      </c>
      <c r="H50" s="62">
        <f t="shared" si="0"/>
        <v>17733.305351521511</v>
      </c>
      <c r="I50" s="62">
        <f t="shared" si="0"/>
        <v>18386.021736948991</v>
      </c>
      <c r="J50" s="62">
        <f t="shared" si="0"/>
        <v>17736.030697046004</v>
      </c>
      <c r="K50" s="62">
        <f t="shared" si="0"/>
        <v>19174.399999999998</v>
      </c>
      <c r="L50" s="62">
        <f t="shared" si="0"/>
        <v>18735.188938618921</v>
      </c>
      <c r="M50" s="62">
        <f t="shared" si="0"/>
        <v>18952.806737036393</v>
      </c>
      <c r="N50" s="62">
        <f t="shared" si="0"/>
        <v>19511.445533829796</v>
      </c>
      <c r="O50" s="62">
        <f t="shared" si="0"/>
        <v>19838.58137695627</v>
      </c>
      <c r="P50" s="62">
        <f t="shared" si="0"/>
        <v>20143.600625703872</v>
      </c>
      <c r="Q50" s="62">
        <f t="shared" si="0"/>
        <v>20457.263844881571</v>
      </c>
      <c r="R50" s="62">
        <f t="shared" si="0"/>
        <v>20754.874375731342</v>
      </c>
      <c r="S50" s="62">
        <f t="shared" si="0"/>
        <v>21047.525624795933</v>
      </c>
      <c r="T50" s="62">
        <f t="shared" si="0"/>
        <v>21333.376292680328</v>
      </c>
      <c r="U50" s="62">
        <f t="shared" si="0"/>
        <v>21603.570960374345</v>
      </c>
      <c r="V50" s="62">
        <f t="shared" si="0"/>
        <v>21863.340698306834</v>
      </c>
      <c r="W50" s="62">
        <f t="shared" si="0"/>
        <v>22109.3206871646</v>
      </c>
      <c r="X50" s="62">
        <f t="shared" si="0"/>
        <v>22346.03808231308</v>
      </c>
      <c r="Y50" s="62">
        <f t="shared" si="0"/>
        <v>22582.726506049559</v>
      </c>
      <c r="Z50" s="62">
        <f t="shared" si="0"/>
        <v>22815.036562000994</v>
      </c>
      <c r="AA50" s="62">
        <f t="shared" si="0"/>
        <v>23037.940064332513</v>
      </c>
      <c r="AB50" s="62">
        <f t="shared" si="0"/>
        <v>23254.44827937947</v>
      </c>
      <c r="AC50" s="62">
        <f t="shared" si="0"/>
        <v>23465.306176766015</v>
      </c>
      <c r="AD50" s="62">
        <f t="shared" si="0"/>
        <v>23672.747420132771</v>
      </c>
      <c r="AE50" s="62">
        <f t="shared" si="0"/>
        <v>23870.789424172024</v>
      </c>
      <c r="AF50" s="62">
        <f t="shared" si="0"/>
        <v>24055.123704173922</v>
      </c>
      <c r="AG50" s="62">
        <f t="shared" si="0"/>
        <v>24227.62878913436</v>
      </c>
      <c r="AH50" s="62">
        <f t="shared" si="0"/>
        <v>24387.539161870543</v>
      </c>
      <c r="AI50" s="62">
        <f t="shared" si="0"/>
        <v>24532.890606918161</v>
      </c>
      <c r="AJ50" s="62">
        <f t="shared" si="0"/>
        <v>24660.500822031427</v>
      </c>
      <c r="AK50" s="62">
        <f t="shared" si="0"/>
        <v>24772.896444807539</v>
      </c>
      <c r="AL50" s="62">
        <f t="shared" si="0"/>
        <v>24868.112132964801</v>
      </c>
      <c r="AM50" s="62">
        <f t="shared" si="0"/>
        <v>24947.515269741922</v>
      </c>
      <c r="AN50" s="62">
        <f t="shared" si="0"/>
        <v>25015.852861981137</v>
      </c>
      <c r="AO50" s="62">
        <f t="shared" si="0"/>
        <v>25071.829632112407</v>
      </c>
      <c r="AP50" s="62">
        <f t="shared" si="0"/>
        <v>25113.230459817616</v>
      </c>
      <c r="AQ50" s="62">
        <f t="shared" si="0"/>
        <v>25141.202967290366</v>
      </c>
      <c r="AR50" s="62">
        <f t="shared" si="0"/>
        <v>25152.619451927709</v>
      </c>
      <c r="AS50" s="62">
        <f t="shared" si="0"/>
        <v>25152.334720918177</v>
      </c>
      <c r="AT50" s="62">
        <f t="shared" si="0"/>
        <v>25137.55093946066</v>
      </c>
      <c r="AU50" s="62">
        <f t="shared" si="0"/>
        <v>25108.855378376888</v>
      </c>
    </row>
    <row r="51" spans="2:47">
      <c r="B51" s="103" t="s">
        <v>559</v>
      </c>
      <c r="C51" s="62">
        <f t="shared" si="0"/>
        <v>0</v>
      </c>
      <c r="D51" s="62">
        <f t="shared" si="0"/>
        <v>0</v>
      </c>
      <c r="E51" s="62">
        <f t="shared" si="0"/>
        <v>0</v>
      </c>
      <c r="F51" s="62">
        <f t="shared" si="0"/>
        <v>0</v>
      </c>
      <c r="G51" s="62">
        <f t="shared" si="0"/>
        <v>0</v>
      </c>
      <c r="H51" s="62">
        <f t="shared" si="0"/>
        <v>0</v>
      </c>
      <c r="I51" s="62">
        <f t="shared" si="0"/>
        <v>0</v>
      </c>
      <c r="J51" s="62">
        <f t="shared" si="0"/>
        <v>0</v>
      </c>
      <c r="K51" s="62">
        <f t="shared" si="0"/>
        <v>0</v>
      </c>
      <c r="L51" s="62">
        <f t="shared" si="0"/>
        <v>0</v>
      </c>
      <c r="M51" s="62">
        <f t="shared" si="0"/>
        <v>0</v>
      </c>
      <c r="N51" s="62">
        <f t="shared" si="0"/>
        <v>0</v>
      </c>
      <c r="O51" s="62">
        <f t="shared" si="0"/>
        <v>0</v>
      </c>
      <c r="P51" s="62">
        <f t="shared" si="0"/>
        <v>0</v>
      </c>
      <c r="Q51" s="62">
        <f t="shared" si="0"/>
        <v>0</v>
      </c>
      <c r="R51" s="62">
        <f t="shared" si="0"/>
        <v>0</v>
      </c>
      <c r="S51" s="62">
        <f t="shared" si="0"/>
        <v>0</v>
      </c>
      <c r="T51" s="62">
        <f t="shared" si="0"/>
        <v>0</v>
      </c>
      <c r="U51" s="62">
        <f t="shared" si="0"/>
        <v>0</v>
      </c>
      <c r="V51" s="62">
        <f t="shared" si="0"/>
        <v>0</v>
      </c>
      <c r="W51" s="62">
        <f t="shared" si="0"/>
        <v>0</v>
      </c>
      <c r="X51" s="62">
        <f t="shared" si="0"/>
        <v>0</v>
      </c>
      <c r="Y51" s="62">
        <f t="shared" si="0"/>
        <v>0</v>
      </c>
      <c r="Z51" s="62">
        <f t="shared" si="0"/>
        <v>0</v>
      </c>
      <c r="AA51" s="62">
        <f t="shared" si="0"/>
        <v>0</v>
      </c>
      <c r="AB51" s="62">
        <f t="shared" si="0"/>
        <v>0</v>
      </c>
      <c r="AC51" s="62">
        <f t="shared" si="0"/>
        <v>0</v>
      </c>
      <c r="AD51" s="62">
        <f t="shared" si="0"/>
        <v>0</v>
      </c>
      <c r="AE51" s="62">
        <f t="shared" si="0"/>
        <v>0</v>
      </c>
      <c r="AF51" s="62">
        <f t="shared" si="0"/>
        <v>0</v>
      </c>
      <c r="AG51" s="62">
        <f t="shared" si="0"/>
        <v>0</v>
      </c>
      <c r="AH51" s="62">
        <f t="shared" si="0"/>
        <v>0</v>
      </c>
      <c r="AI51" s="62">
        <f t="shared" si="0"/>
        <v>0</v>
      </c>
      <c r="AJ51" s="62">
        <f t="shared" si="0"/>
        <v>0</v>
      </c>
      <c r="AK51" s="62">
        <f t="shared" si="0"/>
        <v>0</v>
      </c>
      <c r="AL51" s="62">
        <f t="shared" si="0"/>
        <v>0</v>
      </c>
      <c r="AM51" s="62">
        <f t="shared" si="0"/>
        <v>0</v>
      </c>
      <c r="AN51" s="62">
        <f t="shared" si="0"/>
        <v>0</v>
      </c>
      <c r="AO51" s="62">
        <f t="shared" si="0"/>
        <v>0</v>
      </c>
      <c r="AP51" s="62">
        <f t="shared" si="0"/>
        <v>0</v>
      </c>
      <c r="AQ51" s="62">
        <f t="shared" si="0"/>
        <v>0</v>
      </c>
      <c r="AR51" s="62">
        <f t="shared" si="0"/>
        <v>0</v>
      </c>
      <c r="AS51" s="62">
        <f t="shared" si="0"/>
        <v>0</v>
      </c>
      <c r="AT51" s="62">
        <f t="shared" si="0"/>
        <v>0</v>
      </c>
      <c r="AU51" s="62">
        <f t="shared" si="0"/>
        <v>0</v>
      </c>
    </row>
    <row r="52" spans="2:47">
      <c r="B52" s="103" t="s">
        <v>560</v>
      </c>
      <c r="C52" s="62">
        <f t="shared" si="0"/>
        <v>8486.1792708333342</v>
      </c>
      <c r="D52" s="62">
        <f t="shared" si="0"/>
        <v>8311.0500000000011</v>
      </c>
      <c r="E52" s="62">
        <f t="shared" si="0"/>
        <v>8426.7500479738719</v>
      </c>
      <c r="F52" s="62">
        <f t="shared" si="0"/>
        <v>8341.76</v>
      </c>
      <c r="G52" s="62">
        <f t="shared" si="0"/>
        <v>8657.880000000001</v>
      </c>
      <c r="H52" s="62">
        <f t="shared" si="0"/>
        <v>8345.6</v>
      </c>
      <c r="I52" s="62">
        <f t="shared" si="0"/>
        <v>8260.8799999999992</v>
      </c>
      <c r="J52" s="62">
        <f t="shared" si="0"/>
        <v>8347.731635547394</v>
      </c>
      <c r="K52" s="62">
        <f t="shared" si="0"/>
        <v>8218.4358014646059</v>
      </c>
      <c r="L52" s="62">
        <f t="shared" si="0"/>
        <v>8028.9000000000005</v>
      </c>
      <c r="M52" s="62">
        <f t="shared" si="0"/>
        <v>8123.9339938398352</v>
      </c>
      <c r="N52" s="62">
        <f t="shared" si="0"/>
        <v>8125.1628710282566</v>
      </c>
      <c r="O52" s="62">
        <f t="shared" si="0"/>
        <v>8095.9290104629317</v>
      </c>
      <c r="P52" s="62">
        <f t="shared" si="0"/>
        <v>8054.3641086741372</v>
      </c>
      <c r="Q52" s="62">
        <f t="shared" si="0"/>
        <v>8013.1185303331367</v>
      </c>
      <c r="R52" s="62">
        <f t="shared" si="0"/>
        <v>7962.5618674189109</v>
      </c>
      <c r="S52" s="62">
        <f t="shared" si="0"/>
        <v>7907.2995218717715</v>
      </c>
      <c r="T52" s="62">
        <f t="shared" si="0"/>
        <v>7846.8200788047861</v>
      </c>
      <c r="U52" s="62">
        <f t="shared" si="0"/>
        <v>7778.1402864255342</v>
      </c>
      <c r="V52" s="62">
        <f t="shared" si="0"/>
        <v>7703.5080454078634</v>
      </c>
      <c r="W52" s="62">
        <f t="shared" si="0"/>
        <v>7622.039650098327</v>
      </c>
      <c r="X52" s="62">
        <f t="shared" si="0"/>
        <v>7535.607785112642</v>
      </c>
      <c r="Y52" s="62">
        <f t="shared" si="0"/>
        <v>7447.4949115695445</v>
      </c>
      <c r="Z52" s="62">
        <f t="shared" si="0"/>
        <v>7356.3270088106165</v>
      </c>
      <c r="AA52" s="62">
        <f t="shared" si="0"/>
        <v>7260.6420384481726</v>
      </c>
      <c r="AB52" s="62">
        <f t="shared" si="0"/>
        <v>7161.5958434712011</v>
      </c>
      <c r="AC52" s="62">
        <f t="shared" si="0"/>
        <v>7059.5717731424656</v>
      </c>
      <c r="AD52" s="62">
        <f t="shared" si="0"/>
        <v>6955.3661556682591</v>
      </c>
      <c r="AE52" s="62">
        <f t="shared" si="0"/>
        <v>6847.3532601859697</v>
      </c>
      <c r="AF52" s="62">
        <f t="shared" si="0"/>
        <v>6734.5389378918153</v>
      </c>
      <c r="AG52" s="62">
        <f t="shared" si="0"/>
        <v>6617.7319377727881</v>
      </c>
      <c r="AH52" s="62">
        <f t="shared" si="0"/>
        <v>6496.9796938254894</v>
      </c>
      <c r="AI52" s="62">
        <f t="shared" si="0"/>
        <v>6372.0334283657921</v>
      </c>
      <c r="AJ52" s="62">
        <f t="shared" si="0"/>
        <v>6242.3824135968916</v>
      </c>
      <c r="AK52" s="62">
        <f t="shared" si="0"/>
        <v>6109.0007552018187</v>
      </c>
      <c r="AL52" s="62">
        <f t="shared" si="0"/>
        <v>5971.7112562813127</v>
      </c>
      <c r="AM52" s="62">
        <f t="shared" si="0"/>
        <v>5831.1599172434217</v>
      </c>
      <c r="AN52" s="62">
        <f t="shared" si="0"/>
        <v>5688.7199433963069</v>
      </c>
      <c r="AO52" s="62">
        <f t="shared" si="0"/>
        <v>5544.3033555914762</v>
      </c>
      <c r="AP52" s="62">
        <f t="shared" si="0"/>
        <v>5397.6525817103111</v>
      </c>
      <c r="AQ52" s="62">
        <f t="shared" si="0"/>
        <v>5249.2621580056848</v>
      </c>
      <c r="AR52" s="62">
        <f t="shared" si="0"/>
        <v>5098.7269258554525</v>
      </c>
      <c r="AS52" s="62">
        <f t="shared" si="0"/>
        <v>4947.2825473694556</v>
      </c>
      <c r="AT52" s="62">
        <f t="shared" si="0"/>
        <v>4794.583757883699</v>
      </c>
      <c r="AU52" s="62">
        <f t="shared" si="0"/>
        <v>4640.9732689890807</v>
      </c>
    </row>
    <row r="53" spans="2:47">
      <c r="B53" s="103" t="s">
        <v>561</v>
      </c>
      <c r="C53" s="62">
        <f t="shared" si="0"/>
        <v>0</v>
      </c>
      <c r="D53" s="62">
        <f t="shared" si="0"/>
        <v>0</v>
      </c>
      <c r="E53" s="62">
        <f t="shared" si="0"/>
        <v>0</v>
      </c>
      <c r="F53" s="62">
        <f t="shared" si="0"/>
        <v>0</v>
      </c>
      <c r="G53" s="62">
        <f t="shared" si="0"/>
        <v>0</v>
      </c>
      <c r="H53" s="62">
        <f t="shared" si="0"/>
        <v>0</v>
      </c>
      <c r="I53" s="62">
        <f t="shared" si="0"/>
        <v>0</v>
      </c>
      <c r="J53" s="62">
        <f t="shared" si="0"/>
        <v>0</v>
      </c>
      <c r="K53" s="62">
        <f t="shared" si="0"/>
        <v>0</v>
      </c>
      <c r="L53" s="62">
        <f t="shared" si="0"/>
        <v>0</v>
      </c>
      <c r="M53" s="62">
        <f t="shared" si="0"/>
        <v>0</v>
      </c>
      <c r="N53" s="62">
        <f t="shared" si="0"/>
        <v>0</v>
      </c>
      <c r="O53" s="62">
        <f t="shared" si="0"/>
        <v>0</v>
      </c>
      <c r="P53" s="62">
        <f t="shared" si="0"/>
        <v>0</v>
      </c>
      <c r="Q53" s="62">
        <f t="shared" si="0"/>
        <v>0</v>
      </c>
      <c r="R53" s="62">
        <f t="shared" si="0"/>
        <v>0</v>
      </c>
      <c r="S53" s="62">
        <f t="shared" si="0"/>
        <v>0</v>
      </c>
      <c r="T53" s="62">
        <f t="shared" si="0"/>
        <v>0</v>
      </c>
      <c r="U53" s="62">
        <f t="shared" si="0"/>
        <v>0</v>
      </c>
      <c r="V53" s="62">
        <f t="shared" si="0"/>
        <v>0</v>
      </c>
      <c r="W53" s="62">
        <f t="shared" si="0"/>
        <v>0</v>
      </c>
      <c r="X53" s="62">
        <f t="shared" si="0"/>
        <v>0</v>
      </c>
      <c r="Y53" s="62">
        <f t="shared" si="0"/>
        <v>0</v>
      </c>
      <c r="Z53" s="62">
        <f t="shared" si="0"/>
        <v>0</v>
      </c>
      <c r="AA53" s="62">
        <f t="shared" si="0"/>
        <v>0</v>
      </c>
      <c r="AB53" s="62">
        <f t="shared" si="0"/>
        <v>0</v>
      </c>
      <c r="AC53" s="62">
        <f t="shared" si="0"/>
        <v>0</v>
      </c>
      <c r="AD53" s="62">
        <f t="shared" si="0"/>
        <v>0</v>
      </c>
      <c r="AE53" s="62">
        <f t="shared" si="0"/>
        <v>0</v>
      </c>
      <c r="AF53" s="62">
        <f t="shared" si="0"/>
        <v>0</v>
      </c>
      <c r="AG53" s="62">
        <f t="shared" si="0"/>
        <v>0</v>
      </c>
      <c r="AH53" s="62">
        <f t="shared" si="0"/>
        <v>0</v>
      </c>
      <c r="AI53" s="62">
        <f t="shared" si="0"/>
        <v>0</v>
      </c>
      <c r="AJ53" s="62">
        <f t="shared" si="0"/>
        <v>0</v>
      </c>
      <c r="AK53" s="62">
        <f t="shared" si="0"/>
        <v>0</v>
      </c>
      <c r="AL53" s="62">
        <f t="shared" si="0"/>
        <v>0</v>
      </c>
      <c r="AM53" s="62">
        <f t="shared" si="0"/>
        <v>0</v>
      </c>
      <c r="AN53" s="62">
        <f t="shared" si="0"/>
        <v>0</v>
      </c>
      <c r="AO53" s="62">
        <f t="shared" si="0"/>
        <v>0</v>
      </c>
      <c r="AP53" s="62">
        <f t="shared" si="0"/>
        <v>0</v>
      </c>
      <c r="AQ53" s="62">
        <f t="shared" si="0"/>
        <v>0</v>
      </c>
      <c r="AR53" s="62">
        <f t="shared" si="0"/>
        <v>0</v>
      </c>
      <c r="AS53" s="62">
        <f t="shared" si="0"/>
        <v>0</v>
      </c>
      <c r="AT53" s="62">
        <f t="shared" si="0"/>
        <v>0</v>
      </c>
      <c r="AU53" s="62">
        <f t="shared" si="0"/>
        <v>0</v>
      </c>
    </row>
    <row r="54" spans="2:47">
      <c r="B54" s="103" t="s">
        <v>562</v>
      </c>
      <c r="C54" s="62">
        <f t="shared" si="0"/>
        <v>0</v>
      </c>
      <c r="D54" s="62">
        <f t="shared" si="0"/>
        <v>0</v>
      </c>
      <c r="E54" s="62">
        <f t="shared" si="0"/>
        <v>0</v>
      </c>
      <c r="F54" s="62">
        <f t="shared" si="0"/>
        <v>0</v>
      </c>
      <c r="G54" s="62">
        <f t="shared" si="0"/>
        <v>0</v>
      </c>
      <c r="H54" s="62">
        <f t="shared" si="0"/>
        <v>0</v>
      </c>
      <c r="I54" s="62">
        <f t="shared" si="0"/>
        <v>0</v>
      </c>
      <c r="J54" s="62">
        <f t="shared" si="0"/>
        <v>0</v>
      </c>
      <c r="K54" s="62">
        <f t="shared" si="0"/>
        <v>0</v>
      </c>
      <c r="L54" s="62">
        <f t="shared" si="0"/>
        <v>0</v>
      </c>
      <c r="M54" s="62">
        <f t="shared" si="0"/>
        <v>0</v>
      </c>
      <c r="N54" s="62">
        <f t="shared" si="0"/>
        <v>0</v>
      </c>
      <c r="O54" s="62">
        <f t="shared" si="0"/>
        <v>0</v>
      </c>
      <c r="P54" s="62">
        <f t="shared" si="0"/>
        <v>0</v>
      </c>
      <c r="Q54" s="62">
        <f t="shared" si="0"/>
        <v>0</v>
      </c>
      <c r="R54" s="62">
        <f t="shared" si="0"/>
        <v>0</v>
      </c>
      <c r="S54" s="62">
        <f t="shared" si="0"/>
        <v>0</v>
      </c>
      <c r="T54" s="62">
        <f t="shared" si="0"/>
        <v>0</v>
      </c>
      <c r="U54" s="62">
        <f t="shared" si="0"/>
        <v>0</v>
      </c>
      <c r="V54" s="62">
        <f t="shared" si="0"/>
        <v>0</v>
      </c>
      <c r="W54" s="62">
        <f t="shared" si="0"/>
        <v>0</v>
      </c>
      <c r="X54" s="62">
        <f t="shared" si="0"/>
        <v>0</v>
      </c>
      <c r="Y54" s="62">
        <f t="shared" si="0"/>
        <v>0</v>
      </c>
      <c r="Z54" s="62">
        <f t="shared" si="0"/>
        <v>0</v>
      </c>
      <c r="AA54" s="62">
        <f t="shared" si="0"/>
        <v>0</v>
      </c>
      <c r="AB54" s="62">
        <f t="shared" si="0"/>
        <v>0</v>
      </c>
      <c r="AC54" s="62">
        <f t="shared" si="0"/>
        <v>0</v>
      </c>
      <c r="AD54" s="62">
        <f t="shared" si="0"/>
        <v>0</v>
      </c>
      <c r="AE54" s="62">
        <f t="shared" si="0"/>
        <v>0</v>
      </c>
      <c r="AF54" s="62">
        <f t="shared" si="0"/>
        <v>0</v>
      </c>
      <c r="AG54" s="62">
        <f t="shared" si="0"/>
        <v>0</v>
      </c>
      <c r="AH54" s="62">
        <f t="shared" si="0"/>
        <v>0</v>
      </c>
      <c r="AI54" s="62">
        <f t="shared" si="0"/>
        <v>0</v>
      </c>
      <c r="AJ54" s="62">
        <f t="shared" si="0"/>
        <v>0</v>
      </c>
      <c r="AK54" s="62">
        <f t="shared" si="0"/>
        <v>0</v>
      </c>
      <c r="AL54" s="62">
        <f t="shared" si="0"/>
        <v>0</v>
      </c>
      <c r="AM54" s="62">
        <f t="shared" si="0"/>
        <v>0</v>
      </c>
      <c r="AN54" s="62">
        <f t="shared" si="0"/>
        <v>0</v>
      </c>
      <c r="AO54" s="62">
        <f t="shared" si="0"/>
        <v>0</v>
      </c>
      <c r="AP54" s="62">
        <f t="shared" si="0"/>
        <v>0</v>
      </c>
      <c r="AQ54" s="62">
        <f t="shared" si="0"/>
        <v>0</v>
      </c>
      <c r="AR54" s="62">
        <f t="shared" si="0"/>
        <v>0</v>
      </c>
      <c r="AS54" s="62">
        <f t="shared" si="0"/>
        <v>0</v>
      </c>
      <c r="AT54" s="62">
        <f t="shared" si="0"/>
        <v>0</v>
      </c>
      <c r="AU54" s="62">
        <f t="shared" si="0"/>
        <v>0</v>
      </c>
    </row>
    <row r="55" spans="2:47">
      <c r="B55" s="103" t="s">
        <v>563</v>
      </c>
      <c r="C55" s="62">
        <f t="shared" si="0"/>
        <v>0</v>
      </c>
      <c r="D55" s="62">
        <f t="shared" si="0"/>
        <v>0</v>
      </c>
      <c r="E55" s="62">
        <f t="shared" si="0"/>
        <v>0</v>
      </c>
      <c r="F55" s="62">
        <f t="shared" si="0"/>
        <v>0</v>
      </c>
      <c r="G55" s="62">
        <f t="shared" si="0"/>
        <v>0</v>
      </c>
      <c r="H55" s="62">
        <f t="shared" si="0"/>
        <v>0</v>
      </c>
      <c r="I55" s="62">
        <f t="shared" si="0"/>
        <v>0</v>
      </c>
      <c r="J55" s="62">
        <f t="shared" si="0"/>
        <v>0</v>
      </c>
      <c r="K55" s="62">
        <f t="shared" si="0"/>
        <v>0</v>
      </c>
      <c r="L55" s="62">
        <f t="shared" si="0"/>
        <v>0</v>
      </c>
      <c r="M55" s="62">
        <f t="shared" si="0"/>
        <v>0</v>
      </c>
      <c r="N55" s="62">
        <f t="shared" si="0"/>
        <v>0</v>
      </c>
      <c r="O55" s="62">
        <f t="shared" si="0"/>
        <v>0</v>
      </c>
      <c r="P55" s="62">
        <f t="shared" si="0"/>
        <v>0</v>
      </c>
      <c r="Q55" s="62">
        <f t="shared" si="0"/>
        <v>0</v>
      </c>
      <c r="R55" s="62">
        <f t="shared" si="0"/>
        <v>0</v>
      </c>
      <c r="S55" s="62">
        <f t="shared" si="0"/>
        <v>0</v>
      </c>
      <c r="T55" s="62">
        <f t="shared" si="0"/>
        <v>0</v>
      </c>
      <c r="U55" s="62">
        <f t="shared" si="0"/>
        <v>0</v>
      </c>
      <c r="V55" s="62">
        <f t="shared" si="0"/>
        <v>0</v>
      </c>
      <c r="W55" s="62">
        <f t="shared" si="0"/>
        <v>0</v>
      </c>
      <c r="X55" s="62">
        <f t="shared" si="0"/>
        <v>0</v>
      </c>
      <c r="Y55" s="62">
        <f t="shared" si="0"/>
        <v>0</v>
      </c>
      <c r="Z55" s="62">
        <f t="shared" si="0"/>
        <v>0</v>
      </c>
      <c r="AA55" s="62">
        <f t="shared" si="0"/>
        <v>0</v>
      </c>
      <c r="AB55" s="62">
        <f t="shared" si="0"/>
        <v>0</v>
      </c>
      <c r="AC55" s="62">
        <f t="shared" si="0"/>
        <v>0</v>
      </c>
      <c r="AD55" s="62">
        <f t="shared" si="0"/>
        <v>0</v>
      </c>
      <c r="AE55" s="62">
        <f t="shared" si="0"/>
        <v>0</v>
      </c>
      <c r="AF55" s="62">
        <f t="shared" si="0"/>
        <v>0</v>
      </c>
      <c r="AG55" s="62">
        <f t="shared" ref="AG55:AU55" si="1">SUM(AG10,AG19,AG28,AG37,AG46)</f>
        <v>0</v>
      </c>
      <c r="AH55" s="62">
        <f t="shared" si="1"/>
        <v>0</v>
      </c>
      <c r="AI55" s="62">
        <f t="shared" si="1"/>
        <v>0</v>
      </c>
      <c r="AJ55" s="62">
        <f t="shared" si="1"/>
        <v>0</v>
      </c>
      <c r="AK55" s="62">
        <f t="shared" si="1"/>
        <v>0</v>
      </c>
      <c r="AL55" s="62">
        <f t="shared" si="1"/>
        <v>0</v>
      </c>
      <c r="AM55" s="62">
        <f t="shared" si="1"/>
        <v>0</v>
      </c>
      <c r="AN55" s="62">
        <f t="shared" si="1"/>
        <v>0</v>
      </c>
      <c r="AO55" s="62">
        <f t="shared" si="1"/>
        <v>0</v>
      </c>
      <c r="AP55" s="62">
        <f t="shared" si="1"/>
        <v>0</v>
      </c>
      <c r="AQ55" s="62">
        <f t="shared" si="1"/>
        <v>0</v>
      </c>
      <c r="AR55" s="62">
        <f t="shared" si="1"/>
        <v>0</v>
      </c>
      <c r="AS55" s="62">
        <f t="shared" si="1"/>
        <v>0</v>
      </c>
      <c r="AT55" s="62">
        <f t="shared" si="1"/>
        <v>0</v>
      </c>
      <c r="AU55" s="62">
        <f t="shared" si="1"/>
        <v>0</v>
      </c>
    </row>
  </sheetData>
  <phoneticPr fontId="3"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tint="0.79998168889431442"/>
  </sheetPr>
  <dimension ref="A1:AU51"/>
  <sheetViews>
    <sheetView topLeftCell="A35" zoomScale="85" workbookViewId="0">
      <selection activeCell="A51" sqref="A51:XFD51"/>
    </sheetView>
  </sheetViews>
  <sheetFormatPr defaultColWidth="8.7109375" defaultRowHeight="15"/>
  <cols>
    <col min="1" max="1" width="5.85546875" style="103" customWidth="1"/>
    <col min="2" max="2" width="20.5703125" style="103" customWidth="1"/>
    <col min="3" max="3" width="12.7109375" style="103" bestFit="1" customWidth="1"/>
    <col min="4" max="10" width="11" style="103" bestFit="1" customWidth="1"/>
    <col min="11" max="11" width="8.85546875" style="103" bestFit="1" customWidth="1"/>
    <col min="12" max="47" width="11" style="103" bestFit="1" customWidth="1"/>
    <col min="48" max="16384" width="8.7109375" style="103"/>
  </cols>
  <sheetData>
    <row r="1" spans="1:47" ht="21">
      <c r="A1" s="121" t="s">
        <v>971</v>
      </c>
    </row>
    <row r="2" spans="1:47" ht="21">
      <c r="A2" s="121"/>
    </row>
    <row r="3" spans="1:47" s="64" customFormat="1">
      <c r="A3" s="174" t="s">
        <v>28</v>
      </c>
    </row>
    <row r="4" spans="1:47" s="60" customFormat="1">
      <c r="B4" s="60" t="s">
        <v>0</v>
      </c>
      <c r="C4" s="60">
        <v>2006</v>
      </c>
      <c r="D4" s="60">
        <v>2007</v>
      </c>
      <c r="E4" s="60">
        <v>2008</v>
      </c>
      <c r="F4" s="60">
        <v>2009</v>
      </c>
      <c r="G4" s="60">
        <v>2010</v>
      </c>
      <c r="H4" s="60">
        <v>2011</v>
      </c>
      <c r="I4" s="60">
        <v>2012</v>
      </c>
      <c r="J4" s="60">
        <v>2013</v>
      </c>
      <c r="K4" s="60">
        <v>2014</v>
      </c>
      <c r="L4" s="60">
        <v>2015</v>
      </c>
      <c r="M4" s="60">
        <v>2016</v>
      </c>
      <c r="N4" s="60">
        <v>2017</v>
      </c>
      <c r="O4" s="60">
        <v>2018</v>
      </c>
      <c r="P4" s="60">
        <v>2019</v>
      </c>
      <c r="Q4" s="60">
        <v>2020</v>
      </c>
      <c r="R4" s="60">
        <v>2021</v>
      </c>
      <c r="S4" s="60">
        <v>2022</v>
      </c>
      <c r="T4" s="60">
        <v>2023</v>
      </c>
      <c r="U4" s="60">
        <v>2024</v>
      </c>
      <c r="V4" s="60">
        <v>2025</v>
      </c>
      <c r="W4" s="60">
        <v>2026</v>
      </c>
      <c r="X4" s="60">
        <v>2027</v>
      </c>
      <c r="Y4" s="60">
        <v>2028</v>
      </c>
      <c r="Z4" s="60">
        <v>2029</v>
      </c>
      <c r="AA4" s="60">
        <v>2030</v>
      </c>
      <c r="AB4" s="60">
        <v>2031</v>
      </c>
      <c r="AC4" s="60">
        <v>2032</v>
      </c>
      <c r="AD4" s="60">
        <v>2033</v>
      </c>
      <c r="AE4" s="60">
        <v>2034</v>
      </c>
      <c r="AF4" s="60">
        <v>2035</v>
      </c>
      <c r="AG4" s="60">
        <v>2036</v>
      </c>
      <c r="AH4" s="60">
        <v>2037</v>
      </c>
      <c r="AI4" s="60">
        <v>2038</v>
      </c>
      <c r="AJ4" s="60">
        <v>2039</v>
      </c>
      <c r="AK4" s="60">
        <v>2040</v>
      </c>
      <c r="AL4" s="60">
        <v>2041</v>
      </c>
      <c r="AM4" s="60">
        <v>2042</v>
      </c>
      <c r="AN4" s="60">
        <v>2043</v>
      </c>
      <c r="AO4" s="60">
        <v>2044</v>
      </c>
      <c r="AP4" s="60">
        <v>2045</v>
      </c>
      <c r="AQ4" s="60">
        <v>2046</v>
      </c>
      <c r="AR4" s="60">
        <v>2047</v>
      </c>
      <c r="AS4" s="60">
        <v>2048</v>
      </c>
      <c r="AT4" s="60">
        <v>2049</v>
      </c>
      <c r="AU4" s="60">
        <v>2050</v>
      </c>
    </row>
    <row r="5" spans="1:47">
      <c r="B5" s="60" t="s">
        <v>665</v>
      </c>
      <c r="C5" s="175">
        <f>Private_2!C5*'BTU Conversion Factor'!$F$4</f>
        <v>1954880138373.8901</v>
      </c>
      <c r="D5" s="175">
        <f>Private_2!D5*'BTU Conversion Factor'!$F$4</f>
        <v>1915117653601.9341</v>
      </c>
      <c r="E5" s="175">
        <f>Private_2!E5*'BTU Conversion Factor'!$F$4</f>
        <v>1847261870578.4094</v>
      </c>
      <c r="F5" s="175">
        <f>Private_2!F5*'BTU Conversion Factor'!$F$4</f>
        <v>1977465126755.5559</v>
      </c>
      <c r="G5" s="175">
        <f>Private_2!G5*'BTU Conversion Factor'!$F$4</f>
        <v>1959179510030.5688</v>
      </c>
      <c r="H5" s="175">
        <f>Private_2!H5*'BTU Conversion Factor'!$F$4</f>
        <v>1994325407274.7964</v>
      </c>
      <c r="I5" s="175">
        <f>Private_2!I5*'BTU Conversion Factor'!$F$4</f>
        <v>1993996949686.624</v>
      </c>
      <c r="J5" s="175">
        <f>Private_2!J5*'BTU Conversion Factor'!$F$4</f>
        <v>1872817926508.0977</v>
      </c>
      <c r="K5" s="175">
        <f>Private_2!K5*'BTU Conversion Factor'!$F$4</f>
        <v>1871201114785.543</v>
      </c>
      <c r="L5" s="175">
        <f>Private_2!L5*'BTU Conversion Factor'!$F$4</f>
        <v>1782308796060.2549</v>
      </c>
      <c r="M5" s="175">
        <f>Private_2!M5*'BTU Conversion Factor'!$F$4</f>
        <v>1890515478161.9255</v>
      </c>
      <c r="N5" s="175">
        <f>Private_2!N5*'BTU Conversion Factor'!$F$4</f>
        <v>1753062540811.8535</v>
      </c>
      <c r="O5" s="175">
        <f>Private_2!O5*'BTU Conversion Factor'!$F$4</f>
        <v>1774650371172.4722</v>
      </c>
      <c r="P5" s="175">
        <f>Private_2!P5*'BTU Conversion Factor'!$F$4</f>
        <v>1794514895020.6912</v>
      </c>
      <c r="Q5" s="175">
        <f>Private_2!Q5*'BTU Conversion Factor'!$F$4</f>
        <v>1815417968395.3154</v>
      </c>
      <c r="R5" s="175">
        <f>Private_2!R5*'BTU Conversion Factor'!$F$4</f>
        <v>1835175302095.5535</v>
      </c>
      <c r="S5" s="175">
        <f>Private_2!S5*'BTU Conversion Factor'!$F$4</f>
        <v>1854787260810.2634</v>
      </c>
      <c r="T5" s="175">
        <f>Private_2!T5*'BTU Conversion Factor'!$F$4</f>
        <v>1874103647699.2864</v>
      </c>
      <c r="U5" s="175">
        <f>Private_2!U5*'BTU Conversion Factor'!$F$4</f>
        <v>1892361235590.1855</v>
      </c>
      <c r="V5" s="175">
        <f>Private_2!V5*'BTU Conversion Factor'!$F$4</f>
        <v>1910034964885.2886</v>
      </c>
      <c r="W5" s="175">
        <f>Private_2!W5*'BTU Conversion Factor'!$F$4</f>
        <v>1926844457800.4976</v>
      </c>
      <c r="X5" s="175">
        <f>Private_2!X5*'BTU Conversion Factor'!$F$4</f>
        <v>1943197160699.583</v>
      </c>
      <c r="Y5" s="175">
        <f>Private_2!Y5*'BTU Conversion Factor'!$F$4</f>
        <v>1959904494950.0286</v>
      </c>
      <c r="Z5" s="175">
        <f>Private_2!Z5*'BTU Conversion Factor'!$F$4</f>
        <v>1976594696236.8542</v>
      </c>
      <c r="AA5" s="175">
        <f>Private_2!AA5*'BTU Conversion Factor'!$F$4</f>
        <v>1992839901240.8367</v>
      </c>
      <c r="AB5" s="175">
        <f>Private_2!AB5*'BTU Conversion Factor'!$F$4</f>
        <v>2008908878678.9478</v>
      </c>
      <c r="AC5" s="175">
        <f>Private_2!AC5*'BTU Conversion Factor'!$F$4</f>
        <v>2024872959539.855</v>
      </c>
      <c r="AD5" s="175">
        <f>Private_2!AD5*'BTU Conversion Factor'!$F$4</f>
        <v>2040931231470.0393</v>
      </c>
      <c r="AE5" s="175">
        <f>Private_2!AE5*'BTU Conversion Factor'!$F$4</f>
        <v>2056574123774.2788</v>
      </c>
      <c r="AF5" s="175">
        <f>Private_2!AF5*'BTU Conversion Factor'!$F$4</f>
        <v>2071437237533.8635</v>
      </c>
      <c r="AG5" s="175">
        <f>Private_2!AG5*'BTU Conversion Factor'!$F$4</f>
        <v>2085688612159.321</v>
      </c>
      <c r="AH5" s="175">
        <f>Private_2!AH5*'BTU Conversion Factor'!$F$4</f>
        <v>2099267596580.6406</v>
      </c>
      <c r="AI5" s="175">
        <f>Private_2!AI5*'BTU Conversion Factor'!$F$4</f>
        <v>2112009503646.4204</v>
      </c>
      <c r="AJ5" s="175">
        <f>Private_2!AJ5*'BTU Conversion Factor'!$F$4</f>
        <v>2123643676936.4873</v>
      </c>
      <c r="AK5" s="175">
        <f>Private_2!AK5*'BTU Conversion Factor'!$F$4</f>
        <v>2134389741239.2598</v>
      </c>
      <c r="AL5" s="175">
        <f>Private_2!AL5*'BTU Conversion Factor'!$F$4</f>
        <v>2144079295725.5303</v>
      </c>
      <c r="AM5" s="175">
        <f>Private_2!AM5*'BTU Conversion Factor'!$F$4</f>
        <v>2152829867382.2661</v>
      </c>
      <c r="AN5" s="175">
        <f>Private_2!AN5*'BTU Conversion Factor'!$F$4</f>
        <v>2161050200489.2979</v>
      </c>
      <c r="AO5" s="175">
        <f>Private_2!AO5*'BTU Conversion Factor'!$F$4</f>
        <v>2168627380034.4763</v>
      </c>
      <c r="AP5" s="175">
        <f>Private_2!AP5*'BTU Conversion Factor'!$F$4</f>
        <v>2175367539302.5935</v>
      </c>
      <c r="AQ5" s="175">
        <f>Private_2!AQ5*'BTU Conversion Factor'!$F$4</f>
        <v>2181366575161.4636</v>
      </c>
      <c r="AR5" s="175">
        <f>Private_2!AR5*'BTU Conversion Factor'!$F$4</f>
        <v>2186348529520.1089</v>
      </c>
      <c r="AS5" s="175">
        <f>Private_2!AS5*'BTU Conversion Factor'!$F$4</f>
        <v>2190729673471.698</v>
      </c>
      <c r="AT5" s="175">
        <f>Private_2!AT5*'BTU Conversion Factor'!$F$4</f>
        <v>2194260845368.3008</v>
      </c>
      <c r="AU5" s="175">
        <f>Private_2!AU5*'BTU Conversion Factor'!$F$4</f>
        <v>2196986066722.2549</v>
      </c>
    </row>
    <row r="6" spans="1:47">
      <c r="B6" s="60" t="s">
        <v>666</v>
      </c>
      <c r="C6" s="175">
        <f>Private_2!C6*'BTU Conversion Factor'!$F$4</f>
        <v>0</v>
      </c>
      <c r="D6" s="175">
        <f>Private_2!D6*'BTU Conversion Factor'!$F$4</f>
        <v>0</v>
      </c>
      <c r="E6" s="175">
        <f>Private_2!E6*'BTU Conversion Factor'!$F$4</f>
        <v>0</v>
      </c>
      <c r="F6" s="175">
        <f>Private_2!F6*'BTU Conversion Factor'!$F$4</f>
        <v>0</v>
      </c>
      <c r="G6" s="175">
        <f>Private_2!G6*'BTU Conversion Factor'!$F$4</f>
        <v>0</v>
      </c>
      <c r="H6" s="175">
        <f>Private_2!H6*'BTU Conversion Factor'!$F$4</f>
        <v>0</v>
      </c>
      <c r="I6" s="175">
        <f>Private_2!I6*'BTU Conversion Factor'!$F$4</f>
        <v>0</v>
      </c>
      <c r="J6" s="175">
        <f>Private_2!J6*'BTU Conversion Factor'!$F$4</f>
        <v>0</v>
      </c>
      <c r="K6" s="175">
        <f>Private_2!K6*'BTU Conversion Factor'!$F$4</f>
        <v>0</v>
      </c>
      <c r="L6" s="175">
        <f>Private_2!L6*'BTU Conversion Factor'!$F$4</f>
        <v>0</v>
      </c>
      <c r="M6" s="175">
        <f>Private_2!M6*'BTU Conversion Factor'!$F$4</f>
        <v>0</v>
      </c>
      <c r="N6" s="175">
        <f>Private_2!N6*'BTU Conversion Factor'!$F$4</f>
        <v>0</v>
      </c>
      <c r="O6" s="175">
        <f>Private_2!O6*'BTU Conversion Factor'!$F$4</f>
        <v>0</v>
      </c>
      <c r="P6" s="175">
        <f>Private_2!P6*'BTU Conversion Factor'!$F$4</f>
        <v>0</v>
      </c>
      <c r="Q6" s="175">
        <f>Private_2!Q6*'BTU Conversion Factor'!$F$4</f>
        <v>0</v>
      </c>
      <c r="R6" s="175">
        <f>Private_2!R6*'BTU Conversion Factor'!$F$4</f>
        <v>0</v>
      </c>
      <c r="S6" s="175">
        <f>Private_2!S6*'BTU Conversion Factor'!$F$4</f>
        <v>0</v>
      </c>
      <c r="T6" s="175">
        <f>Private_2!T6*'BTU Conversion Factor'!$F$4</f>
        <v>0</v>
      </c>
      <c r="U6" s="175">
        <f>Private_2!U6*'BTU Conversion Factor'!$F$4</f>
        <v>0</v>
      </c>
      <c r="V6" s="175">
        <f>Private_2!V6*'BTU Conversion Factor'!$F$4</f>
        <v>0</v>
      </c>
      <c r="W6" s="175">
        <f>Private_2!W6*'BTU Conversion Factor'!$F$4</f>
        <v>0</v>
      </c>
      <c r="X6" s="175">
        <f>Private_2!X6*'BTU Conversion Factor'!$F$4</f>
        <v>0</v>
      </c>
      <c r="Y6" s="175">
        <f>Private_2!Y6*'BTU Conversion Factor'!$F$4</f>
        <v>0</v>
      </c>
      <c r="Z6" s="175">
        <f>Private_2!Z6*'BTU Conversion Factor'!$F$4</f>
        <v>0</v>
      </c>
      <c r="AA6" s="175">
        <f>Private_2!AA6*'BTU Conversion Factor'!$F$4</f>
        <v>0</v>
      </c>
      <c r="AB6" s="175">
        <f>Private_2!AB6*'BTU Conversion Factor'!$F$4</f>
        <v>0</v>
      </c>
      <c r="AC6" s="175">
        <f>Private_2!AC6*'BTU Conversion Factor'!$F$4</f>
        <v>0</v>
      </c>
      <c r="AD6" s="175">
        <f>Private_2!AD6*'BTU Conversion Factor'!$F$4</f>
        <v>0</v>
      </c>
      <c r="AE6" s="175">
        <f>Private_2!AE6*'BTU Conversion Factor'!$F$4</f>
        <v>0</v>
      </c>
      <c r="AF6" s="175">
        <f>Private_2!AF6*'BTU Conversion Factor'!$F$4</f>
        <v>0</v>
      </c>
      <c r="AG6" s="175">
        <f>Private_2!AG6*'BTU Conversion Factor'!$F$4</f>
        <v>0</v>
      </c>
      <c r="AH6" s="175">
        <f>Private_2!AH6*'BTU Conversion Factor'!$F$4</f>
        <v>0</v>
      </c>
      <c r="AI6" s="175">
        <f>Private_2!AI6*'BTU Conversion Factor'!$F$4</f>
        <v>0</v>
      </c>
      <c r="AJ6" s="175">
        <f>Private_2!AJ6*'BTU Conversion Factor'!$F$4</f>
        <v>0</v>
      </c>
      <c r="AK6" s="175">
        <f>Private_2!AK6*'BTU Conversion Factor'!$F$4</f>
        <v>0</v>
      </c>
      <c r="AL6" s="175">
        <f>Private_2!AL6*'BTU Conversion Factor'!$F$4</f>
        <v>0</v>
      </c>
      <c r="AM6" s="175">
        <f>Private_2!AM6*'BTU Conversion Factor'!$F$4</f>
        <v>0</v>
      </c>
      <c r="AN6" s="175">
        <f>Private_2!AN6*'BTU Conversion Factor'!$F$4</f>
        <v>0</v>
      </c>
      <c r="AO6" s="175">
        <f>Private_2!AO6*'BTU Conversion Factor'!$F$4</f>
        <v>0</v>
      </c>
      <c r="AP6" s="175">
        <f>Private_2!AP6*'BTU Conversion Factor'!$F$4</f>
        <v>0</v>
      </c>
      <c r="AQ6" s="175">
        <f>Private_2!AQ6*'BTU Conversion Factor'!$F$4</f>
        <v>0</v>
      </c>
      <c r="AR6" s="175">
        <f>Private_2!AR6*'BTU Conversion Factor'!$F$4</f>
        <v>0</v>
      </c>
      <c r="AS6" s="175">
        <f>Private_2!AS6*'BTU Conversion Factor'!$F$4</f>
        <v>0</v>
      </c>
      <c r="AT6" s="175">
        <f>Private_2!AT6*'BTU Conversion Factor'!$F$4</f>
        <v>0</v>
      </c>
      <c r="AU6" s="175">
        <f>Private_2!AU6*'BTU Conversion Factor'!$F$4</f>
        <v>0</v>
      </c>
    </row>
    <row r="7" spans="1:47">
      <c r="B7" s="60" t="s">
        <v>667</v>
      </c>
      <c r="C7" s="175">
        <f>Private_2!C7*'BTU Conversion Factor'!$F$4</f>
        <v>0</v>
      </c>
      <c r="D7" s="175">
        <f>Private_2!D7*'BTU Conversion Factor'!$F$4</f>
        <v>0</v>
      </c>
      <c r="E7" s="175">
        <f>Private_2!E7*'BTU Conversion Factor'!$F$4</f>
        <v>0</v>
      </c>
      <c r="F7" s="175">
        <f>Private_2!F7*'BTU Conversion Factor'!$F$4</f>
        <v>0</v>
      </c>
      <c r="G7" s="175">
        <f>Private_2!G7*'BTU Conversion Factor'!$F$4</f>
        <v>0</v>
      </c>
      <c r="H7" s="175">
        <f>Private_2!H7*'BTU Conversion Factor'!$F$4</f>
        <v>0</v>
      </c>
      <c r="I7" s="175">
        <f>Private_2!I7*'BTU Conversion Factor'!$F$4</f>
        <v>0</v>
      </c>
      <c r="J7" s="175">
        <f>Private_2!J7*'BTU Conversion Factor'!$F$4</f>
        <v>0</v>
      </c>
      <c r="K7" s="175">
        <f>Private_2!K7*'BTU Conversion Factor'!$F$4</f>
        <v>0</v>
      </c>
      <c r="L7" s="175">
        <f>Private_2!L7*'BTU Conversion Factor'!$F$4</f>
        <v>0</v>
      </c>
      <c r="M7" s="175">
        <f>Private_2!M7*'BTU Conversion Factor'!$F$4</f>
        <v>0</v>
      </c>
      <c r="N7" s="175">
        <f>Private_2!N7*'BTU Conversion Factor'!$F$4</f>
        <v>0</v>
      </c>
      <c r="O7" s="175">
        <f>Private_2!O7*'BTU Conversion Factor'!$F$4</f>
        <v>0</v>
      </c>
      <c r="P7" s="175">
        <f>Private_2!P7*'BTU Conversion Factor'!$F$4</f>
        <v>0</v>
      </c>
      <c r="Q7" s="175">
        <f>Private_2!Q7*'BTU Conversion Factor'!$F$4</f>
        <v>0</v>
      </c>
      <c r="R7" s="175">
        <f>Private_2!R7*'BTU Conversion Factor'!$F$4</f>
        <v>0</v>
      </c>
      <c r="S7" s="175">
        <f>Private_2!S7*'BTU Conversion Factor'!$F$4</f>
        <v>0</v>
      </c>
      <c r="T7" s="175">
        <f>Private_2!T7*'BTU Conversion Factor'!$F$4</f>
        <v>0</v>
      </c>
      <c r="U7" s="175">
        <f>Private_2!U7*'BTU Conversion Factor'!$F$4</f>
        <v>0</v>
      </c>
      <c r="V7" s="175">
        <f>Private_2!V7*'BTU Conversion Factor'!$F$4</f>
        <v>0</v>
      </c>
      <c r="W7" s="175">
        <f>Private_2!W7*'BTU Conversion Factor'!$F$4</f>
        <v>0</v>
      </c>
      <c r="X7" s="175">
        <f>Private_2!X7*'BTU Conversion Factor'!$F$4</f>
        <v>0</v>
      </c>
      <c r="Y7" s="175">
        <f>Private_2!Y7*'BTU Conversion Factor'!$F$4</f>
        <v>0</v>
      </c>
      <c r="Z7" s="175">
        <f>Private_2!Z7*'BTU Conversion Factor'!$F$4</f>
        <v>0</v>
      </c>
      <c r="AA7" s="175">
        <f>Private_2!AA7*'BTU Conversion Factor'!$F$4</f>
        <v>0</v>
      </c>
      <c r="AB7" s="175">
        <f>Private_2!AB7*'BTU Conversion Factor'!$F$4</f>
        <v>0</v>
      </c>
      <c r="AC7" s="175">
        <f>Private_2!AC7*'BTU Conversion Factor'!$F$4</f>
        <v>0</v>
      </c>
      <c r="AD7" s="175">
        <f>Private_2!AD7*'BTU Conversion Factor'!$F$4</f>
        <v>0</v>
      </c>
      <c r="AE7" s="175">
        <f>Private_2!AE7*'BTU Conversion Factor'!$F$4</f>
        <v>0</v>
      </c>
      <c r="AF7" s="175">
        <f>Private_2!AF7*'BTU Conversion Factor'!$F$4</f>
        <v>0</v>
      </c>
      <c r="AG7" s="175">
        <f>Private_2!AG7*'BTU Conversion Factor'!$F$4</f>
        <v>0</v>
      </c>
      <c r="AH7" s="175">
        <f>Private_2!AH7*'BTU Conversion Factor'!$F$4</f>
        <v>0</v>
      </c>
      <c r="AI7" s="175">
        <f>Private_2!AI7*'BTU Conversion Factor'!$F$4</f>
        <v>0</v>
      </c>
      <c r="AJ7" s="175">
        <f>Private_2!AJ7*'BTU Conversion Factor'!$F$4</f>
        <v>0</v>
      </c>
      <c r="AK7" s="175">
        <f>Private_2!AK7*'BTU Conversion Factor'!$F$4</f>
        <v>0</v>
      </c>
      <c r="AL7" s="175">
        <f>Private_2!AL7*'BTU Conversion Factor'!$F$4</f>
        <v>0</v>
      </c>
      <c r="AM7" s="175">
        <f>Private_2!AM7*'BTU Conversion Factor'!$F$4</f>
        <v>0</v>
      </c>
      <c r="AN7" s="175">
        <f>Private_2!AN7*'BTU Conversion Factor'!$F$4</f>
        <v>0</v>
      </c>
      <c r="AO7" s="175">
        <f>Private_2!AO7*'BTU Conversion Factor'!$F$4</f>
        <v>0</v>
      </c>
      <c r="AP7" s="175">
        <f>Private_2!AP7*'BTU Conversion Factor'!$F$4</f>
        <v>0</v>
      </c>
      <c r="AQ7" s="175">
        <f>Private_2!AQ7*'BTU Conversion Factor'!$F$4</f>
        <v>0</v>
      </c>
      <c r="AR7" s="175">
        <f>Private_2!AR7*'BTU Conversion Factor'!$F$4</f>
        <v>0</v>
      </c>
      <c r="AS7" s="175">
        <f>Private_2!AS7*'BTU Conversion Factor'!$F$4</f>
        <v>0</v>
      </c>
      <c r="AT7" s="175">
        <f>Private_2!AT7*'BTU Conversion Factor'!$F$4</f>
        <v>0</v>
      </c>
      <c r="AU7" s="175">
        <f>Private_2!AU7*'BTU Conversion Factor'!$F$4</f>
        <v>0</v>
      </c>
    </row>
    <row r="8" spans="1:47">
      <c r="B8" s="60" t="s">
        <v>668</v>
      </c>
      <c r="C8" s="175">
        <f>Private_2!C8*'BTU Conversion Factor'!$F$4</f>
        <v>0</v>
      </c>
      <c r="D8" s="175">
        <f>Private_2!D8*'BTU Conversion Factor'!$F$4</f>
        <v>0</v>
      </c>
      <c r="E8" s="175">
        <f>Private_2!E8*'BTU Conversion Factor'!$F$4</f>
        <v>0</v>
      </c>
      <c r="F8" s="175">
        <f>Private_2!F8*'BTU Conversion Factor'!$F$4</f>
        <v>0</v>
      </c>
      <c r="G8" s="175">
        <f>Private_2!G8*'BTU Conversion Factor'!$F$4</f>
        <v>0</v>
      </c>
      <c r="H8" s="175">
        <f>Private_2!H8*'BTU Conversion Factor'!$F$4</f>
        <v>0</v>
      </c>
      <c r="I8" s="175">
        <f>Private_2!I8*'BTU Conversion Factor'!$F$4</f>
        <v>0</v>
      </c>
      <c r="J8" s="175">
        <f>Private_2!J8*'BTU Conversion Factor'!$F$4</f>
        <v>0</v>
      </c>
      <c r="K8" s="175">
        <f>Private_2!K8*'BTU Conversion Factor'!$F$4</f>
        <v>0</v>
      </c>
      <c r="L8" s="175">
        <f>Private_2!L8*'BTU Conversion Factor'!$F$4</f>
        <v>0</v>
      </c>
      <c r="M8" s="175">
        <f>Private_2!M8*'BTU Conversion Factor'!$F$4</f>
        <v>0</v>
      </c>
      <c r="N8" s="175">
        <f>Private_2!N8*'BTU Conversion Factor'!$F$4</f>
        <v>0</v>
      </c>
      <c r="O8" s="175">
        <f>Private_2!O8*'BTU Conversion Factor'!$F$4</f>
        <v>0</v>
      </c>
      <c r="P8" s="175">
        <f>Private_2!P8*'BTU Conversion Factor'!$F$4</f>
        <v>0</v>
      </c>
      <c r="Q8" s="175">
        <f>Private_2!Q8*'BTU Conversion Factor'!$F$4</f>
        <v>0</v>
      </c>
      <c r="R8" s="175">
        <f>Private_2!R8*'BTU Conversion Factor'!$F$4</f>
        <v>0</v>
      </c>
      <c r="S8" s="175">
        <f>Private_2!S8*'BTU Conversion Factor'!$F$4</f>
        <v>0</v>
      </c>
      <c r="T8" s="175">
        <f>Private_2!T8*'BTU Conversion Factor'!$F$4</f>
        <v>0</v>
      </c>
      <c r="U8" s="175">
        <f>Private_2!U8*'BTU Conversion Factor'!$F$4</f>
        <v>0</v>
      </c>
      <c r="V8" s="175">
        <f>Private_2!V8*'BTU Conversion Factor'!$F$4</f>
        <v>0</v>
      </c>
      <c r="W8" s="175">
        <f>Private_2!W8*'BTU Conversion Factor'!$F$4</f>
        <v>0</v>
      </c>
      <c r="X8" s="175">
        <f>Private_2!X8*'BTU Conversion Factor'!$F$4</f>
        <v>0</v>
      </c>
      <c r="Y8" s="175">
        <f>Private_2!Y8*'BTU Conversion Factor'!$F$4</f>
        <v>0</v>
      </c>
      <c r="Z8" s="175">
        <f>Private_2!Z8*'BTU Conversion Factor'!$F$4</f>
        <v>0</v>
      </c>
      <c r="AA8" s="175">
        <f>Private_2!AA8*'BTU Conversion Factor'!$F$4</f>
        <v>0</v>
      </c>
      <c r="AB8" s="175">
        <f>Private_2!AB8*'BTU Conversion Factor'!$F$4</f>
        <v>0</v>
      </c>
      <c r="AC8" s="175">
        <f>Private_2!AC8*'BTU Conversion Factor'!$F$4</f>
        <v>0</v>
      </c>
      <c r="AD8" s="175">
        <f>Private_2!AD8*'BTU Conversion Factor'!$F$4</f>
        <v>0</v>
      </c>
      <c r="AE8" s="175">
        <f>Private_2!AE8*'BTU Conversion Factor'!$F$4</f>
        <v>0</v>
      </c>
      <c r="AF8" s="175">
        <f>Private_2!AF8*'BTU Conversion Factor'!$F$4</f>
        <v>0</v>
      </c>
      <c r="AG8" s="175">
        <f>Private_2!AG8*'BTU Conversion Factor'!$F$4</f>
        <v>0</v>
      </c>
      <c r="AH8" s="175">
        <f>Private_2!AH8*'BTU Conversion Factor'!$F$4</f>
        <v>0</v>
      </c>
      <c r="AI8" s="175">
        <f>Private_2!AI8*'BTU Conversion Factor'!$F$4</f>
        <v>0</v>
      </c>
      <c r="AJ8" s="175">
        <f>Private_2!AJ8*'BTU Conversion Factor'!$F$4</f>
        <v>0</v>
      </c>
      <c r="AK8" s="175">
        <f>Private_2!AK8*'BTU Conversion Factor'!$F$4</f>
        <v>0</v>
      </c>
      <c r="AL8" s="175">
        <f>Private_2!AL8*'BTU Conversion Factor'!$F$4</f>
        <v>0</v>
      </c>
      <c r="AM8" s="175">
        <f>Private_2!AM8*'BTU Conversion Factor'!$F$4</f>
        <v>0</v>
      </c>
      <c r="AN8" s="175">
        <f>Private_2!AN8*'BTU Conversion Factor'!$F$4</f>
        <v>0</v>
      </c>
      <c r="AO8" s="175">
        <f>Private_2!AO8*'BTU Conversion Factor'!$F$4</f>
        <v>0</v>
      </c>
      <c r="AP8" s="175">
        <f>Private_2!AP8*'BTU Conversion Factor'!$F$4</f>
        <v>0</v>
      </c>
      <c r="AQ8" s="175">
        <f>Private_2!AQ8*'BTU Conversion Factor'!$F$4</f>
        <v>0</v>
      </c>
      <c r="AR8" s="175">
        <f>Private_2!AR8*'BTU Conversion Factor'!$F$4</f>
        <v>0</v>
      </c>
      <c r="AS8" s="175">
        <f>Private_2!AS8*'BTU Conversion Factor'!$F$4</f>
        <v>0</v>
      </c>
      <c r="AT8" s="175">
        <f>Private_2!AT8*'BTU Conversion Factor'!$F$4</f>
        <v>0</v>
      </c>
      <c r="AU8" s="175">
        <f>Private_2!AU8*'BTU Conversion Factor'!$F$4</f>
        <v>0</v>
      </c>
    </row>
    <row r="9" spans="1:47">
      <c r="B9" s="60" t="s">
        <v>669</v>
      </c>
      <c r="C9" s="175">
        <f>Private_2!C9*'BTU Conversion Factor'!$F$4</f>
        <v>0</v>
      </c>
      <c r="D9" s="175">
        <f>Private_2!D9*'BTU Conversion Factor'!$F$4</f>
        <v>0</v>
      </c>
      <c r="E9" s="175">
        <f>Private_2!E9*'BTU Conversion Factor'!$F$4</f>
        <v>0</v>
      </c>
      <c r="F9" s="175">
        <f>Private_2!F9*'BTU Conversion Factor'!$F$4</f>
        <v>0</v>
      </c>
      <c r="G9" s="175">
        <f>Private_2!G9*'BTU Conversion Factor'!$F$4</f>
        <v>0</v>
      </c>
      <c r="H9" s="175">
        <f>Private_2!H9*'BTU Conversion Factor'!$F$4</f>
        <v>0</v>
      </c>
      <c r="I9" s="175">
        <f>Private_2!I9*'BTU Conversion Factor'!$F$4</f>
        <v>0</v>
      </c>
      <c r="J9" s="175">
        <f>Private_2!J9*'BTU Conversion Factor'!$F$4</f>
        <v>0</v>
      </c>
      <c r="K9" s="175">
        <f>Private_2!K9*'BTU Conversion Factor'!$F$4</f>
        <v>0</v>
      </c>
      <c r="L9" s="175">
        <f>Private_2!L9*'BTU Conversion Factor'!$F$4</f>
        <v>0</v>
      </c>
      <c r="M9" s="175">
        <f>Private_2!M9*'BTU Conversion Factor'!$F$4</f>
        <v>0</v>
      </c>
      <c r="N9" s="175">
        <f>Private_2!N9*'BTU Conversion Factor'!$F$4</f>
        <v>0</v>
      </c>
      <c r="O9" s="175">
        <f>Private_2!O9*'BTU Conversion Factor'!$F$4</f>
        <v>0</v>
      </c>
      <c r="P9" s="175">
        <f>Private_2!P9*'BTU Conversion Factor'!$F$4</f>
        <v>0</v>
      </c>
      <c r="Q9" s="175">
        <f>Private_2!Q9*'BTU Conversion Factor'!$F$4</f>
        <v>0</v>
      </c>
      <c r="R9" s="175">
        <f>Private_2!R9*'BTU Conversion Factor'!$F$4</f>
        <v>0</v>
      </c>
      <c r="S9" s="175">
        <f>Private_2!S9*'BTU Conversion Factor'!$F$4</f>
        <v>0</v>
      </c>
      <c r="T9" s="175">
        <f>Private_2!T9*'BTU Conversion Factor'!$F$4</f>
        <v>0</v>
      </c>
      <c r="U9" s="175">
        <f>Private_2!U9*'BTU Conversion Factor'!$F$4</f>
        <v>0</v>
      </c>
      <c r="V9" s="175">
        <f>Private_2!V9*'BTU Conversion Factor'!$F$4</f>
        <v>0</v>
      </c>
      <c r="W9" s="175">
        <f>Private_2!W9*'BTU Conversion Factor'!$F$4</f>
        <v>0</v>
      </c>
      <c r="X9" s="175">
        <f>Private_2!X9*'BTU Conversion Factor'!$F$4</f>
        <v>0</v>
      </c>
      <c r="Y9" s="175">
        <f>Private_2!Y9*'BTU Conversion Factor'!$F$4</f>
        <v>0</v>
      </c>
      <c r="Z9" s="175">
        <f>Private_2!Z9*'BTU Conversion Factor'!$F$4</f>
        <v>0</v>
      </c>
      <c r="AA9" s="175">
        <f>Private_2!AA9*'BTU Conversion Factor'!$F$4</f>
        <v>0</v>
      </c>
      <c r="AB9" s="175">
        <f>Private_2!AB9*'BTU Conversion Factor'!$F$4</f>
        <v>0</v>
      </c>
      <c r="AC9" s="175">
        <f>Private_2!AC9*'BTU Conversion Factor'!$F$4</f>
        <v>0</v>
      </c>
      <c r="AD9" s="175">
        <f>Private_2!AD9*'BTU Conversion Factor'!$F$4</f>
        <v>0</v>
      </c>
      <c r="AE9" s="175">
        <f>Private_2!AE9*'BTU Conversion Factor'!$F$4</f>
        <v>0</v>
      </c>
      <c r="AF9" s="175">
        <f>Private_2!AF9*'BTU Conversion Factor'!$F$4</f>
        <v>0</v>
      </c>
      <c r="AG9" s="175">
        <f>Private_2!AG9*'BTU Conversion Factor'!$F$4</f>
        <v>0</v>
      </c>
      <c r="AH9" s="175">
        <f>Private_2!AH9*'BTU Conversion Factor'!$F$4</f>
        <v>0</v>
      </c>
      <c r="AI9" s="175">
        <f>Private_2!AI9*'BTU Conversion Factor'!$F$4</f>
        <v>0</v>
      </c>
      <c r="AJ9" s="175">
        <f>Private_2!AJ9*'BTU Conversion Factor'!$F$4</f>
        <v>0</v>
      </c>
      <c r="AK9" s="175">
        <f>Private_2!AK9*'BTU Conversion Factor'!$F$4</f>
        <v>0</v>
      </c>
      <c r="AL9" s="175">
        <f>Private_2!AL9*'BTU Conversion Factor'!$F$4</f>
        <v>0</v>
      </c>
      <c r="AM9" s="175">
        <f>Private_2!AM9*'BTU Conversion Factor'!$F$4</f>
        <v>0</v>
      </c>
      <c r="AN9" s="175">
        <f>Private_2!AN9*'BTU Conversion Factor'!$F$4</f>
        <v>0</v>
      </c>
      <c r="AO9" s="175">
        <f>Private_2!AO9*'BTU Conversion Factor'!$F$4</f>
        <v>0</v>
      </c>
      <c r="AP9" s="175">
        <f>Private_2!AP9*'BTU Conversion Factor'!$F$4</f>
        <v>0</v>
      </c>
      <c r="AQ9" s="175">
        <f>Private_2!AQ9*'BTU Conversion Factor'!$F$4</f>
        <v>0</v>
      </c>
      <c r="AR9" s="175">
        <f>Private_2!AR9*'BTU Conversion Factor'!$F$4</f>
        <v>0</v>
      </c>
      <c r="AS9" s="175">
        <f>Private_2!AS9*'BTU Conversion Factor'!$F$4</f>
        <v>0</v>
      </c>
      <c r="AT9" s="175">
        <f>Private_2!AT9*'BTU Conversion Factor'!$F$4</f>
        <v>0</v>
      </c>
      <c r="AU9" s="175">
        <f>Private_2!AU9*'BTU Conversion Factor'!$F$4</f>
        <v>0</v>
      </c>
    </row>
    <row r="10" spans="1:47">
      <c r="B10" s="60" t="s">
        <v>670</v>
      </c>
      <c r="C10" s="175">
        <f>Private_2!C10*'BTU Conversion Factor'!$F$4</f>
        <v>0</v>
      </c>
      <c r="D10" s="175">
        <f>Private_2!D10*'BTU Conversion Factor'!$F$4</f>
        <v>0</v>
      </c>
      <c r="E10" s="175">
        <f>Private_2!E10*'BTU Conversion Factor'!$F$4</f>
        <v>0</v>
      </c>
      <c r="F10" s="175">
        <f>Private_2!F10*'BTU Conversion Factor'!$F$4</f>
        <v>0</v>
      </c>
      <c r="G10" s="175">
        <f>Private_2!G10*'BTU Conversion Factor'!$F$4</f>
        <v>0</v>
      </c>
      <c r="H10" s="175">
        <f>Private_2!H10*'BTU Conversion Factor'!$F$4</f>
        <v>0</v>
      </c>
      <c r="I10" s="175">
        <f>Private_2!I10*'BTU Conversion Factor'!$F$4</f>
        <v>0</v>
      </c>
      <c r="J10" s="175">
        <f>Private_2!J10*'BTU Conversion Factor'!$F$4</f>
        <v>0</v>
      </c>
      <c r="K10" s="175">
        <f>Private_2!K10*'BTU Conversion Factor'!$F$4</f>
        <v>0</v>
      </c>
      <c r="L10" s="175">
        <f>Private_2!L10*'BTU Conversion Factor'!$F$4</f>
        <v>0</v>
      </c>
      <c r="M10" s="175">
        <f>Private_2!M10*'BTU Conversion Factor'!$F$4</f>
        <v>0</v>
      </c>
      <c r="N10" s="175">
        <f>Private_2!N10*'BTU Conversion Factor'!$F$4</f>
        <v>0</v>
      </c>
      <c r="O10" s="175">
        <f>Private_2!O10*'BTU Conversion Factor'!$F$4</f>
        <v>0</v>
      </c>
      <c r="P10" s="175">
        <f>Private_2!P10*'BTU Conversion Factor'!$F$4</f>
        <v>0</v>
      </c>
      <c r="Q10" s="175">
        <f>Private_2!Q10*'BTU Conversion Factor'!$F$4</f>
        <v>0</v>
      </c>
      <c r="R10" s="175">
        <f>Private_2!R10*'BTU Conversion Factor'!$F$4</f>
        <v>0</v>
      </c>
      <c r="S10" s="175">
        <f>Private_2!S10*'BTU Conversion Factor'!$F$4</f>
        <v>0</v>
      </c>
      <c r="T10" s="175">
        <f>Private_2!T10*'BTU Conversion Factor'!$F$4</f>
        <v>0</v>
      </c>
      <c r="U10" s="175">
        <f>Private_2!U10*'BTU Conversion Factor'!$F$4</f>
        <v>0</v>
      </c>
      <c r="V10" s="175">
        <f>Private_2!V10*'BTU Conversion Factor'!$F$4</f>
        <v>0</v>
      </c>
      <c r="W10" s="175">
        <f>Private_2!W10*'BTU Conversion Factor'!$F$4</f>
        <v>0</v>
      </c>
      <c r="X10" s="175">
        <f>Private_2!X10*'BTU Conversion Factor'!$F$4</f>
        <v>0</v>
      </c>
      <c r="Y10" s="175">
        <f>Private_2!Y10*'BTU Conversion Factor'!$F$4</f>
        <v>0</v>
      </c>
      <c r="Z10" s="175">
        <f>Private_2!Z10*'BTU Conversion Factor'!$F$4</f>
        <v>0</v>
      </c>
      <c r="AA10" s="175">
        <f>Private_2!AA10*'BTU Conversion Factor'!$F$4</f>
        <v>0</v>
      </c>
      <c r="AB10" s="175">
        <f>Private_2!AB10*'BTU Conversion Factor'!$F$4</f>
        <v>0</v>
      </c>
      <c r="AC10" s="175">
        <f>Private_2!AC10*'BTU Conversion Factor'!$F$4</f>
        <v>0</v>
      </c>
      <c r="AD10" s="175">
        <f>Private_2!AD10*'BTU Conversion Factor'!$F$4</f>
        <v>0</v>
      </c>
      <c r="AE10" s="175">
        <f>Private_2!AE10*'BTU Conversion Factor'!$F$4</f>
        <v>0</v>
      </c>
      <c r="AF10" s="175">
        <f>Private_2!AF10*'BTU Conversion Factor'!$F$4</f>
        <v>0</v>
      </c>
      <c r="AG10" s="175">
        <f>Private_2!AG10*'BTU Conversion Factor'!$F$4</f>
        <v>0</v>
      </c>
      <c r="AH10" s="175">
        <f>Private_2!AH10*'BTU Conversion Factor'!$F$4</f>
        <v>0</v>
      </c>
      <c r="AI10" s="175">
        <f>Private_2!AI10*'BTU Conversion Factor'!$F$4</f>
        <v>0</v>
      </c>
      <c r="AJ10" s="175">
        <f>Private_2!AJ10*'BTU Conversion Factor'!$F$4</f>
        <v>0</v>
      </c>
      <c r="AK10" s="175">
        <f>Private_2!AK10*'BTU Conversion Factor'!$F$4</f>
        <v>0</v>
      </c>
      <c r="AL10" s="175">
        <f>Private_2!AL10*'BTU Conversion Factor'!$F$4</f>
        <v>0</v>
      </c>
      <c r="AM10" s="175">
        <f>Private_2!AM10*'BTU Conversion Factor'!$F$4</f>
        <v>0</v>
      </c>
      <c r="AN10" s="175">
        <f>Private_2!AN10*'BTU Conversion Factor'!$F$4</f>
        <v>0</v>
      </c>
      <c r="AO10" s="175">
        <f>Private_2!AO10*'BTU Conversion Factor'!$F$4</f>
        <v>0</v>
      </c>
      <c r="AP10" s="175">
        <f>Private_2!AP10*'BTU Conversion Factor'!$F$4</f>
        <v>0</v>
      </c>
      <c r="AQ10" s="175">
        <f>Private_2!AQ10*'BTU Conversion Factor'!$F$4</f>
        <v>0</v>
      </c>
      <c r="AR10" s="175">
        <f>Private_2!AR10*'BTU Conversion Factor'!$F$4</f>
        <v>0</v>
      </c>
      <c r="AS10" s="175">
        <f>Private_2!AS10*'BTU Conversion Factor'!$F$4</f>
        <v>0</v>
      </c>
      <c r="AT10" s="175">
        <f>Private_2!AT10*'BTU Conversion Factor'!$F$4</f>
        <v>0</v>
      </c>
      <c r="AU10" s="175">
        <f>Private_2!AU10*'BTU Conversion Factor'!$F$4</f>
        <v>0</v>
      </c>
    </row>
    <row r="12" spans="1:47" s="64" customFormat="1">
      <c r="A12" s="124" t="s">
        <v>87</v>
      </c>
    </row>
    <row r="13" spans="1:47" s="60" customFormat="1">
      <c r="B13" s="60" t="s">
        <v>0</v>
      </c>
      <c r="C13" s="60">
        <v>2006</v>
      </c>
      <c r="D13" s="60">
        <v>2007</v>
      </c>
      <c r="E13" s="60">
        <v>2008</v>
      </c>
      <c r="F13" s="60">
        <v>2009</v>
      </c>
      <c r="G13" s="60">
        <v>2010</v>
      </c>
      <c r="H13" s="60">
        <v>2011</v>
      </c>
      <c r="I13" s="60">
        <v>2012</v>
      </c>
      <c r="J13" s="60">
        <v>2013</v>
      </c>
      <c r="K13" s="60">
        <v>2014</v>
      </c>
      <c r="L13" s="60">
        <v>2015</v>
      </c>
      <c r="M13" s="60">
        <v>2016</v>
      </c>
      <c r="N13" s="60">
        <v>2017</v>
      </c>
      <c r="O13" s="60">
        <v>2018</v>
      </c>
      <c r="P13" s="60">
        <v>2019</v>
      </c>
      <c r="Q13" s="60">
        <v>2020</v>
      </c>
      <c r="R13" s="60">
        <v>2021</v>
      </c>
      <c r="S13" s="60">
        <v>2022</v>
      </c>
      <c r="T13" s="60">
        <v>2023</v>
      </c>
      <c r="U13" s="60">
        <v>2024</v>
      </c>
      <c r="V13" s="60">
        <v>2025</v>
      </c>
      <c r="W13" s="60">
        <v>2026</v>
      </c>
      <c r="X13" s="60">
        <v>2027</v>
      </c>
      <c r="Y13" s="60">
        <v>2028</v>
      </c>
      <c r="Z13" s="60">
        <v>2029</v>
      </c>
      <c r="AA13" s="60">
        <v>2030</v>
      </c>
      <c r="AB13" s="60">
        <v>2031</v>
      </c>
      <c r="AC13" s="60">
        <v>2032</v>
      </c>
      <c r="AD13" s="60">
        <v>2033</v>
      </c>
      <c r="AE13" s="60">
        <v>2034</v>
      </c>
      <c r="AF13" s="60">
        <v>2035</v>
      </c>
      <c r="AG13" s="60">
        <v>2036</v>
      </c>
      <c r="AH13" s="60">
        <v>2037</v>
      </c>
      <c r="AI13" s="60">
        <v>2038</v>
      </c>
      <c r="AJ13" s="60">
        <v>2039</v>
      </c>
      <c r="AK13" s="60">
        <v>2040</v>
      </c>
      <c r="AL13" s="60">
        <v>2041</v>
      </c>
      <c r="AM13" s="60">
        <v>2042</v>
      </c>
      <c r="AN13" s="60">
        <v>2043</v>
      </c>
      <c r="AO13" s="60">
        <v>2044</v>
      </c>
      <c r="AP13" s="60">
        <v>2045</v>
      </c>
      <c r="AQ13" s="60">
        <v>2046</v>
      </c>
      <c r="AR13" s="60">
        <v>2047</v>
      </c>
      <c r="AS13" s="60">
        <v>2048</v>
      </c>
      <c r="AT13" s="60">
        <v>2049</v>
      </c>
      <c r="AU13" s="60">
        <v>2050</v>
      </c>
    </row>
    <row r="14" spans="1:47">
      <c r="B14" s="60" t="s">
        <v>665</v>
      </c>
      <c r="C14" s="175">
        <f>Private_2!C14*'BTU Conversion Factor'!$F$4</f>
        <v>5571590413000.4443</v>
      </c>
      <c r="D14" s="175">
        <f>Private_2!D14*'BTU Conversion Factor'!$F$4</f>
        <v>5632269823164.5439</v>
      </c>
      <c r="E14" s="175">
        <f>Private_2!E14*'BTU Conversion Factor'!$F$4</f>
        <v>5609203928179.6963</v>
      </c>
      <c r="F14" s="175">
        <f>Private_2!F14*'BTU Conversion Factor'!$F$4</f>
        <v>6150491441777.7783</v>
      </c>
      <c r="G14" s="175">
        <f>Private_2!G14*'BTU Conversion Factor'!$F$4</f>
        <v>6250844084114.9795</v>
      </c>
      <c r="H14" s="175">
        <f>Private_2!H14*'BTU Conversion Factor'!$F$4</f>
        <v>6515942494458.1719</v>
      </c>
      <c r="I14" s="175">
        <f>Private_2!I14*'BTU Conversion Factor'!$F$4</f>
        <v>6650268812270.0625</v>
      </c>
      <c r="J14" s="175">
        <f>Private_2!J14*'BTU Conversion Factor'!$F$4</f>
        <v>5811362063799.8057</v>
      </c>
      <c r="K14" s="175">
        <f>Private_2!K14*'BTU Conversion Factor'!$F$4</f>
        <v>7564716598881.0938</v>
      </c>
      <c r="L14" s="175">
        <f>Private_2!L14*'BTU Conversion Factor'!$F$4</f>
        <v>7233128561297.7988</v>
      </c>
      <c r="M14" s="175">
        <f>Private_2!M14*'BTU Conversion Factor'!$F$4</f>
        <v>7354796096105.0322</v>
      </c>
      <c r="N14" s="175">
        <f>Private_2!N14*'BTU Conversion Factor'!$F$4</f>
        <v>8290080902048.4307</v>
      </c>
      <c r="O14" s="175">
        <f>Private_2!O14*'BTU Conversion Factor'!$F$4</f>
        <v>8495367598917.0186</v>
      </c>
      <c r="P14" s="175">
        <f>Private_2!P14*'BTU Conversion Factor'!$F$4</f>
        <v>8694815257713.335</v>
      </c>
      <c r="Q14" s="175">
        <f>Private_2!Q14*'BTU Conversion Factor'!$F$4</f>
        <v>8901665638040.7285</v>
      </c>
      <c r="R14" s="175">
        <f>Private_2!R14*'BTU Conversion Factor'!$F$4</f>
        <v>9105262522741.7754</v>
      </c>
      <c r="S14" s="175">
        <f>Private_2!S14*'BTU Conversion Factor'!$F$4</f>
        <v>9310427534872.1738</v>
      </c>
      <c r="T14" s="175">
        <f>Private_2!T14*'BTU Conversion Factor'!$F$4</f>
        <v>9516372639379.3984</v>
      </c>
      <c r="U14" s="175">
        <f>Private_2!U14*'BTU Conversion Factor'!$F$4</f>
        <v>9719126353620.0703</v>
      </c>
      <c r="V14" s="175">
        <f>Private_2!V14*'BTU Conversion Factor'!$F$4</f>
        <v>9920970865740.0586</v>
      </c>
      <c r="W14" s="175">
        <f>Private_2!W14*'BTU Conversion Factor'!$F$4</f>
        <v>10120331694490.867</v>
      </c>
      <c r="X14" s="175">
        <f>Private_2!X14*'BTU Conversion Factor'!$F$4</f>
        <v>10319221785628.26</v>
      </c>
      <c r="Y14" s="175">
        <f>Private_2!Y14*'BTU Conversion Factor'!$F$4</f>
        <v>10521917635340.889</v>
      </c>
      <c r="Z14" s="175">
        <f>Private_2!Z14*'BTU Conversion Factor'!$F$4</f>
        <v>10726463643415.766</v>
      </c>
      <c r="AA14" s="175">
        <f>Private_2!AA14*'BTU Conversion Factor'!$F$4</f>
        <v>10930510037143.051</v>
      </c>
      <c r="AB14" s="175">
        <f>Private_2!AB14*'BTU Conversion Factor'!$F$4</f>
        <v>11135468980710.707</v>
      </c>
      <c r="AC14" s="175">
        <f>Private_2!AC14*'BTU Conversion Factor'!$F$4</f>
        <v>11341709268899.773</v>
      </c>
      <c r="AD14" s="175">
        <f>Private_2!AD14*'BTU Conversion Factor'!$F$4</f>
        <v>11550339308027.24</v>
      </c>
      <c r="AE14" s="175">
        <f>Private_2!AE14*'BTU Conversion Factor'!$F$4</f>
        <v>11758462060001.982</v>
      </c>
      <c r="AF14" s="175">
        <f>Private_2!AF14*'BTU Conversion Factor'!$F$4</f>
        <v>11963900417873.996</v>
      </c>
      <c r="AG14" s="175">
        <f>Private_2!AG14*'BTU Conversion Factor'!$F$4</f>
        <v>12167498653261.748</v>
      </c>
      <c r="AH14" s="175">
        <f>Private_2!AH14*'BTU Conversion Factor'!$F$4</f>
        <v>12368792690898.891</v>
      </c>
      <c r="AI14" s="175">
        <f>Private_2!AI14*'BTU Conversion Factor'!$F$4</f>
        <v>12566685321607.387</v>
      </c>
      <c r="AJ14" s="175">
        <f>Private_2!AJ14*'BTU Conversion Factor'!$F$4</f>
        <v>12759404337600.328</v>
      </c>
      <c r="AK14" s="175">
        <f>Private_2!AK14*'BTU Conversion Factor'!$F$4</f>
        <v>12948088822192.453</v>
      </c>
      <c r="AL14" s="175">
        <f>Private_2!AL14*'BTU Conversion Factor'!$F$4</f>
        <v>13131552457287.965</v>
      </c>
      <c r="AM14" s="175">
        <f>Private_2!AM14*'BTU Conversion Factor'!$F$4</f>
        <v>13310337564052.451</v>
      </c>
      <c r="AN14" s="175">
        <f>Private_2!AN14*'BTU Conversion Factor'!$F$4</f>
        <v>13486831250416.463</v>
      </c>
      <c r="AO14" s="175">
        <f>Private_2!AO14*'BTU Conversion Factor'!$F$4</f>
        <v>13660229758809.676</v>
      </c>
      <c r="AP14" s="175">
        <f>Private_2!AP14*'BTU Conversion Factor'!$F$4</f>
        <v>13829188442657.816</v>
      </c>
      <c r="AQ14" s="175">
        <f>Private_2!AQ14*'BTU Conversion Factor'!$F$4</f>
        <v>13994176488015.48</v>
      </c>
      <c r="AR14" s="175">
        <f>Private_2!AR14*'BTU Conversion Factor'!$F$4</f>
        <v>14153278192630.094</v>
      </c>
      <c r="AS14" s="175">
        <f>Private_2!AS14*'BTU Conversion Factor'!$F$4</f>
        <v>14309035048748.477</v>
      </c>
      <c r="AT14" s="175">
        <f>Private_2!AT14*'BTU Conversion Factor'!$F$4</f>
        <v>14459700320229.371</v>
      </c>
      <c r="AU14" s="175">
        <f>Private_2!AU14*'BTU Conversion Factor'!$F$4</f>
        <v>14605418376099.369</v>
      </c>
    </row>
    <row r="15" spans="1:47">
      <c r="B15" s="60" t="s">
        <v>666</v>
      </c>
      <c r="C15" s="175">
        <f>Private_2!C15*'BTU Conversion Factor'!$F$4</f>
        <v>0</v>
      </c>
      <c r="D15" s="175">
        <f>Private_2!D15*'BTU Conversion Factor'!$F$4</f>
        <v>0</v>
      </c>
      <c r="E15" s="175">
        <f>Private_2!E15*'BTU Conversion Factor'!$F$4</f>
        <v>0</v>
      </c>
      <c r="F15" s="175">
        <f>Private_2!F15*'BTU Conversion Factor'!$F$4</f>
        <v>0</v>
      </c>
      <c r="G15" s="175">
        <f>Private_2!G15*'BTU Conversion Factor'!$F$4</f>
        <v>0</v>
      </c>
      <c r="H15" s="175">
        <f>Private_2!H15*'BTU Conversion Factor'!$F$4</f>
        <v>0</v>
      </c>
      <c r="I15" s="175">
        <f>Private_2!I15*'BTU Conversion Factor'!$F$4</f>
        <v>0</v>
      </c>
      <c r="J15" s="175">
        <f>Private_2!J15*'BTU Conversion Factor'!$F$4</f>
        <v>0</v>
      </c>
      <c r="K15" s="175">
        <f>Private_2!K15*'BTU Conversion Factor'!$F$4</f>
        <v>0</v>
      </c>
      <c r="L15" s="175">
        <f>Private_2!L15*'BTU Conversion Factor'!$F$4</f>
        <v>0</v>
      </c>
      <c r="M15" s="175">
        <f>Private_2!M15*'BTU Conversion Factor'!$F$4</f>
        <v>0</v>
      </c>
      <c r="N15" s="175">
        <f>Private_2!N15*'BTU Conversion Factor'!$F$4</f>
        <v>0</v>
      </c>
      <c r="O15" s="175">
        <f>Private_2!O15*'BTU Conversion Factor'!$F$4</f>
        <v>0</v>
      </c>
      <c r="P15" s="175">
        <f>Private_2!P15*'BTU Conversion Factor'!$F$4</f>
        <v>0</v>
      </c>
      <c r="Q15" s="175">
        <f>Private_2!Q15*'BTU Conversion Factor'!$F$4</f>
        <v>0</v>
      </c>
      <c r="R15" s="175">
        <f>Private_2!R15*'BTU Conversion Factor'!$F$4</f>
        <v>0</v>
      </c>
      <c r="S15" s="175">
        <f>Private_2!S15*'BTU Conversion Factor'!$F$4</f>
        <v>0</v>
      </c>
      <c r="T15" s="175">
        <f>Private_2!T15*'BTU Conversion Factor'!$F$4</f>
        <v>0</v>
      </c>
      <c r="U15" s="175">
        <f>Private_2!U15*'BTU Conversion Factor'!$F$4</f>
        <v>0</v>
      </c>
      <c r="V15" s="175">
        <f>Private_2!V15*'BTU Conversion Factor'!$F$4</f>
        <v>0</v>
      </c>
      <c r="W15" s="175">
        <f>Private_2!W15*'BTU Conversion Factor'!$F$4</f>
        <v>0</v>
      </c>
      <c r="X15" s="175">
        <f>Private_2!X15*'BTU Conversion Factor'!$F$4</f>
        <v>0</v>
      </c>
      <c r="Y15" s="175">
        <f>Private_2!Y15*'BTU Conversion Factor'!$F$4</f>
        <v>0</v>
      </c>
      <c r="Z15" s="175">
        <f>Private_2!Z15*'BTU Conversion Factor'!$F$4</f>
        <v>0</v>
      </c>
      <c r="AA15" s="175">
        <f>Private_2!AA15*'BTU Conversion Factor'!$F$4</f>
        <v>0</v>
      </c>
      <c r="AB15" s="175">
        <f>Private_2!AB15*'BTU Conversion Factor'!$F$4</f>
        <v>0</v>
      </c>
      <c r="AC15" s="175">
        <f>Private_2!AC15*'BTU Conversion Factor'!$F$4</f>
        <v>0</v>
      </c>
      <c r="AD15" s="175">
        <f>Private_2!AD15*'BTU Conversion Factor'!$F$4</f>
        <v>0</v>
      </c>
      <c r="AE15" s="175">
        <f>Private_2!AE15*'BTU Conversion Factor'!$F$4</f>
        <v>0</v>
      </c>
      <c r="AF15" s="175">
        <f>Private_2!AF15*'BTU Conversion Factor'!$F$4</f>
        <v>0</v>
      </c>
      <c r="AG15" s="175">
        <f>Private_2!AG15*'BTU Conversion Factor'!$F$4</f>
        <v>0</v>
      </c>
      <c r="AH15" s="175">
        <f>Private_2!AH15*'BTU Conversion Factor'!$F$4</f>
        <v>0</v>
      </c>
      <c r="AI15" s="175">
        <f>Private_2!AI15*'BTU Conversion Factor'!$F$4</f>
        <v>0</v>
      </c>
      <c r="AJ15" s="175">
        <f>Private_2!AJ15*'BTU Conversion Factor'!$F$4</f>
        <v>0</v>
      </c>
      <c r="AK15" s="175">
        <f>Private_2!AK15*'BTU Conversion Factor'!$F$4</f>
        <v>0</v>
      </c>
      <c r="AL15" s="175">
        <f>Private_2!AL15*'BTU Conversion Factor'!$F$4</f>
        <v>0</v>
      </c>
      <c r="AM15" s="175">
        <f>Private_2!AM15*'BTU Conversion Factor'!$F$4</f>
        <v>0</v>
      </c>
      <c r="AN15" s="175">
        <f>Private_2!AN15*'BTU Conversion Factor'!$F$4</f>
        <v>0</v>
      </c>
      <c r="AO15" s="175">
        <f>Private_2!AO15*'BTU Conversion Factor'!$F$4</f>
        <v>0</v>
      </c>
      <c r="AP15" s="175">
        <f>Private_2!AP15*'BTU Conversion Factor'!$F$4</f>
        <v>0</v>
      </c>
      <c r="AQ15" s="175">
        <f>Private_2!AQ15*'BTU Conversion Factor'!$F$4</f>
        <v>0</v>
      </c>
      <c r="AR15" s="175">
        <f>Private_2!AR15*'BTU Conversion Factor'!$F$4</f>
        <v>0</v>
      </c>
      <c r="AS15" s="175">
        <f>Private_2!AS15*'BTU Conversion Factor'!$F$4</f>
        <v>0</v>
      </c>
      <c r="AT15" s="175">
        <f>Private_2!AT15*'BTU Conversion Factor'!$F$4</f>
        <v>0</v>
      </c>
      <c r="AU15" s="175">
        <f>Private_2!AU15*'BTU Conversion Factor'!$F$4</f>
        <v>0</v>
      </c>
    </row>
    <row r="16" spans="1:47">
      <c r="B16" s="60" t="s">
        <v>667</v>
      </c>
      <c r="C16" s="175">
        <f>Private_2!C16*'BTU Conversion Factor'!$F$4</f>
        <v>0</v>
      </c>
      <c r="D16" s="175">
        <f>Private_2!D16*'BTU Conversion Factor'!$F$4</f>
        <v>0</v>
      </c>
      <c r="E16" s="175">
        <f>Private_2!E16*'BTU Conversion Factor'!$F$4</f>
        <v>0</v>
      </c>
      <c r="F16" s="175">
        <f>Private_2!F16*'BTU Conversion Factor'!$F$4</f>
        <v>0</v>
      </c>
      <c r="G16" s="175">
        <f>Private_2!G16*'BTU Conversion Factor'!$F$4</f>
        <v>0</v>
      </c>
      <c r="H16" s="175">
        <f>Private_2!H16*'BTU Conversion Factor'!$F$4</f>
        <v>0</v>
      </c>
      <c r="I16" s="175">
        <f>Private_2!I16*'BTU Conversion Factor'!$F$4</f>
        <v>0</v>
      </c>
      <c r="J16" s="175">
        <f>Private_2!J16*'BTU Conversion Factor'!$F$4</f>
        <v>0</v>
      </c>
      <c r="K16" s="175">
        <f>Private_2!K16*'BTU Conversion Factor'!$F$4</f>
        <v>0</v>
      </c>
      <c r="L16" s="175">
        <f>Private_2!L16*'BTU Conversion Factor'!$F$4</f>
        <v>0</v>
      </c>
      <c r="M16" s="175">
        <f>Private_2!M16*'BTU Conversion Factor'!$F$4</f>
        <v>0</v>
      </c>
      <c r="N16" s="175">
        <f>Private_2!N16*'BTU Conversion Factor'!$F$4</f>
        <v>0</v>
      </c>
      <c r="O16" s="175">
        <f>Private_2!O16*'BTU Conversion Factor'!$F$4</f>
        <v>0</v>
      </c>
      <c r="P16" s="175">
        <f>Private_2!P16*'BTU Conversion Factor'!$F$4</f>
        <v>0</v>
      </c>
      <c r="Q16" s="175">
        <f>Private_2!Q16*'BTU Conversion Factor'!$F$4</f>
        <v>0</v>
      </c>
      <c r="R16" s="175">
        <f>Private_2!R16*'BTU Conversion Factor'!$F$4</f>
        <v>0</v>
      </c>
      <c r="S16" s="175">
        <f>Private_2!S16*'BTU Conversion Factor'!$F$4</f>
        <v>0</v>
      </c>
      <c r="T16" s="175">
        <f>Private_2!T16*'BTU Conversion Factor'!$F$4</f>
        <v>0</v>
      </c>
      <c r="U16" s="175">
        <f>Private_2!U16*'BTU Conversion Factor'!$F$4</f>
        <v>0</v>
      </c>
      <c r="V16" s="175">
        <f>Private_2!V16*'BTU Conversion Factor'!$F$4</f>
        <v>0</v>
      </c>
      <c r="W16" s="175">
        <f>Private_2!W16*'BTU Conversion Factor'!$F$4</f>
        <v>0</v>
      </c>
      <c r="X16" s="175">
        <f>Private_2!X16*'BTU Conversion Factor'!$F$4</f>
        <v>0</v>
      </c>
      <c r="Y16" s="175">
        <f>Private_2!Y16*'BTU Conversion Factor'!$F$4</f>
        <v>0</v>
      </c>
      <c r="Z16" s="175">
        <f>Private_2!Z16*'BTU Conversion Factor'!$F$4</f>
        <v>0</v>
      </c>
      <c r="AA16" s="175">
        <f>Private_2!AA16*'BTU Conversion Factor'!$F$4</f>
        <v>0</v>
      </c>
      <c r="AB16" s="175">
        <f>Private_2!AB16*'BTU Conversion Factor'!$F$4</f>
        <v>0</v>
      </c>
      <c r="AC16" s="175">
        <f>Private_2!AC16*'BTU Conversion Factor'!$F$4</f>
        <v>0</v>
      </c>
      <c r="AD16" s="175">
        <f>Private_2!AD16*'BTU Conversion Factor'!$F$4</f>
        <v>0</v>
      </c>
      <c r="AE16" s="175">
        <f>Private_2!AE16*'BTU Conversion Factor'!$F$4</f>
        <v>0</v>
      </c>
      <c r="AF16" s="175">
        <f>Private_2!AF16*'BTU Conversion Factor'!$F$4</f>
        <v>0</v>
      </c>
      <c r="AG16" s="175">
        <f>Private_2!AG16*'BTU Conversion Factor'!$F$4</f>
        <v>0</v>
      </c>
      <c r="AH16" s="175">
        <f>Private_2!AH16*'BTU Conversion Factor'!$F$4</f>
        <v>0</v>
      </c>
      <c r="AI16" s="175">
        <f>Private_2!AI16*'BTU Conversion Factor'!$F$4</f>
        <v>0</v>
      </c>
      <c r="AJ16" s="175">
        <f>Private_2!AJ16*'BTU Conversion Factor'!$F$4</f>
        <v>0</v>
      </c>
      <c r="AK16" s="175">
        <f>Private_2!AK16*'BTU Conversion Factor'!$F$4</f>
        <v>0</v>
      </c>
      <c r="AL16" s="175">
        <f>Private_2!AL16*'BTU Conversion Factor'!$F$4</f>
        <v>0</v>
      </c>
      <c r="AM16" s="175">
        <f>Private_2!AM16*'BTU Conversion Factor'!$F$4</f>
        <v>0</v>
      </c>
      <c r="AN16" s="175">
        <f>Private_2!AN16*'BTU Conversion Factor'!$F$4</f>
        <v>0</v>
      </c>
      <c r="AO16" s="175">
        <f>Private_2!AO16*'BTU Conversion Factor'!$F$4</f>
        <v>0</v>
      </c>
      <c r="AP16" s="175">
        <f>Private_2!AP16*'BTU Conversion Factor'!$F$4</f>
        <v>0</v>
      </c>
      <c r="AQ16" s="175">
        <f>Private_2!AQ16*'BTU Conversion Factor'!$F$4</f>
        <v>0</v>
      </c>
      <c r="AR16" s="175">
        <f>Private_2!AR16*'BTU Conversion Factor'!$F$4</f>
        <v>0</v>
      </c>
      <c r="AS16" s="175">
        <f>Private_2!AS16*'BTU Conversion Factor'!$F$4</f>
        <v>0</v>
      </c>
      <c r="AT16" s="175">
        <f>Private_2!AT16*'BTU Conversion Factor'!$F$4</f>
        <v>0</v>
      </c>
      <c r="AU16" s="175">
        <f>Private_2!AU16*'BTU Conversion Factor'!$F$4</f>
        <v>0</v>
      </c>
    </row>
    <row r="17" spans="1:47">
      <c r="B17" s="60" t="s">
        <v>668</v>
      </c>
      <c r="C17" s="175">
        <f>Private_2!C17*'BTU Conversion Factor'!$F$4</f>
        <v>0</v>
      </c>
      <c r="D17" s="175">
        <f>Private_2!D17*'BTU Conversion Factor'!$F$4</f>
        <v>0</v>
      </c>
      <c r="E17" s="175">
        <f>Private_2!E17*'BTU Conversion Factor'!$F$4</f>
        <v>0</v>
      </c>
      <c r="F17" s="175">
        <f>Private_2!F17*'BTU Conversion Factor'!$F$4</f>
        <v>0</v>
      </c>
      <c r="G17" s="175">
        <f>Private_2!G17*'BTU Conversion Factor'!$F$4</f>
        <v>0</v>
      </c>
      <c r="H17" s="175">
        <f>Private_2!H17*'BTU Conversion Factor'!$F$4</f>
        <v>0</v>
      </c>
      <c r="I17" s="175">
        <f>Private_2!I17*'BTU Conversion Factor'!$F$4</f>
        <v>0</v>
      </c>
      <c r="J17" s="175">
        <f>Private_2!J17*'BTU Conversion Factor'!$F$4</f>
        <v>0</v>
      </c>
      <c r="K17" s="175">
        <f>Private_2!K17*'BTU Conversion Factor'!$F$4</f>
        <v>0</v>
      </c>
      <c r="L17" s="175">
        <f>Private_2!L17*'BTU Conversion Factor'!$F$4</f>
        <v>0</v>
      </c>
      <c r="M17" s="175">
        <f>Private_2!M17*'BTU Conversion Factor'!$F$4</f>
        <v>0</v>
      </c>
      <c r="N17" s="175">
        <f>Private_2!N17*'BTU Conversion Factor'!$F$4</f>
        <v>0</v>
      </c>
      <c r="O17" s="175">
        <f>Private_2!O17*'BTU Conversion Factor'!$F$4</f>
        <v>0</v>
      </c>
      <c r="P17" s="175">
        <f>Private_2!P17*'BTU Conversion Factor'!$F$4</f>
        <v>0</v>
      </c>
      <c r="Q17" s="175">
        <f>Private_2!Q17*'BTU Conversion Factor'!$F$4</f>
        <v>0</v>
      </c>
      <c r="R17" s="175">
        <f>Private_2!R17*'BTU Conversion Factor'!$F$4</f>
        <v>0</v>
      </c>
      <c r="S17" s="175">
        <f>Private_2!S17*'BTU Conversion Factor'!$F$4</f>
        <v>0</v>
      </c>
      <c r="T17" s="175">
        <f>Private_2!T17*'BTU Conversion Factor'!$F$4</f>
        <v>0</v>
      </c>
      <c r="U17" s="175">
        <f>Private_2!U17*'BTU Conversion Factor'!$F$4</f>
        <v>0</v>
      </c>
      <c r="V17" s="175">
        <f>Private_2!V17*'BTU Conversion Factor'!$F$4</f>
        <v>0</v>
      </c>
      <c r="W17" s="175">
        <f>Private_2!W17*'BTU Conversion Factor'!$F$4</f>
        <v>0</v>
      </c>
      <c r="X17" s="175">
        <f>Private_2!X17*'BTU Conversion Factor'!$F$4</f>
        <v>0</v>
      </c>
      <c r="Y17" s="175">
        <f>Private_2!Y17*'BTU Conversion Factor'!$F$4</f>
        <v>0</v>
      </c>
      <c r="Z17" s="175">
        <f>Private_2!Z17*'BTU Conversion Factor'!$F$4</f>
        <v>0</v>
      </c>
      <c r="AA17" s="175">
        <f>Private_2!AA17*'BTU Conversion Factor'!$F$4</f>
        <v>0</v>
      </c>
      <c r="AB17" s="175">
        <f>Private_2!AB17*'BTU Conversion Factor'!$F$4</f>
        <v>0</v>
      </c>
      <c r="AC17" s="175">
        <f>Private_2!AC17*'BTU Conversion Factor'!$F$4</f>
        <v>0</v>
      </c>
      <c r="AD17" s="175">
        <f>Private_2!AD17*'BTU Conversion Factor'!$F$4</f>
        <v>0</v>
      </c>
      <c r="AE17" s="175">
        <f>Private_2!AE17*'BTU Conversion Factor'!$F$4</f>
        <v>0</v>
      </c>
      <c r="AF17" s="175">
        <f>Private_2!AF17*'BTU Conversion Factor'!$F$4</f>
        <v>0</v>
      </c>
      <c r="AG17" s="175">
        <f>Private_2!AG17*'BTU Conversion Factor'!$F$4</f>
        <v>0</v>
      </c>
      <c r="AH17" s="175">
        <f>Private_2!AH17*'BTU Conversion Factor'!$F$4</f>
        <v>0</v>
      </c>
      <c r="AI17" s="175">
        <f>Private_2!AI17*'BTU Conversion Factor'!$F$4</f>
        <v>0</v>
      </c>
      <c r="AJ17" s="175">
        <f>Private_2!AJ17*'BTU Conversion Factor'!$F$4</f>
        <v>0</v>
      </c>
      <c r="AK17" s="175">
        <f>Private_2!AK17*'BTU Conversion Factor'!$F$4</f>
        <v>0</v>
      </c>
      <c r="AL17" s="175">
        <f>Private_2!AL17*'BTU Conversion Factor'!$F$4</f>
        <v>0</v>
      </c>
      <c r="AM17" s="175">
        <f>Private_2!AM17*'BTU Conversion Factor'!$F$4</f>
        <v>0</v>
      </c>
      <c r="AN17" s="175">
        <f>Private_2!AN17*'BTU Conversion Factor'!$F$4</f>
        <v>0</v>
      </c>
      <c r="AO17" s="175">
        <f>Private_2!AO17*'BTU Conversion Factor'!$F$4</f>
        <v>0</v>
      </c>
      <c r="AP17" s="175">
        <f>Private_2!AP17*'BTU Conversion Factor'!$F$4</f>
        <v>0</v>
      </c>
      <c r="AQ17" s="175">
        <f>Private_2!AQ17*'BTU Conversion Factor'!$F$4</f>
        <v>0</v>
      </c>
      <c r="AR17" s="175">
        <f>Private_2!AR17*'BTU Conversion Factor'!$F$4</f>
        <v>0</v>
      </c>
      <c r="AS17" s="175">
        <f>Private_2!AS17*'BTU Conversion Factor'!$F$4</f>
        <v>0</v>
      </c>
      <c r="AT17" s="175">
        <f>Private_2!AT17*'BTU Conversion Factor'!$F$4</f>
        <v>0</v>
      </c>
      <c r="AU17" s="175">
        <f>Private_2!AU17*'BTU Conversion Factor'!$F$4</f>
        <v>0</v>
      </c>
    </row>
    <row r="18" spans="1:47">
      <c r="B18" s="60" t="s">
        <v>669</v>
      </c>
      <c r="C18" s="175">
        <f>Private_2!C18*'BTU Conversion Factor'!$F$4</f>
        <v>0</v>
      </c>
      <c r="D18" s="175">
        <f>Private_2!D18*'BTU Conversion Factor'!$F$4</f>
        <v>0</v>
      </c>
      <c r="E18" s="175">
        <f>Private_2!E18*'BTU Conversion Factor'!$F$4</f>
        <v>0</v>
      </c>
      <c r="F18" s="175">
        <f>Private_2!F18*'BTU Conversion Factor'!$F$4</f>
        <v>0</v>
      </c>
      <c r="G18" s="175">
        <f>Private_2!G18*'BTU Conversion Factor'!$F$4</f>
        <v>0</v>
      </c>
      <c r="H18" s="175">
        <f>Private_2!H18*'BTU Conversion Factor'!$F$4</f>
        <v>0</v>
      </c>
      <c r="I18" s="175">
        <f>Private_2!I18*'BTU Conversion Factor'!$F$4</f>
        <v>0</v>
      </c>
      <c r="J18" s="175">
        <f>Private_2!J18*'BTU Conversion Factor'!$F$4</f>
        <v>0</v>
      </c>
      <c r="K18" s="175">
        <f>Private_2!K18*'BTU Conversion Factor'!$F$4</f>
        <v>0</v>
      </c>
      <c r="L18" s="175">
        <f>Private_2!L18*'BTU Conversion Factor'!$F$4</f>
        <v>0</v>
      </c>
      <c r="M18" s="175">
        <f>Private_2!M18*'BTU Conversion Factor'!$F$4</f>
        <v>0</v>
      </c>
      <c r="N18" s="175">
        <f>Private_2!N18*'BTU Conversion Factor'!$F$4</f>
        <v>0</v>
      </c>
      <c r="O18" s="175">
        <f>Private_2!O18*'BTU Conversion Factor'!$F$4</f>
        <v>0</v>
      </c>
      <c r="P18" s="175">
        <f>Private_2!P18*'BTU Conversion Factor'!$F$4</f>
        <v>0</v>
      </c>
      <c r="Q18" s="175">
        <f>Private_2!Q18*'BTU Conversion Factor'!$F$4</f>
        <v>0</v>
      </c>
      <c r="R18" s="175">
        <f>Private_2!R18*'BTU Conversion Factor'!$F$4</f>
        <v>0</v>
      </c>
      <c r="S18" s="175">
        <f>Private_2!S18*'BTU Conversion Factor'!$F$4</f>
        <v>0</v>
      </c>
      <c r="T18" s="175">
        <f>Private_2!T18*'BTU Conversion Factor'!$F$4</f>
        <v>0</v>
      </c>
      <c r="U18" s="175">
        <f>Private_2!U18*'BTU Conversion Factor'!$F$4</f>
        <v>0</v>
      </c>
      <c r="V18" s="175">
        <f>Private_2!V18*'BTU Conversion Factor'!$F$4</f>
        <v>0</v>
      </c>
      <c r="W18" s="175">
        <f>Private_2!W18*'BTU Conversion Factor'!$F$4</f>
        <v>0</v>
      </c>
      <c r="X18" s="175">
        <f>Private_2!X18*'BTU Conversion Factor'!$F$4</f>
        <v>0</v>
      </c>
      <c r="Y18" s="175">
        <f>Private_2!Y18*'BTU Conversion Factor'!$F$4</f>
        <v>0</v>
      </c>
      <c r="Z18" s="175">
        <f>Private_2!Z18*'BTU Conversion Factor'!$F$4</f>
        <v>0</v>
      </c>
      <c r="AA18" s="175">
        <f>Private_2!AA18*'BTU Conversion Factor'!$F$4</f>
        <v>0</v>
      </c>
      <c r="AB18" s="175">
        <f>Private_2!AB18*'BTU Conversion Factor'!$F$4</f>
        <v>0</v>
      </c>
      <c r="AC18" s="175">
        <f>Private_2!AC18*'BTU Conversion Factor'!$F$4</f>
        <v>0</v>
      </c>
      <c r="AD18" s="175">
        <f>Private_2!AD18*'BTU Conversion Factor'!$F$4</f>
        <v>0</v>
      </c>
      <c r="AE18" s="175">
        <f>Private_2!AE18*'BTU Conversion Factor'!$F$4</f>
        <v>0</v>
      </c>
      <c r="AF18" s="175">
        <f>Private_2!AF18*'BTU Conversion Factor'!$F$4</f>
        <v>0</v>
      </c>
      <c r="AG18" s="175">
        <f>Private_2!AG18*'BTU Conversion Factor'!$F$4</f>
        <v>0</v>
      </c>
      <c r="AH18" s="175">
        <f>Private_2!AH18*'BTU Conversion Factor'!$F$4</f>
        <v>0</v>
      </c>
      <c r="AI18" s="175">
        <f>Private_2!AI18*'BTU Conversion Factor'!$F$4</f>
        <v>0</v>
      </c>
      <c r="AJ18" s="175">
        <f>Private_2!AJ18*'BTU Conversion Factor'!$F$4</f>
        <v>0</v>
      </c>
      <c r="AK18" s="175">
        <f>Private_2!AK18*'BTU Conversion Factor'!$F$4</f>
        <v>0</v>
      </c>
      <c r="AL18" s="175">
        <f>Private_2!AL18*'BTU Conversion Factor'!$F$4</f>
        <v>0</v>
      </c>
      <c r="AM18" s="175">
        <f>Private_2!AM18*'BTU Conversion Factor'!$F$4</f>
        <v>0</v>
      </c>
      <c r="AN18" s="175">
        <f>Private_2!AN18*'BTU Conversion Factor'!$F$4</f>
        <v>0</v>
      </c>
      <c r="AO18" s="175">
        <f>Private_2!AO18*'BTU Conversion Factor'!$F$4</f>
        <v>0</v>
      </c>
      <c r="AP18" s="175">
        <f>Private_2!AP18*'BTU Conversion Factor'!$F$4</f>
        <v>0</v>
      </c>
      <c r="AQ18" s="175">
        <f>Private_2!AQ18*'BTU Conversion Factor'!$F$4</f>
        <v>0</v>
      </c>
      <c r="AR18" s="175">
        <f>Private_2!AR18*'BTU Conversion Factor'!$F$4</f>
        <v>0</v>
      </c>
      <c r="AS18" s="175">
        <f>Private_2!AS18*'BTU Conversion Factor'!$F$4</f>
        <v>0</v>
      </c>
      <c r="AT18" s="175">
        <f>Private_2!AT18*'BTU Conversion Factor'!$F$4</f>
        <v>0</v>
      </c>
      <c r="AU18" s="175">
        <f>Private_2!AU18*'BTU Conversion Factor'!$F$4</f>
        <v>0</v>
      </c>
    </row>
    <row r="19" spans="1:47">
      <c r="B19" s="60" t="s">
        <v>670</v>
      </c>
      <c r="C19" s="175">
        <f>Private_2!C19*'BTU Conversion Factor'!$F$4</f>
        <v>0</v>
      </c>
      <c r="D19" s="175">
        <f>Private_2!D19*'BTU Conversion Factor'!$F$4</f>
        <v>0</v>
      </c>
      <c r="E19" s="175">
        <f>Private_2!E19*'BTU Conversion Factor'!$F$4</f>
        <v>0</v>
      </c>
      <c r="F19" s="175">
        <f>Private_2!F19*'BTU Conversion Factor'!$F$4</f>
        <v>0</v>
      </c>
      <c r="G19" s="175">
        <f>Private_2!G19*'BTU Conversion Factor'!$F$4</f>
        <v>0</v>
      </c>
      <c r="H19" s="175">
        <f>Private_2!H19*'BTU Conversion Factor'!$F$4</f>
        <v>0</v>
      </c>
      <c r="I19" s="175">
        <f>Private_2!I19*'BTU Conversion Factor'!$F$4</f>
        <v>0</v>
      </c>
      <c r="J19" s="175">
        <f>Private_2!J19*'BTU Conversion Factor'!$F$4</f>
        <v>0</v>
      </c>
      <c r="K19" s="175">
        <f>Private_2!K19*'BTU Conversion Factor'!$F$4</f>
        <v>0</v>
      </c>
      <c r="L19" s="175">
        <f>Private_2!L19*'BTU Conversion Factor'!$F$4</f>
        <v>0</v>
      </c>
      <c r="M19" s="175">
        <f>Private_2!M19*'BTU Conversion Factor'!$F$4</f>
        <v>0</v>
      </c>
      <c r="N19" s="175">
        <f>Private_2!N19*'BTU Conversion Factor'!$F$4</f>
        <v>0</v>
      </c>
      <c r="O19" s="175">
        <f>Private_2!O19*'BTU Conversion Factor'!$F$4</f>
        <v>0</v>
      </c>
      <c r="P19" s="175">
        <f>Private_2!P19*'BTU Conversion Factor'!$F$4</f>
        <v>0</v>
      </c>
      <c r="Q19" s="175">
        <f>Private_2!Q19*'BTU Conversion Factor'!$F$4</f>
        <v>0</v>
      </c>
      <c r="R19" s="175">
        <f>Private_2!R19*'BTU Conversion Factor'!$F$4</f>
        <v>0</v>
      </c>
      <c r="S19" s="175">
        <f>Private_2!S19*'BTU Conversion Factor'!$F$4</f>
        <v>0</v>
      </c>
      <c r="T19" s="175">
        <f>Private_2!T19*'BTU Conversion Factor'!$F$4</f>
        <v>0</v>
      </c>
      <c r="U19" s="175">
        <f>Private_2!U19*'BTU Conversion Factor'!$F$4</f>
        <v>0</v>
      </c>
      <c r="V19" s="175">
        <f>Private_2!V19*'BTU Conversion Factor'!$F$4</f>
        <v>0</v>
      </c>
      <c r="W19" s="175">
        <f>Private_2!W19*'BTU Conversion Factor'!$F$4</f>
        <v>0</v>
      </c>
      <c r="X19" s="175">
        <f>Private_2!X19*'BTU Conversion Factor'!$F$4</f>
        <v>0</v>
      </c>
      <c r="Y19" s="175">
        <f>Private_2!Y19*'BTU Conversion Factor'!$F$4</f>
        <v>0</v>
      </c>
      <c r="Z19" s="175">
        <f>Private_2!Z19*'BTU Conversion Factor'!$F$4</f>
        <v>0</v>
      </c>
      <c r="AA19" s="175">
        <f>Private_2!AA19*'BTU Conversion Factor'!$F$4</f>
        <v>0</v>
      </c>
      <c r="AB19" s="175">
        <f>Private_2!AB19*'BTU Conversion Factor'!$F$4</f>
        <v>0</v>
      </c>
      <c r="AC19" s="175">
        <f>Private_2!AC19*'BTU Conversion Factor'!$F$4</f>
        <v>0</v>
      </c>
      <c r="AD19" s="175">
        <f>Private_2!AD19*'BTU Conversion Factor'!$F$4</f>
        <v>0</v>
      </c>
      <c r="AE19" s="175">
        <f>Private_2!AE19*'BTU Conversion Factor'!$F$4</f>
        <v>0</v>
      </c>
      <c r="AF19" s="175">
        <f>Private_2!AF19*'BTU Conversion Factor'!$F$4</f>
        <v>0</v>
      </c>
      <c r="AG19" s="175">
        <f>Private_2!AG19*'BTU Conversion Factor'!$F$4</f>
        <v>0</v>
      </c>
      <c r="AH19" s="175">
        <f>Private_2!AH19*'BTU Conversion Factor'!$F$4</f>
        <v>0</v>
      </c>
      <c r="AI19" s="175">
        <f>Private_2!AI19*'BTU Conversion Factor'!$F$4</f>
        <v>0</v>
      </c>
      <c r="AJ19" s="175">
        <f>Private_2!AJ19*'BTU Conversion Factor'!$F$4</f>
        <v>0</v>
      </c>
      <c r="AK19" s="175">
        <f>Private_2!AK19*'BTU Conversion Factor'!$F$4</f>
        <v>0</v>
      </c>
      <c r="AL19" s="175">
        <f>Private_2!AL19*'BTU Conversion Factor'!$F$4</f>
        <v>0</v>
      </c>
      <c r="AM19" s="175">
        <f>Private_2!AM19*'BTU Conversion Factor'!$F$4</f>
        <v>0</v>
      </c>
      <c r="AN19" s="175">
        <f>Private_2!AN19*'BTU Conversion Factor'!$F$4</f>
        <v>0</v>
      </c>
      <c r="AO19" s="175">
        <f>Private_2!AO19*'BTU Conversion Factor'!$F$4</f>
        <v>0</v>
      </c>
      <c r="AP19" s="175">
        <f>Private_2!AP19*'BTU Conversion Factor'!$F$4</f>
        <v>0</v>
      </c>
      <c r="AQ19" s="175">
        <f>Private_2!AQ19*'BTU Conversion Factor'!$F$4</f>
        <v>0</v>
      </c>
      <c r="AR19" s="175">
        <f>Private_2!AR19*'BTU Conversion Factor'!$F$4</f>
        <v>0</v>
      </c>
      <c r="AS19" s="175">
        <f>Private_2!AS19*'BTU Conversion Factor'!$F$4</f>
        <v>0</v>
      </c>
      <c r="AT19" s="175">
        <f>Private_2!AT19*'BTU Conversion Factor'!$F$4</f>
        <v>0</v>
      </c>
      <c r="AU19" s="175">
        <f>Private_2!AU19*'BTU Conversion Factor'!$F$4</f>
        <v>0</v>
      </c>
    </row>
    <row r="21" spans="1:47" s="64" customFormat="1">
      <c r="A21" s="124" t="s">
        <v>88</v>
      </c>
    </row>
    <row r="22" spans="1:47" s="60" customFormat="1">
      <c r="B22" s="60" t="s">
        <v>1</v>
      </c>
      <c r="C22" s="60">
        <v>2006</v>
      </c>
      <c r="D22" s="60">
        <v>2007</v>
      </c>
      <c r="E22" s="60">
        <v>2008</v>
      </c>
      <c r="F22" s="60">
        <v>2009</v>
      </c>
      <c r="G22" s="60">
        <v>2010</v>
      </c>
      <c r="H22" s="60">
        <v>2011</v>
      </c>
      <c r="I22" s="60">
        <v>2012</v>
      </c>
      <c r="J22" s="60">
        <v>2013</v>
      </c>
      <c r="K22" s="60">
        <v>2014</v>
      </c>
      <c r="L22" s="60">
        <v>2015</v>
      </c>
      <c r="M22" s="60">
        <v>2016</v>
      </c>
      <c r="N22" s="60">
        <v>2017</v>
      </c>
      <c r="O22" s="60">
        <v>2018</v>
      </c>
      <c r="P22" s="60">
        <v>2019</v>
      </c>
      <c r="Q22" s="60">
        <v>2020</v>
      </c>
      <c r="R22" s="60">
        <v>2021</v>
      </c>
      <c r="S22" s="60">
        <v>2022</v>
      </c>
      <c r="T22" s="60">
        <v>2023</v>
      </c>
      <c r="U22" s="60">
        <v>2024</v>
      </c>
      <c r="V22" s="60">
        <v>2025</v>
      </c>
      <c r="W22" s="60">
        <v>2026</v>
      </c>
      <c r="X22" s="60">
        <v>2027</v>
      </c>
      <c r="Y22" s="60">
        <v>2028</v>
      </c>
      <c r="Z22" s="60">
        <v>2029</v>
      </c>
      <c r="AA22" s="60">
        <v>2030</v>
      </c>
      <c r="AB22" s="60">
        <v>2031</v>
      </c>
      <c r="AC22" s="60">
        <v>2032</v>
      </c>
      <c r="AD22" s="60">
        <v>2033</v>
      </c>
      <c r="AE22" s="60">
        <v>2034</v>
      </c>
      <c r="AF22" s="60">
        <v>2035</v>
      </c>
      <c r="AG22" s="60">
        <v>2036</v>
      </c>
      <c r="AH22" s="60">
        <v>2037</v>
      </c>
      <c r="AI22" s="60">
        <v>2038</v>
      </c>
      <c r="AJ22" s="60">
        <v>2039</v>
      </c>
      <c r="AK22" s="60">
        <v>2040</v>
      </c>
      <c r="AL22" s="60">
        <v>2041</v>
      </c>
      <c r="AM22" s="60">
        <v>2042</v>
      </c>
      <c r="AN22" s="60">
        <v>2043</v>
      </c>
      <c r="AO22" s="60">
        <v>2044</v>
      </c>
      <c r="AP22" s="60">
        <v>2045</v>
      </c>
      <c r="AQ22" s="60">
        <v>2046</v>
      </c>
      <c r="AR22" s="60">
        <v>2047</v>
      </c>
      <c r="AS22" s="60">
        <v>2048</v>
      </c>
      <c r="AT22" s="60">
        <v>2049</v>
      </c>
      <c r="AU22" s="60">
        <v>2050</v>
      </c>
    </row>
    <row r="23" spans="1:47">
      <c r="B23" s="60" t="s">
        <v>665</v>
      </c>
      <c r="C23" s="103">
        <f>Private_2!C23*'BTU Conversion Factor'!$F$4</f>
        <v>0</v>
      </c>
      <c r="D23" s="103">
        <f>Private_2!D23*'BTU Conversion Factor'!$F$4</f>
        <v>0</v>
      </c>
      <c r="E23" s="103">
        <f>Private_2!E23*'BTU Conversion Factor'!$F$4</f>
        <v>0</v>
      </c>
      <c r="F23" s="103">
        <f>Private_2!F23*'BTU Conversion Factor'!$F$4</f>
        <v>0</v>
      </c>
      <c r="G23" s="103">
        <f>Private_2!G23*'BTU Conversion Factor'!$F$4</f>
        <v>0</v>
      </c>
      <c r="H23" s="103">
        <f>Private_2!H23*'BTU Conversion Factor'!$F$4</f>
        <v>0</v>
      </c>
      <c r="I23" s="103">
        <f>Private_2!I23*'BTU Conversion Factor'!$F$4</f>
        <v>0</v>
      </c>
      <c r="J23" s="103">
        <f>Private_2!J23*'BTU Conversion Factor'!$F$4</f>
        <v>0</v>
      </c>
      <c r="K23" s="103">
        <f>Private_2!K23*'BTU Conversion Factor'!$F$4</f>
        <v>0</v>
      </c>
      <c r="L23" s="103">
        <f>Private_2!L23*'BTU Conversion Factor'!$F$4</f>
        <v>0</v>
      </c>
      <c r="M23" s="103">
        <f>Private_2!M23*'BTU Conversion Factor'!$F$4</f>
        <v>0</v>
      </c>
      <c r="N23" s="103">
        <f>Private_2!N23*'BTU Conversion Factor'!$F$4</f>
        <v>0</v>
      </c>
      <c r="O23" s="103">
        <f>Private_2!O23*'BTU Conversion Factor'!$F$4</f>
        <v>0</v>
      </c>
      <c r="P23" s="103">
        <f>Private_2!P23*'BTU Conversion Factor'!$F$4</f>
        <v>0</v>
      </c>
      <c r="Q23" s="103">
        <f>Private_2!Q23*'BTU Conversion Factor'!$F$4</f>
        <v>0</v>
      </c>
      <c r="R23" s="103">
        <f>Private_2!R23*'BTU Conversion Factor'!$F$4</f>
        <v>0</v>
      </c>
      <c r="S23" s="103">
        <f>Private_2!S23*'BTU Conversion Factor'!$F$4</f>
        <v>0</v>
      </c>
      <c r="T23" s="103">
        <f>Private_2!T23*'BTU Conversion Factor'!$F$4</f>
        <v>0</v>
      </c>
      <c r="U23" s="103">
        <f>Private_2!U23*'BTU Conversion Factor'!$F$4</f>
        <v>0</v>
      </c>
      <c r="V23" s="103">
        <f>Private_2!V23*'BTU Conversion Factor'!$F$4</f>
        <v>0</v>
      </c>
      <c r="W23" s="103">
        <f>Private_2!W23*'BTU Conversion Factor'!$F$4</f>
        <v>0</v>
      </c>
      <c r="X23" s="103">
        <f>Private_2!X23*'BTU Conversion Factor'!$F$4</f>
        <v>0</v>
      </c>
      <c r="Y23" s="103">
        <f>Private_2!Y23*'BTU Conversion Factor'!$F$4</f>
        <v>0</v>
      </c>
      <c r="Z23" s="103">
        <f>Private_2!Z23*'BTU Conversion Factor'!$F$4</f>
        <v>0</v>
      </c>
      <c r="AA23" s="103">
        <f>Private_2!AA23*'BTU Conversion Factor'!$F$4</f>
        <v>0</v>
      </c>
      <c r="AB23" s="103">
        <f>Private_2!AB23*'BTU Conversion Factor'!$F$4</f>
        <v>0</v>
      </c>
      <c r="AC23" s="103">
        <f>Private_2!AC23*'BTU Conversion Factor'!$F$4</f>
        <v>0</v>
      </c>
      <c r="AD23" s="103">
        <f>Private_2!AD23*'BTU Conversion Factor'!$F$4</f>
        <v>0</v>
      </c>
      <c r="AE23" s="103">
        <f>Private_2!AE23*'BTU Conversion Factor'!$F$4</f>
        <v>0</v>
      </c>
      <c r="AF23" s="103">
        <f>Private_2!AF23*'BTU Conversion Factor'!$F$4</f>
        <v>0</v>
      </c>
      <c r="AG23" s="103">
        <f>Private_2!AG23*'BTU Conversion Factor'!$F$4</f>
        <v>0</v>
      </c>
      <c r="AH23" s="103">
        <f>Private_2!AH23*'BTU Conversion Factor'!$F$4</f>
        <v>0</v>
      </c>
      <c r="AI23" s="103">
        <f>Private_2!AI23*'BTU Conversion Factor'!$F$4</f>
        <v>0</v>
      </c>
      <c r="AJ23" s="103">
        <f>Private_2!AJ23*'BTU Conversion Factor'!$F$4</f>
        <v>0</v>
      </c>
      <c r="AK23" s="103">
        <f>Private_2!AK23*'BTU Conversion Factor'!$F$4</f>
        <v>0</v>
      </c>
      <c r="AL23" s="103">
        <f>Private_2!AL23*'BTU Conversion Factor'!$F$4</f>
        <v>0</v>
      </c>
      <c r="AM23" s="103">
        <f>Private_2!AM23*'BTU Conversion Factor'!$F$4</f>
        <v>0</v>
      </c>
      <c r="AN23" s="103">
        <f>Private_2!AN23*'BTU Conversion Factor'!$F$4</f>
        <v>0</v>
      </c>
      <c r="AO23" s="103">
        <f>Private_2!AO23*'BTU Conversion Factor'!$F$4</f>
        <v>0</v>
      </c>
      <c r="AP23" s="103">
        <f>Private_2!AP23*'BTU Conversion Factor'!$F$4</f>
        <v>0</v>
      </c>
      <c r="AQ23" s="103">
        <f>Private_2!AQ23*'BTU Conversion Factor'!$F$4</f>
        <v>0</v>
      </c>
      <c r="AR23" s="103">
        <f>Private_2!AR23*'BTU Conversion Factor'!$F$4</f>
        <v>0</v>
      </c>
      <c r="AS23" s="103">
        <f>Private_2!AS23*'BTU Conversion Factor'!$F$4</f>
        <v>0</v>
      </c>
      <c r="AT23" s="103">
        <f>Private_2!AT23*'BTU Conversion Factor'!$F$4</f>
        <v>0</v>
      </c>
      <c r="AU23" s="103">
        <f>Private_2!AU23*'BTU Conversion Factor'!$F$4</f>
        <v>0</v>
      </c>
    </row>
    <row r="24" spans="1:47">
      <c r="B24" s="60" t="s">
        <v>666</v>
      </c>
      <c r="C24" s="103">
        <f>Private_2!C24*'BTU Conversion Factor'!$F$4</f>
        <v>0</v>
      </c>
      <c r="D24" s="103">
        <f>Private_2!D24*'BTU Conversion Factor'!$F$4</f>
        <v>0</v>
      </c>
      <c r="E24" s="103">
        <f>Private_2!E24*'BTU Conversion Factor'!$F$4</f>
        <v>0</v>
      </c>
      <c r="F24" s="103">
        <f>Private_2!F24*'BTU Conversion Factor'!$F$4</f>
        <v>0</v>
      </c>
      <c r="G24" s="103">
        <f>Private_2!G24*'BTU Conversion Factor'!$F$4</f>
        <v>0</v>
      </c>
      <c r="H24" s="103">
        <f>Private_2!H24*'BTU Conversion Factor'!$F$4</f>
        <v>0</v>
      </c>
      <c r="I24" s="103">
        <f>Private_2!I24*'BTU Conversion Factor'!$F$4</f>
        <v>0</v>
      </c>
      <c r="J24" s="103">
        <f>Private_2!J24*'BTU Conversion Factor'!$F$4</f>
        <v>0</v>
      </c>
      <c r="K24" s="103">
        <f>Private_2!K24*'BTU Conversion Factor'!$F$4</f>
        <v>0</v>
      </c>
      <c r="L24" s="103">
        <f>Private_2!L24*'BTU Conversion Factor'!$F$4</f>
        <v>0</v>
      </c>
      <c r="M24" s="103">
        <f>Private_2!M24*'BTU Conversion Factor'!$F$4</f>
        <v>0</v>
      </c>
      <c r="N24" s="103">
        <f>Private_2!N24*'BTU Conversion Factor'!$F$4</f>
        <v>0</v>
      </c>
      <c r="O24" s="103">
        <f>Private_2!O24*'BTU Conversion Factor'!$F$4</f>
        <v>0</v>
      </c>
      <c r="P24" s="103">
        <f>Private_2!P24*'BTU Conversion Factor'!$F$4</f>
        <v>0</v>
      </c>
      <c r="Q24" s="103">
        <f>Private_2!Q24*'BTU Conversion Factor'!$F$4</f>
        <v>0</v>
      </c>
      <c r="R24" s="103">
        <f>Private_2!R24*'BTU Conversion Factor'!$F$4</f>
        <v>0</v>
      </c>
      <c r="S24" s="103">
        <f>Private_2!S24*'BTU Conversion Factor'!$F$4</f>
        <v>0</v>
      </c>
      <c r="T24" s="103">
        <f>Private_2!T24*'BTU Conversion Factor'!$F$4</f>
        <v>0</v>
      </c>
      <c r="U24" s="103">
        <f>Private_2!U24*'BTU Conversion Factor'!$F$4</f>
        <v>0</v>
      </c>
      <c r="V24" s="103">
        <f>Private_2!V24*'BTU Conversion Factor'!$F$4</f>
        <v>0</v>
      </c>
      <c r="W24" s="103">
        <f>Private_2!W24*'BTU Conversion Factor'!$F$4</f>
        <v>0</v>
      </c>
      <c r="X24" s="103">
        <f>Private_2!X24*'BTU Conversion Factor'!$F$4</f>
        <v>0</v>
      </c>
      <c r="Y24" s="103">
        <f>Private_2!Y24*'BTU Conversion Factor'!$F$4</f>
        <v>0</v>
      </c>
      <c r="Z24" s="103">
        <f>Private_2!Z24*'BTU Conversion Factor'!$F$4</f>
        <v>0</v>
      </c>
      <c r="AA24" s="103">
        <f>Private_2!AA24*'BTU Conversion Factor'!$F$4</f>
        <v>0</v>
      </c>
      <c r="AB24" s="103">
        <f>Private_2!AB24*'BTU Conversion Factor'!$F$4</f>
        <v>0</v>
      </c>
      <c r="AC24" s="103">
        <f>Private_2!AC24*'BTU Conversion Factor'!$F$4</f>
        <v>0</v>
      </c>
      <c r="AD24" s="103">
        <f>Private_2!AD24*'BTU Conversion Factor'!$F$4</f>
        <v>0</v>
      </c>
      <c r="AE24" s="103">
        <f>Private_2!AE24*'BTU Conversion Factor'!$F$4</f>
        <v>0</v>
      </c>
      <c r="AF24" s="103">
        <f>Private_2!AF24*'BTU Conversion Factor'!$F$4</f>
        <v>0</v>
      </c>
      <c r="AG24" s="103">
        <f>Private_2!AG24*'BTU Conversion Factor'!$F$4</f>
        <v>0</v>
      </c>
      <c r="AH24" s="103">
        <f>Private_2!AH24*'BTU Conversion Factor'!$F$4</f>
        <v>0</v>
      </c>
      <c r="AI24" s="103">
        <f>Private_2!AI24*'BTU Conversion Factor'!$F$4</f>
        <v>0</v>
      </c>
      <c r="AJ24" s="103">
        <f>Private_2!AJ24*'BTU Conversion Factor'!$F$4</f>
        <v>0</v>
      </c>
      <c r="AK24" s="103">
        <f>Private_2!AK24*'BTU Conversion Factor'!$F$4</f>
        <v>0</v>
      </c>
      <c r="AL24" s="103">
        <f>Private_2!AL24*'BTU Conversion Factor'!$F$4</f>
        <v>0</v>
      </c>
      <c r="AM24" s="103">
        <f>Private_2!AM24*'BTU Conversion Factor'!$F$4</f>
        <v>0</v>
      </c>
      <c r="AN24" s="103">
        <f>Private_2!AN24*'BTU Conversion Factor'!$F$4</f>
        <v>0</v>
      </c>
      <c r="AO24" s="103">
        <f>Private_2!AO24*'BTU Conversion Factor'!$F$4</f>
        <v>0</v>
      </c>
      <c r="AP24" s="103">
        <f>Private_2!AP24*'BTU Conversion Factor'!$F$4</f>
        <v>0</v>
      </c>
      <c r="AQ24" s="103">
        <f>Private_2!AQ24*'BTU Conversion Factor'!$F$4</f>
        <v>0</v>
      </c>
      <c r="AR24" s="103">
        <f>Private_2!AR24*'BTU Conversion Factor'!$F$4</f>
        <v>0</v>
      </c>
      <c r="AS24" s="103">
        <f>Private_2!AS24*'BTU Conversion Factor'!$F$4</f>
        <v>0</v>
      </c>
      <c r="AT24" s="103">
        <f>Private_2!AT24*'BTU Conversion Factor'!$F$4</f>
        <v>0</v>
      </c>
      <c r="AU24" s="103">
        <f>Private_2!AU24*'BTU Conversion Factor'!$F$4</f>
        <v>0</v>
      </c>
    </row>
    <row r="25" spans="1:47">
      <c r="B25" s="60" t="s">
        <v>667</v>
      </c>
      <c r="C25" s="103">
        <f>Private_2!C25*'BTU Conversion Factor'!$F$4</f>
        <v>0</v>
      </c>
      <c r="D25" s="103">
        <f>Private_2!D25*'BTU Conversion Factor'!$F$4</f>
        <v>0</v>
      </c>
      <c r="E25" s="103">
        <f>Private_2!E25*'BTU Conversion Factor'!$F$4</f>
        <v>0</v>
      </c>
      <c r="F25" s="103">
        <f>Private_2!F25*'BTU Conversion Factor'!$F$4</f>
        <v>0</v>
      </c>
      <c r="G25" s="103">
        <f>Private_2!G25*'BTU Conversion Factor'!$F$4</f>
        <v>0</v>
      </c>
      <c r="H25" s="103">
        <f>Private_2!H25*'BTU Conversion Factor'!$F$4</f>
        <v>0</v>
      </c>
      <c r="I25" s="103">
        <f>Private_2!I25*'BTU Conversion Factor'!$F$4</f>
        <v>0</v>
      </c>
      <c r="J25" s="103">
        <f>Private_2!J25*'BTU Conversion Factor'!$F$4</f>
        <v>0</v>
      </c>
      <c r="K25" s="103">
        <f>Private_2!K25*'BTU Conversion Factor'!$F$4</f>
        <v>0</v>
      </c>
      <c r="L25" s="103">
        <f>Private_2!L25*'BTU Conversion Factor'!$F$4</f>
        <v>0</v>
      </c>
      <c r="M25" s="103">
        <f>Private_2!M25*'BTU Conversion Factor'!$F$4</f>
        <v>0</v>
      </c>
      <c r="N25" s="103">
        <f>Private_2!N25*'BTU Conversion Factor'!$F$4</f>
        <v>0</v>
      </c>
      <c r="O25" s="103">
        <f>Private_2!O25*'BTU Conversion Factor'!$F$4</f>
        <v>0</v>
      </c>
      <c r="P25" s="103">
        <f>Private_2!P25*'BTU Conversion Factor'!$F$4</f>
        <v>0</v>
      </c>
      <c r="Q25" s="103">
        <f>Private_2!Q25*'BTU Conversion Factor'!$F$4</f>
        <v>0</v>
      </c>
      <c r="R25" s="103">
        <f>Private_2!R25*'BTU Conversion Factor'!$F$4</f>
        <v>0</v>
      </c>
      <c r="S25" s="103">
        <f>Private_2!S25*'BTU Conversion Factor'!$F$4</f>
        <v>0</v>
      </c>
      <c r="T25" s="103">
        <f>Private_2!T25*'BTU Conversion Factor'!$F$4</f>
        <v>0</v>
      </c>
      <c r="U25" s="103">
        <f>Private_2!U25*'BTU Conversion Factor'!$F$4</f>
        <v>0</v>
      </c>
      <c r="V25" s="103">
        <f>Private_2!V25*'BTU Conversion Factor'!$F$4</f>
        <v>0</v>
      </c>
      <c r="W25" s="103">
        <f>Private_2!W25*'BTU Conversion Factor'!$F$4</f>
        <v>0</v>
      </c>
      <c r="X25" s="103">
        <f>Private_2!X25*'BTU Conversion Factor'!$F$4</f>
        <v>0</v>
      </c>
      <c r="Y25" s="103">
        <f>Private_2!Y25*'BTU Conversion Factor'!$F$4</f>
        <v>0</v>
      </c>
      <c r="Z25" s="103">
        <f>Private_2!Z25*'BTU Conversion Factor'!$F$4</f>
        <v>0</v>
      </c>
      <c r="AA25" s="103">
        <f>Private_2!AA25*'BTU Conversion Factor'!$F$4</f>
        <v>0</v>
      </c>
      <c r="AB25" s="103">
        <f>Private_2!AB25*'BTU Conversion Factor'!$F$4</f>
        <v>0</v>
      </c>
      <c r="AC25" s="103">
        <f>Private_2!AC25*'BTU Conversion Factor'!$F$4</f>
        <v>0</v>
      </c>
      <c r="AD25" s="103">
        <f>Private_2!AD25*'BTU Conversion Factor'!$F$4</f>
        <v>0</v>
      </c>
      <c r="AE25" s="103">
        <f>Private_2!AE25*'BTU Conversion Factor'!$F$4</f>
        <v>0</v>
      </c>
      <c r="AF25" s="103">
        <f>Private_2!AF25*'BTU Conversion Factor'!$F$4</f>
        <v>0</v>
      </c>
      <c r="AG25" s="103">
        <f>Private_2!AG25*'BTU Conversion Factor'!$F$4</f>
        <v>0</v>
      </c>
      <c r="AH25" s="103">
        <f>Private_2!AH25*'BTU Conversion Factor'!$F$4</f>
        <v>0</v>
      </c>
      <c r="AI25" s="103">
        <f>Private_2!AI25*'BTU Conversion Factor'!$F$4</f>
        <v>0</v>
      </c>
      <c r="AJ25" s="103">
        <f>Private_2!AJ25*'BTU Conversion Factor'!$F$4</f>
        <v>0</v>
      </c>
      <c r="AK25" s="103">
        <f>Private_2!AK25*'BTU Conversion Factor'!$F$4</f>
        <v>0</v>
      </c>
      <c r="AL25" s="103">
        <f>Private_2!AL25*'BTU Conversion Factor'!$F$4</f>
        <v>0</v>
      </c>
      <c r="AM25" s="103">
        <f>Private_2!AM25*'BTU Conversion Factor'!$F$4</f>
        <v>0</v>
      </c>
      <c r="AN25" s="103">
        <f>Private_2!AN25*'BTU Conversion Factor'!$F$4</f>
        <v>0</v>
      </c>
      <c r="AO25" s="103">
        <f>Private_2!AO25*'BTU Conversion Factor'!$F$4</f>
        <v>0</v>
      </c>
      <c r="AP25" s="103">
        <f>Private_2!AP25*'BTU Conversion Factor'!$F$4</f>
        <v>0</v>
      </c>
      <c r="AQ25" s="103">
        <f>Private_2!AQ25*'BTU Conversion Factor'!$F$4</f>
        <v>0</v>
      </c>
      <c r="AR25" s="103">
        <f>Private_2!AR25*'BTU Conversion Factor'!$F$4</f>
        <v>0</v>
      </c>
      <c r="AS25" s="103">
        <f>Private_2!AS25*'BTU Conversion Factor'!$F$4</f>
        <v>0</v>
      </c>
      <c r="AT25" s="103">
        <f>Private_2!AT25*'BTU Conversion Factor'!$F$4</f>
        <v>0</v>
      </c>
      <c r="AU25" s="103">
        <f>Private_2!AU25*'BTU Conversion Factor'!$F$4</f>
        <v>0</v>
      </c>
    </row>
    <row r="26" spans="1:47">
      <c r="B26" s="60" t="s">
        <v>668</v>
      </c>
      <c r="C26" s="103">
        <f>Private_2!C26*'BTU Conversion Factor'!$F$4</f>
        <v>0</v>
      </c>
      <c r="D26" s="103">
        <f>Private_2!D26*'BTU Conversion Factor'!$F$4</f>
        <v>0</v>
      </c>
      <c r="E26" s="103">
        <f>Private_2!E26*'BTU Conversion Factor'!$F$4</f>
        <v>0</v>
      </c>
      <c r="F26" s="103">
        <f>Private_2!F26*'BTU Conversion Factor'!$F$4</f>
        <v>0</v>
      </c>
      <c r="G26" s="103">
        <f>Private_2!G26*'BTU Conversion Factor'!$F$4</f>
        <v>0</v>
      </c>
      <c r="H26" s="103">
        <f>Private_2!H26*'BTU Conversion Factor'!$F$4</f>
        <v>0</v>
      </c>
      <c r="I26" s="103">
        <f>Private_2!I26*'BTU Conversion Factor'!$F$4</f>
        <v>0</v>
      </c>
      <c r="J26" s="103">
        <f>Private_2!J26*'BTU Conversion Factor'!$F$4</f>
        <v>0</v>
      </c>
      <c r="K26" s="103">
        <f>Private_2!K26*'BTU Conversion Factor'!$F$4</f>
        <v>0</v>
      </c>
      <c r="L26" s="103">
        <f>Private_2!L26*'BTU Conversion Factor'!$F$4</f>
        <v>0</v>
      </c>
      <c r="M26" s="103">
        <f>Private_2!M26*'BTU Conversion Factor'!$F$4</f>
        <v>0</v>
      </c>
      <c r="N26" s="103">
        <f>Private_2!N26*'BTU Conversion Factor'!$F$4</f>
        <v>0</v>
      </c>
      <c r="O26" s="103">
        <f>Private_2!O26*'BTU Conversion Factor'!$F$4</f>
        <v>0</v>
      </c>
      <c r="P26" s="103">
        <f>Private_2!P26*'BTU Conversion Factor'!$F$4</f>
        <v>0</v>
      </c>
      <c r="Q26" s="103">
        <f>Private_2!Q26*'BTU Conversion Factor'!$F$4</f>
        <v>0</v>
      </c>
      <c r="R26" s="103">
        <f>Private_2!R26*'BTU Conversion Factor'!$F$4</f>
        <v>0</v>
      </c>
      <c r="S26" s="103">
        <f>Private_2!S26*'BTU Conversion Factor'!$F$4</f>
        <v>0</v>
      </c>
      <c r="T26" s="103">
        <f>Private_2!T26*'BTU Conversion Factor'!$F$4</f>
        <v>0</v>
      </c>
      <c r="U26" s="103">
        <f>Private_2!U26*'BTU Conversion Factor'!$F$4</f>
        <v>0</v>
      </c>
      <c r="V26" s="103">
        <f>Private_2!V26*'BTU Conversion Factor'!$F$4</f>
        <v>0</v>
      </c>
      <c r="W26" s="103">
        <f>Private_2!W26*'BTU Conversion Factor'!$F$4</f>
        <v>0</v>
      </c>
      <c r="X26" s="103">
        <f>Private_2!X26*'BTU Conversion Factor'!$F$4</f>
        <v>0</v>
      </c>
      <c r="Y26" s="103">
        <f>Private_2!Y26*'BTU Conversion Factor'!$F$4</f>
        <v>0</v>
      </c>
      <c r="Z26" s="103">
        <f>Private_2!Z26*'BTU Conversion Factor'!$F$4</f>
        <v>0</v>
      </c>
      <c r="AA26" s="103">
        <f>Private_2!AA26*'BTU Conversion Factor'!$F$4</f>
        <v>0</v>
      </c>
      <c r="AB26" s="103">
        <f>Private_2!AB26*'BTU Conversion Factor'!$F$4</f>
        <v>0</v>
      </c>
      <c r="AC26" s="103">
        <f>Private_2!AC26*'BTU Conversion Factor'!$F$4</f>
        <v>0</v>
      </c>
      <c r="AD26" s="103">
        <f>Private_2!AD26*'BTU Conversion Factor'!$F$4</f>
        <v>0</v>
      </c>
      <c r="AE26" s="103">
        <f>Private_2!AE26*'BTU Conversion Factor'!$F$4</f>
        <v>0</v>
      </c>
      <c r="AF26" s="103">
        <f>Private_2!AF26*'BTU Conversion Factor'!$F$4</f>
        <v>0</v>
      </c>
      <c r="AG26" s="103">
        <f>Private_2!AG26*'BTU Conversion Factor'!$F$4</f>
        <v>0</v>
      </c>
      <c r="AH26" s="103">
        <f>Private_2!AH26*'BTU Conversion Factor'!$F$4</f>
        <v>0</v>
      </c>
      <c r="AI26" s="103">
        <f>Private_2!AI26*'BTU Conversion Factor'!$F$4</f>
        <v>0</v>
      </c>
      <c r="AJ26" s="103">
        <f>Private_2!AJ26*'BTU Conversion Factor'!$F$4</f>
        <v>0</v>
      </c>
      <c r="AK26" s="103">
        <f>Private_2!AK26*'BTU Conversion Factor'!$F$4</f>
        <v>0</v>
      </c>
      <c r="AL26" s="103">
        <f>Private_2!AL26*'BTU Conversion Factor'!$F$4</f>
        <v>0</v>
      </c>
      <c r="AM26" s="103">
        <f>Private_2!AM26*'BTU Conversion Factor'!$F$4</f>
        <v>0</v>
      </c>
      <c r="AN26" s="103">
        <f>Private_2!AN26*'BTU Conversion Factor'!$F$4</f>
        <v>0</v>
      </c>
      <c r="AO26" s="103">
        <f>Private_2!AO26*'BTU Conversion Factor'!$F$4</f>
        <v>0</v>
      </c>
      <c r="AP26" s="103">
        <f>Private_2!AP26*'BTU Conversion Factor'!$F$4</f>
        <v>0</v>
      </c>
      <c r="AQ26" s="103">
        <f>Private_2!AQ26*'BTU Conversion Factor'!$F$4</f>
        <v>0</v>
      </c>
      <c r="AR26" s="103">
        <f>Private_2!AR26*'BTU Conversion Factor'!$F$4</f>
        <v>0</v>
      </c>
      <c r="AS26" s="103">
        <f>Private_2!AS26*'BTU Conversion Factor'!$F$4</f>
        <v>0</v>
      </c>
      <c r="AT26" s="103">
        <f>Private_2!AT26*'BTU Conversion Factor'!$F$4</f>
        <v>0</v>
      </c>
      <c r="AU26" s="103">
        <f>Private_2!AU26*'BTU Conversion Factor'!$F$4</f>
        <v>0</v>
      </c>
    </row>
    <row r="27" spans="1:47">
      <c r="B27" s="60" t="s">
        <v>669</v>
      </c>
      <c r="C27" s="103">
        <f>Private_2!C27*'BTU Conversion Factor'!$F$4</f>
        <v>0</v>
      </c>
      <c r="D27" s="103">
        <f>Private_2!D27*'BTU Conversion Factor'!$F$4</f>
        <v>0</v>
      </c>
      <c r="E27" s="103">
        <f>Private_2!E27*'BTU Conversion Factor'!$F$4</f>
        <v>0</v>
      </c>
      <c r="F27" s="103">
        <f>Private_2!F27*'BTU Conversion Factor'!$F$4</f>
        <v>0</v>
      </c>
      <c r="G27" s="103">
        <f>Private_2!G27*'BTU Conversion Factor'!$F$4</f>
        <v>0</v>
      </c>
      <c r="H27" s="103">
        <f>Private_2!H27*'BTU Conversion Factor'!$F$4</f>
        <v>0</v>
      </c>
      <c r="I27" s="103">
        <f>Private_2!I27*'BTU Conversion Factor'!$F$4</f>
        <v>0</v>
      </c>
      <c r="J27" s="103">
        <f>Private_2!J27*'BTU Conversion Factor'!$F$4</f>
        <v>0</v>
      </c>
      <c r="K27" s="103">
        <f>Private_2!K27*'BTU Conversion Factor'!$F$4</f>
        <v>0</v>
      </c>
      <c r="L27" s="103">
        <f>Private_2!L27*'BTU Conversion Factor'!$F$4</f>
        <v>0</v>
      </c>
      <c r="M27" s="103">
        <f>Private_2!M27*'BTU Conversion Factor'!$F$4</f>
        <v>0</v>
      </c>
      <c r="N27" s="103">
        <f>Private_2!N27*'BTU Conversion Factor'!$F$4</f>
        <v>0</v>
      </c>
      <c r="O27" s="103">
        <f>Private_2!O27*'BTU Conversion Factor'!$F$4</f>
        <v>0</v>
      </c>
      <c r="P27" s="103">
        <f>Private_2!P27*'BTU Conversion Factor'!$F$4</f>
        <v>0</v>
      </c>
      <c r="Q27" s="103">
        <f>Private_2!Q27*'BTU Conversion Factor'!$F$4</f>
        <v>0</v>
      </c>
      <c r="R27" s="103">
        <f>Private_2!R27*'BTU Conversion Factor'!$F$4</f>
        <v>0</v>
      </c>
      <c r="S27" s="103">
        <f>Private_2!S27*'BTU Conversion Factor'!$F$4</f>
        <v>0</v>
      </c>
      <c r="T27" s="103">
        <f>Private_2!T27*'BTU Conversion Factor'!$F$4</f>
        <v>0</v>
      </c>
      <c r="U27" s="103">
        <f>Private_2!U27*'BTU Conversion Factor'!$F$4</f>
        <v>0</v>
      </c>
      <c r="V27" s="103">
        <f>Private_2!V27*'BTU Conversion Factor'!$F$4</f>
        <v>0</v>
      </c>
      <c r="W27" s="103">
        <f>Private_2!W27*'BTU Conversion Factor'!$F$4</f>
        <v>0</v>
      </c>
      <c r="X27" s="103">
        <f>Private_2!X27*'BTU Conversion Factor'!$F$4</f>
        <v>0</v>
      </c>
      <c r="Y27" s="103">
        <f>Private_2!Y27*'BTU Conversion Factor'!$F$4</f>
        <v>0</v>
      </c>
      <c r="Z27" s="103">
        <f>Private_2!Z27*'BTU Conversion Factor'!$F$4</f>
        <v>0</v>
      </c>
      <c r="AA27" s="103">
        <f>Private_2!AA27*'BTU Conversion Factor'!$F$4</f>
        <v>0</v>
      </c>
      <c r="AB27" s="103">
        <f>Private_2!AB27*'BTU Conversion Factor'!$F$4</f>
        <v>0</v>
      </c>
      <c r="AC27" s="103">
        <f>Private_2!AC27*'BTU Conversion Factor'!$F$4</f>
        <v>0</v>
      </c>
      <c r="AD27" s="103">
        <f>Private_2!AD27*'BTU Conversion Factor'!$F$4</f>
        <v>0</v>
      </c>
      <c r="AE27" s="103">
        <f>Private_2!AE27*'BTU Conversion Factor'!$F$4</f>
        <v>0</v>
      </c>
      <c r="AF27" s="103">
        <f>Private_2!AF27*'BTU Conversion Factor'!$F$4</f>
        <v>0</v>
      </c>
      <c r="AG27" s="103">
        <f>Private_2!AG27*'BTU Conversion Factor'!$F$4</f>
        <v>0</v>
      </c>
      <c r="AH27" s="103">
        <f>Private_2!AH27*'BTU Conversion Factor'!$F$4</f>
        <v>0</v>
      </c>
      <c r="AI27" s="103">
        <f>Private_2!AI27*'BTU Conversion Factor'!$F$4</f>
        <v>0</v>
      </c>
      <c r="AJ27" s="103">
        <f>Private_2!AJ27*'BTU Conversion Factor'!$F$4</f>
        <v>0</v>
      </c>
      <c r="AK27" s="103">
        <f>Private_2!AK27*'BTU Conversion Factor'!$F$4</f>
        <v>0</v>
      </c>
      <c r="AL27" s="103">
        <f>Private_2!AL27*'BTU Conversion Factor'!$F$4</f>
        <v>0</v>
      </c>
      <c r="AM27" s="103">
        <f>Private_2!AM27*'BTU Conversion Factor'!$F$4</f>
        <v>0</v>
      </c>
      <c r="AN27" s="103">
        <f>Private_2!AN27*'BTU Conversion Factor'!$F$4</f>
        <v>0</v>
      </c>
      <c r="AO27" s="103">
        <f>Private_2!AO27*'BTU Conversion Factor'!$F$4</f>
        <v>0</v>
      </c>
      <c r="AP27" s="103">
        <f>Private_2!AP27*'BTU Conversion Factor'!$F$4</f>
        <v>0</v>
      </c>
      <c r="AQ27" s="103">
        <f>Private_2!AQ27*'BTU Conversion Factor'!$F$4</f>
        <v>0</v>
      </c>
      <c r="AR27" s="103">
        <f>Private_2!AR27*'BTU Conversion Factor'!$F$4</f>
        <v>0</v>
      </c>
      <c r="AS27" s="103">
        <f>Private_2!AS27*'BTU Conversion Factor'!$F$4</f>
        <v>0</v>
      </c>
      <c r="AT27" s="103">
        <f>Private_2!AT27*'BTU Conversion Factor'!$F$4</f>
        <v>0</v>
      </c>
      <c r="AU27" s="103">
        <f>Private_2!AU27*'BTU Conversion Factor'!$F$4</f>
        <v>0</v>
      </c>
    </row>
    <row r="28" spans="1:47">
      <c r="B28" s="60" t="s">
        <v>670</v>
      </c>
      <c r="C28" s="103">
        <f>Private_2!C28*'BTU Conversion Factor'!$F$4</f>
        <v>0</v>
      </c>
      <c r="D28" s="103">
        <f>Private_2!D28*'BTU Conversion Factor'!$F$4</f>
        <v>0</v>
      </c>
      <c r="E28" s="103">
        <f>Private_2!E28*'BTU Conversion Factor'!$F$4</f>
        <v>0</v>
      </c>
      <c r="F28" s="103">
        <f>Private_2!F28*'BTU Conversion Factor'!$F$4</f>
        <v>0</v>
      </c>
      <c r="G28" s="103">
        <f>Private_2!G28*'BTU Conversion Factor'!$F$4</f>
        <v>0</v>
      </c>
      <c r="H28" s="103">
        <f>Private_2!H28*'BTU Conversion Factor'!$F$4</f>
        <v>0</v>
      </c>
      <c r="I28" s="103">
        <f>Private_2!I28*'BTU Conversion Factor'!$F$4</f>
        <v>0</v>
      </c>
      <c r="J28" s="103">
        <f>Private_2!J28*'BTU Conversion Factor'!$F$4</f>
        <v>0</v>
      </c>
      <c r="K28" s="103">
        <f>Private_2!K28*'BTU Conversion Factor'!$F$4</f>
        <v>0</v>
      </c>
      <c r="L28" s="103">
        <f>Private_2!L28*'BTU Conversion Factor'!$F$4</f>
        <v>0</v>
      </c>
      <c r="M28" s="103">
        <f>Private_2!M28*'BTU Conversion Factor'!$F$4</f>
        <v>0</v>
      </c>
      <c r="N28" s="103">
        <f>Private_2!N28*'BTU Conversion Factor'!$F$4</f>
        <v>0</v>
      </c>
      <c r="O28" s="103">
        <f>Private_2!O28*'BTU Conversion Factor'!$F$4</f>
        <v>0</v>
      </c>
      <c r="P28" s="103">
        <f>Private_2!P28*'BTU Conversion Factor'!$F$4</f>
        <v>0</v>
      </c>
      <c r="Q28" s="103">
        <f>Private_2!Q28*'BTU Conversion Factor'!$F$4</f>
        <v>0</v>
      </c>
      <c r="R28" s="103">
        <f>Private_2!R28*'BTU Conversion Factor'!$F$4</f>
        <v>0</v>
      </c>
      <c r="S28" s="103">
        <f>Private_2!S28*'BTU Conversion Factor'!$F$4</f>
        <v>0</v>
      </c>
      <c r="T28" s="103">
        <f>Private_2!T28*'BTU Conversion Factor'!$F$4</f>
        <v>0</v>
      </c>
      <c r="U28" s="103">
        <f>Private_2!U28*'BTU Conversion Factor'!$F$4</f>
        <v>0</v>
      </c>
      <c r="V28" s="103">
        <f>Private_2!V28*'BTU Conversion Factor'!$F$4</f>
        <v>0</v>
      </c>
      <c r="W28" s="103">
        <f>Private_2!W28*'BTU Conversion Factor'!$F$4</f>
        <v>0</v>
      </c>
      <c r="X28" s="103">
        <f>Private_2!X28*'BTU Conversion Factor'!$F$4</f>
        <v>0</v>
      </c>
      <c r="Y28" s="103">
        <f>Private_2!Y28*'BTU Conversion Factor'!$F$4</f>
        <v>0</v>
      </c>
      <c r="Z28" s="103">
        <f>Private_2!Z28*'BTU Conversion Factor'!$F$4</f>
        <v>0</v>
      </c>
      <c r="AA28" s="103">
        <f>Private_2!AA28*'BTU Conversion Factor'!$F$4</f>
        <v>0</v>
      </c>
      <c r="AB28" s="103">
        <f>Private_2!AB28*'BTU Conversion Factor'!$F$4</f>
        <v>0</v>
      </c>
      <c r="AC28" s="103">
        <f>Private_2!AC28*'BTU Conversion Factor'!$F$4</f>
        <v>0</v>
      </c>
      <c r="AD28" s="103">
        <f>Private_2!AD28*'BTU Conversion Factor'!$F$4</f>
        <v>0</v>
      </c>
      <c r="AE28" s="103">
        <f>Private_2!AE28*'BTU Conversion Factor'!$F$4</f>
        <v>0</v>
      </c>
      <c r="AF28" s="103">
        <f>Private_2!AF28*'BTU Conversion Factor'!$F$4</f>
        <v>0</v>
      </c>
      <c r="AG28" s="103">
        <f>Private_2!AG28*'BTU Conversion Factor'!$F$4</f>
        <v>0</v>
      </c>
      <c r="AH28" s="103">
        <f>Private_2!AH28*'BTU Conversion Factor'!$F$4</f>
        <v>0</v>
      </c>
      <c r="AI28" s="103">
        <f>Private_2!AI28*'BTU Conversion Factor'!$F$4</f>
        <v>0</v>
      </c>
      <c r="AJ28" s="103">
        <f>Private_2!AJ28*'BTU Conversion Factor'!$F$4</f>
        <v>0</v>
      </c>
      <c r="AK28" s="103">
        <f>Private_2!AK28*'BTU Conversion Factor'!$F$4</f>
        <v>0</v>
      </c>
      <c r="AL28" s="103">
        <f>Private_2!AL28*'BTU Conversion Factor'!$F$4</f>
        <v>0</v>
      </c>
      <c r="AM28" s="103">
        <f>Private_2!AM28*'BTU Conversion Factor'!$F$4</f>
        <v>0</v>
      </c>
      <c r="AN28" s="103">
        <f>Private_2!AN28*'BTU Conversion Factor'!$F$4</f>
        <v>0</v>
      </c>
      <c r="AO28" s="103">
        <f>Private_2!AO28*'BTU Conversion Factor'!$F$4</f>
        <v>0</v>
      </c>
      <c r="AP28" s="103">
        <f>Private_2!AP28*'BTU Conversion Factor'!$F$4</f>
        <v>0</v>
      </c>
      <c r="AQ28" s="103">
        <f>Private_2!AQ28*'BTU Conversion Factor'!$F$4</f>
        <v>0</v>
      </c>
      <c r="AR28" s="103">
        <f>Private_2!AR28*'BTU Conversion Factor'!$F$4</f>
        <v>0</v>
      </c>
      <c r="AS28" s="103">
        <f>Private_2!AS28*'BTU Conversion Factor'!$F$4</f>
        <v>0</v>
      </c>
      <c r="AT28" s="103">
        <f>Private_2!AT28*'BTU Conversion Factor'!$F$4</f>
        <v>0</v>
      </c>
      <c r="AU28" s="103">
        <f>Private_2!AU28*'BTU Conversion Factor'!$F$4</f>
        <v>0</v>
      </c>
    </row>
    <row r="30" spans="1:47" s="64" customFormat="1">
      <c r="A30" s="124" t="s">
        <v>89</v>
      </c>
    </row>
    <row r="31" spans="1:47" s="60" customFormat="1">
      <c r="B31" s="60" t="s">
        <v>0</v>
      </c>
      <c r="C31" s="60">
        <v>2006</v>
      </c>
      <c r="D31" s="60">
        <v>2007</v>
      </c>
      <c r="E31" s="60">
        <v>2008</v>
      </c>
      <c r="F31" s="60">
        <v>2009</v>
      </c>
      <c r="G31" s="60">
        <v>2010</v>
      </c>
      <c r="H31" s="60">
        <v>2011</v>
      </c>
      <c r="I31" s="60">
        <v>2012</v>
      </c>
      <c r="J31" s="60">
        <v>2013</v>
      </c>
      <c r="K31" s="60">
        <v>2014</v>
      </c>
      <c r="L31" s="60">
        <v>2015</v>
      </c>
      <c r="M31" s="60">
        <v>2016</v>
      </c>
      <c r="N31" s="60">
        <v>2017</v>
      </c>
      <c r="O31" s="60">
        <v>2018</v>
      </c>
      <c r="P31" s="60">
        <v>2019</v>
      </c>
      <c r="Q31" s="60">
        <v>2020</v>
      </c>
      <c r="R31" s="60">
        <v>2021</v>
      </c>
      <c r="S31" s="60">
        <v>2022</v>
      </c>
      <c r="T31" s="60">
        <v>2023</v>
      </c>
      <c r="U31" s="60">
        <v>2024</v>
      </c>
      <c r="V31" s="60">
        <v>2025</v>
      </c>
      <c r="W31" s="60">
        <v>2026</v>
      </c>
      <c r="X31" s="60">
        <v>2027</v>
      </c>
      <c r="Y31" s="60">
        <v>2028</v>
      </c>
      <c r="Z31" s="60">
        <v>2029</v>
      </c>
      <c r="AA31" s="60">
        <v>2030</v>
      </c>
      <c r="AB31" s="60">
        <v>2031</v>
      </c>
      <c r="AC31" s="60">
        <v>2032</v>
      </c>
      <c r="AD31" s="60">
        <v>2033</v>
      </c>
      <c r="AE31" s="60">
        <v>2034</v>
      </c>
      <c r="AF31" s="60">
        <v>2035</v>
      </c>
      <c r="AG31" s="60">
        <v>2036</v>
      </c>
      <c r="AH31" s="60">
        <v>2037</v>
      </c>
      <c r="AI31" s="60">
        <v>2038</v>
      </c>
      <c r="AJ31" s="60">
        <v>2039</v>
      </c>
      <c r="AK31" s="60">
        <v>2040</v>
      </c>
      <c r="AL31" s="60">
        <v>2041</v>
      </c>
      <c r="AM31" s="60">
        <v>2042</v>
      </c>
      <c r="AN31" s="60">
        <v>2043</v>
      </c>
      <c r="AO31" s="60">
        <v>2044</v>
      </c>
      <c r="AP31" s="60">
        <v>2045</v>
      </c>
      <c r="AQ31" s="60">
        <v>2046</v>
      </c>
      <c r="AR31" s="60">
        <v>2047</v>
      </c>
      <c r="AS31" s="60">
        <v>2048</v>
      </c>
      <c r="AT31" s="60">
        <v>2049</v>
      </c>
      <c r="AU31" s="60">
        <v>2050</v>
      </c>
    </row>
    <row r="32" spans="1:47">
      <c r="B32" s="60" t="s">
        <v>665</v>
      </c>
      <c r="C32" s="175">
        <f>Private_2!C32*'BTU Conversion Factor'!$F$4</f>
        <v>8059785151507.9941</v>
      </c>
      <c r="D32" s="175">
        <f>Private_2!D32*'BTU Conversion Factor'!$F$4</f>
        <v>8572431401837.2266</v>
      </c>
      <c r="E32" s="175">
        <f>Private_2!E32*'BTU Conversion Factor'!$F$4</f>
        <v>8980119750403.0703</v>
      </c>
      <c r="F32" s="175">
        <f>Private_2!F32*'BTU Conversion Factor'!$F$4</f>
        <v>9211136589511.1133</v>
      </c>
      <c r="G32" s="175">
        <f>Private_2!G32*'BTU Conversion Factor'!$F$4</f>
        <v>8837896550069.0254</v>
      </c>
      <c r="H32" s="175">
        <f>Private_2!H32*'BTU Conversion Factor'!$F$4</f>
        <v>8804349461335.6504</v>
      </c>
      <c r="I32" s="175">
        <f>Private_2!I32*'BTU Conversion Factor'!$F$4</f>
        <v>8682195051760.5098</v>
      </c>
      <c r="J32" s="175">
        <f>Private_2!J32*'BTU Conversion Factor'!$F$4</f>
        <v>8700520858389.0742</v>
      </c>
      <c r="K32" s="175">
        <f>Private_2!K32*'BTU Conversion Factor'!$F$4</f>
        <v>8863064397335.9375</v>
      </c>
      <c r="L32" s="175">
        <f>Private_2!L32*'BTU Conversion Factor'!$F$4</f>
        <v>8476266555735.8057</v>
      </c>
      <c r="M32" s="175">
        <f>Private_2!M32*'BTU Conversion Factor'!$F$4</f>
        <v>8904354819781.1816</v>
      </c>
      <c r="N32" s="175">
        <f>Private_2!N32*'BTU Conversion Factor'!$F$4</f>
        <v>8483823746508.6074</v>
      </c>
      <c r="O32" s="175">
        <f>Private_2!O32*'BTU Conversion Factor'!$F$4</f>
        <v>8597508520272.3242</v>
      </c>
      <c r="P32" s="175">
        <f>Private_2!P32*'BTU Conversion Factor'!$F$4</f>
        <v>8703059700763.1367</v>
      </c>
      <c r="Q32" s="175">
        <f>Private_2!Q32*'BTU Conversion Factor'!$F$4</f>
        <v>8813859270336.3262</v>
      </c>
      <c r="R32" s="175">
        <f>Private_2!R32*'BTU Conversion Factor'!$F$4</f>
        <v>8919307333429.2598</v>
      </c>
      <c r="S32" s="175">
        <f>Private_2!S32*'BTU Conversion Factor'!$F$4</f>
        <v>9024253206751.7246</v>
      </c>
      <c r="T32" s="175">
        <f>Private_2!T32*'BTU Conversion Factor'!$F$4</f>
        <v>9127963081405.0488</v>
      </c>
      <c r="U32" s="175">
        <f>Private_2!U32*'BTU Conversion Factor'!$F$4</f>
        <v>9226711037280.7754</v>
      </c>
      <c r="V32" s="175">
        <f>Private_2!V32*'BTU Conversion Factor'!$F$4</f>
        <v>9322798749856.084</v>
      </c>
      <c r="W32" s="175">
        <f>Private_2!W32*'BTU Conversion Factor'!$F$4</f>
        <v>9414847159587.9023</v>
      </c>
      <c r="X32" s="175">
        <f>Private_2!X32*'BTU Conversion Factor'!$F$4</f>
        <v>9504835766293.207</v>
      </c>
      <c r="Y32" s="175">
        <f>Private_2!Y32*'BTU Conversion Factor'!$F$4</f>
        <v>9596730605401.9883</v>
      </c>
      <c r="Z32" s="175">
        <f>Private_2!Z32*'BTU Conversion Factor'!$F$4</f>
        <v>9688714914651.8379</v>
      </c>
      <c r="AA32" s="175">
        <f>Private_2!AA32*'BTU Conversion Factor'!$F$4</f>
        <v>9778688939815.4922</v>
      </c>
      <c r="AB32" s="175">
        <f>Private_2!AB32*'BTU Conversion Factor'!$F$4</f>
        <v>9867965970580.9023</v>
      </c>
      <c r="AC32" s="175">
        <f>Private_2!AC32*'BTU Conversion Factor'!$F$4</f>
        <v>9956894018010.7441</v>
      </c>
      <c r="AD32" s="175">
        <f>Private_2!AD32*'BTU Conversion Factor'!$F$4</f>
        <v>10046451454358.389</v>
      </c>
      <c r="AE32" s="175">
        <f>Private_2!AE32*'BTU Conversion Factor'!$F$4</f>
        <v>10134128747685.201</v>
      </c>
      <c r="AF32" s="175">
        <f>Private_2!AF32*'BTU Conversion Factor'!$F$4</f>
        <v>10218121898486.037</v>
      </c>
      <c r="AG32" s="175">
        <f>Private_2!AG32*'BTU Conversion Factor'!$F$4</f>
        <v>10299248551708.984</v>
      </c>
      <c r="AH32" s="175">
        <f>Private_2!AH32*'BTU Conversion Factor'!$F$4</f>
        <v>10377199367730.084</v>
      </c>
      <c r="AI32" s="175">
        <f>Private_2!AI32*'BTU Conversion Factor'!$F$4</f>
        <v>10451148931458.295</v>
      </c>
      <c r="AJ32" s="175">
        <f>Private_2!AJ32*'BTU Conversion Factor'!$F$4</f>
        <v>10519743475853.893</v>
      </c>
      <c r="AK32" s="175">
        <f>Private_2!AK32*'BTU Conversion Factor'!$F$4</f>
        <v>10584054830440.205</v>
      </c>
      <c r="AL32" s="175">
        <f>Private_2!AL32*'BTU Conversion Factor'!$F$4</f>
        <v>10643233221477.318</v>
      </c>
      <c r="AM32" s="175">
        <f>Private_2!AM32*'BTU Conversion Factor'!$F$4</f>
        <v>10697846211679.564</v>
      </c>
      <c r="AN32" s="175">
        <f>Private_2!AN32*'BTU Conversion Factor'!$F$4</f>
        <v>10749912433217.471</v>
      </c>
      <c r="AO32" s="175">
        <f>Private_2!AO32*'BTU Conversion Factor'!$F$4</f>
        <v>10798861359151.771</v>
      </c>
      <c r="AP32" s="175">
        <f>Private_2!AP32*'BTU Conversion Factor'!$F$4</f>
        <v>10843716592052.061</v>
      </c>
      <c r="AQ32" s="175">
        <f>Private_2!AQ32*'BTU Conversion Factor'!$F$4</f>
        <v>10884943619379.672</v>
      </c>
      <c r="AR32" s="175">
        <f>Private_2!AR32*'BTU Conversion Factor'!$F$4</f>
        <v>10921152446139.344</v>
      </c>
      <c r="AS32" s="175">
        <f>Private_2!AS32*'BTU Conversion Factor'!$F$4</f>
        <v>10954408733669.672</v>
      </c>
      <c r="AT32" s="175">
        <f>Private_2!AT32*'BTU Conversion Factor'!$F$4</f>
        <v>10983455937702.781</v>
      </c>
      <c r="AU32" s="175">
        <f>Private_2!AU32*'BTU Conversion Factor'!$F$4</f>
        <v>11008501401820.369</v>
      </c>
    </row>
    <row r="33" spans="1:47">
      <c r="B33" s="60" t="s">
        <v>666</v>
      </c>
      <c r="C33" s="175">
        <f>Private_2!C33*'BTU Conversion Factor'!$F$4</f>
        <v>0</v>
      </c>
      <c r="D33" s="175">
        <f>Private_2!D33*'BTU Conversion Factor'!$F$4</f>
        <v>0</v>
      </c>
      <c r="E33" s="175">
        <f>Private_2!E33*'BTU Conversion Factor'!$F$4</f>
        <v>0</v>
      </c>
      <c r="F33" s="175">
        <f>Private_2!F33*'BTU Conversion Factor'!$F$4</f>
        <v>0</v>
      </c>
      <c r="G33" s="175">
        <f>Private_2!G33*'BTU Conversion Factor'!$F$4</f>
        <v>0</v>
      </c>
      <c r="H33" s="175">
        <f>Private_2!H33*'BTU Conversion Factor'!$F$4</f>
        <v>0</v>
      </c>
      <c r="I33" s="175">
        <f>Private_2!I33*'BTU Conversion Factor'!$F$4</f>
        <v>0</v>
      </c>
      <c r="J33" s="175">
        <f>Private_2!J33*'BTU Conversion Factor'!$F$4</f>
        <v>0</v>
      </c>
      <c r="K33" s="175">
        <f>Private_2!K33*'BTU Conversion Factor'!$F$4</f>
        <v>0</v>
      </c>
      <c r="L33" s="175">
        <f>Private_2!L33*'BTU Conversion Factor'!$F$4</f>
        <v>0</v>
      </c>
      <c r="M33" s="175">
        <f>Private_2!M33*'BTU Conversion Factor'!$F$4</f>
        <v>0</v>
      </c>
      <c r="N33" s="175">
        <f>Private_2!N33*'BTU Conversion Factor'!$F$4</f>
        <v>0</v>
      </c>
      <c r="O33" s="175">
        <f>Private_2!O33*'BTU Conversion Factor'!$F$4</f>
        <v>0</v>
      </c>
      <c r="P33" s="175">
        <f>Private_2!P33*'BTU Conversion Factor'!$F$4</f>
        <v>0</v>
      </c>
      <c r="Q33" s="175">
        <f>Private_2!Q33*'BTU Conversion Factor'!$F$4</f>
        <v>0</v>
      </c>
      <c r="R33" s="175">
        <f>Private_2!R33*'BTU Conversion Factor'!$F$4</f>
        <v>0</v>
      </c>
      <c r="S33" s="175">
        <f>Private_2!S33*'BTU Conversion Factor'!$F$4</f>
        <v>0</v>
      </c>
      <c r="T33" s="175">
        <f>Private_2!T33*'BTU Conversion Factor'!$F$4</f>
        <v>0</v>
      </c>
      <c r="U33" s="175">
        <f>Private_2!U33*'BTU Conversion Factor'!$F$4</f>
        <v>0</v>
      </c>
      <c r="V33" s="175">
        <f>Private_2!V33*'BTU Conversion Factor'!$F$4</f>
        <v>0</v>
      </c>
      <c r="W33" s="175">
        <f>Private_2!W33*'BTU Conversion Factor'!$F$4</f>
        <v>0</v>
      </c>
      <c r="X33" s="175">
        <f>Private_2!X33*'BTU Conversion Factor'!$F$4</f>
        <v>0</v>
      </c>
      <c r="Y33" s="175">
        <f>Private_2!Y33*'BTU Conversion Factor'!$F$4</f>
        <v>0</v>
      </c>
      <c r="Z33" s="175">
        <f>Private_2!Z33*'BTU Conversion Factor'!$F$4</f>
        <v>0</v>
      </c>
      <c r="AA33" s="175">
        <f>Private_2!AA33*'BTU Conversion Factor'!$F$4</f>
        <v>0</v>
      </c>
      <c r="AB33" s="175">
        <f>Private_2!AB33*'BTU Conversion Factor'!$F$4</f>
        <v>0</v>
      </c>
      <c r="AC33" s="175">
        <f>Private_2!AC33*'BTU Conversion Factor'!$F$4</f>
        <v>0</v>
      </c>
      <c r="AD33" s="175">
        <f>Private_2!AD33*'BTU Conversion Factor'!$F$4</f>
        <v>0</v>
      </c>
      <c r="AE33" s="175">
        <f>Private_2!AE33*'BTU Conversion Factor'!$F$4</f>
        <v>0</v>
      </c>
      <c r="AF33" s="175">
        <f>Private_2!AF33*'BTU Conversion Factor'!$F$4</f>
        <v>0</v>
      </c>
      <c r="AG33" s="175">
        <f>Private_2!AG33*'BTU Conversion Factor'!$F$4</f>
        <v>0</v>
      </c>
      <c r="AH33" s="175">
        <f>Private_2!AH33*'BTU Conversion Factor'!$F$4</f>
        <v>0</v>
      </c>
      <c r="AI33" s="175">
        <f>Private_2!AI33*'BTU Conversion Factor'!$F$4</f>
        <v>0</v>
      </c>
      <c r="AJ33" s="175">
        <f>Private_2!AJ33*'BTU Conversion Factor'!$F$4</f>
        <v>0</v>
      </c>
      <c r="AK33" s="175">
        <f>Private_2!AK33*'BTU Conversion Factor'!$F$4</f>
        <v>0</v>
      </c>
      <c r="AL33" s="175">
        <f>Private_2!AL33*'BTU Conversion Factor'!$F$4</f>
        <v>0</v>
      </c>
      <c r="AM33" s="175">
        <f>Private_2!AM33*'BTU Conversion Factor'!$F$4</f>
        <v>0</v>
      </c>
      <c r="AN33" s="175">
        <f>Private_2!AN33*'BTU Conversion Factor'!$F$4</f>
        <v>0</v>
      </c>
      <c r="AO33" s="175">
        <f>Private_2!AO33*'BTU Conversion Factor'!$F$4</f>
        <v>0</v>
      </c>
      <c r="AP33" s="175">
        <f>Private_2!AP33*'BTU Conversion Factor'!$F$4</f>
        <v>0</v>
      </c>
      <c r="AQ33" s="175">
        <f>Private_2!AQ33*'BTU Conversion Factor'!$F$4</f>
        <v>0</v>
      </c>
      <c r="AR33" s="175">
        <f>Private_2!AR33*'BTU Conversion Factor'!$F$4</f>
        <v>0</v>
      </c>
      <c r="AS33" s="175">
        <f>Private_2!AS33*'BTU Conversion Factor'!$F$4</f>
        <v>0</v>
      </c>
      <c r="AT33" s="175">
        <f>Private_2!AT33*'BTU Conversion Factor'!$F$4</f>
        <v>0</v>
      </c>
      <c r="AU33" s="175">
        <f>Private_2!AU33*'BTU Conversion Factor'!$F$4</f>
        <v>0</v>
      </c>
    </row>
    <row r="34" spans="1:47">
      <c r="B34" s="60" t="s">
        <v>667</v>
      </c>
      <c r="C34" s="175">
        <f>Private_2!C34*'BTU Conversion Factor'!$F$4</f>
        <v>8438301610392.1904</v>
      </c>
      <c r="D34" s="175">
        <f>Private_2!D34*'BTU Conversion Factor'!$F$4</f>
        <v>8352117511243.9023</v>
      </c>
      <c r="E34" s="175">
        <f>Private_2!E34*'BTU Conversion Factor'!$F$4</f>
        <v>8653867492596.8662</v>
      </c>
      <c r="F34" s="175">
        <f>Private_2!F34*'BTU Conversion Factor'!$F$4</f>
        <v>8653150641832.0615</v>
      </c>
      <c r="G34" s="175">
        <f>Private_2!G34*'BTU Conversion Factor'!$F$4</f>
        <v>8981742286562.498</v>
      </c>
      <c r="H34" s="175">
        <f>Private_2!H34*'BTU Conversion Factor'!$F$4</f>
        <v>8828961475009.7891</v>
      </c>
      <c r="I34" s="175">
        <f>Private_2!I34*'BTU Conversion Factor'!$F$4</f>
        <v>8599465224000</v>
      </c>
      <c r="J34" s="175">
        <f>Private_2!J34*'BTU Conversion Factor'!$F$4</f>
        <v>8613550205660.8076</v>
      </c>
      <c r="K34" s="175">
        <f>Private_2!K34*'BTU Conversion Factor'!$F$4</f>
        <v>8665594147072.1289</v>
      </c>
      <c r="L34" s="175">
        <f>Private_2!L34*'BTU Conversion Factor'!$F$4</f>
        <v>8280305625496.6895</v>
      </c>
      <c r="M34" s="175">
        <f>Private_2!M34*'BTU Conversion Factor'!$F$4</f>
        <v>8608770085646.9375</v>
      </c>
      <c r="N34" s="175">
        <f>Private_2!N34*'BTU Conversion Factor'!$F$4</f>
        <v>8588917867231.9063</v>
      </c>
      <c r="O34" s="175">
        <f>Private_2!O34*'BTU Conversion Factor'!$F$4</f>
        <v>8571012752199.4551</v>
      </c>
      <c r="P34" s="175">
        <f>Private_2!P34*'BTU Conversion Factor'!$F$4</f>
        <v>8541895862033.6455</v>
      </c>
      <c r="Q34" s="175">
        <f>Private_2!Q34*'BTU Conversion Factor'!$F$4</f>
        <v>8514881452575.1143</v>
      </c>
      <c r="R34" s="175">
        <f>Private_2!R34*'BTU Conversion Factor'!$F$4</f>
        <v>8479659615534.0605</v>
      </c>
      <c r="S34" s="175">
        <f>Private_2!S34*'BTU Conversion Factor'!$F$4</f>
        <v>8441022482331.2256</v>
      </c>
      <c r="T34" s="175">
        <f>Private_2!T34*'BTU Conversion Factor'!$F$4</f>
        <v>8398327376080.0293</v>
      </c>
      <c r="U34" s="175">
        <f>Private_2!U34*'BTU Conversion Factor'!$F$4</f>
        <v>8348269066278.9092</v>
      </c>
      <c r="V34" s="175">
        <f>Private_2!V34*'BTU Conversion Factor'!$F$4</f>
        <v>8293131041474.2246</v>
      </c>
      <c r="W34" s="175">
        <f>Private_2!W34*'BTU Conversion Factor'!$F$4</f>
        <v>8231837539730.6455</v>
      </c>
      <c r="X34" s="175">
        <f>Private_2!X34*'BTU Conversion Factor'!$F$4</f>
        <v>8166281534511.7627</v>
      </c>
      <c r="Y34" s="175">
        <f>Private_2!Y34*'BTU Conversion Factor'!$F$4</f>
        <v>8099911974313.8252</v>
      </c>
      <c r="Z34" s="175">
        <f>Private_2!Z34*'BTU Conversion Factor'!$F$4</f>
        <v>8031144194800.7822</v>
      </c>
      <c r="AA34" s="175">
        <f>Private_2!AA34*'BTU Conversion Factor'!$F$4</f>
        <v>7958273134257.8574</v>
      </c>
      <c r="AB34" s="175">
        <f>Private_2!AB34*'BTU Conversion Factor'!$F$4</f>
        <v>7882446405512.2539</v>
      </c>
      <c r="AC34" s="175">
        <f>Private_2!AC34*'BTU Conversion Factor'!$F$4</f>
        <v>7803975765171.1895</v>
      </c>
      <c r="AD34" s="175">
        <f>Private_2!AD34*'BTU Conversion Factor'!$F$4</f>
        <v>7723636564462.3662</v>
      </c>
      <c r="AE34" s="175">
        <f>Private_2!AE34*'BTU Conversion Factor'!$F$4</f>
        <v>7639516218955.1924</v>
      </c>
      <c r="AF34" s="175">
        <f>Private_2!AF34*'BTU Conversion Factor'!$F$4</f>
        <v>7550373338395.8711</v>
      </c>
      <c r="AG34" s="175">
        <f>Private_2!AG34*'BTU Conversion Factor'!$F$4</f>
        <v>7456971738776.3018</v>
      </c>
      <c r="AH34" s="175">
        <f>Private_2!AH34*'BTU Conversion Factor'!$F$4</f>
        <v>7359226693599.3535</v>
      </c>
      <c r="AI34" s="175">
        <f>Private_2!AI34*'BTU Conversion Factor'!$F$4</f>
        <v>7256712922506.8066</v>
      </c>
      <c r="AJ34" s="175">
        <f>Private_2!AJ34*'BTU Conversion Factor'!$F$4</f>
        <v>7148694334110.209</v>
      </c>
      <c r="AK34" s="175">
        <f>Private_2!AK34*'BTU Conversion Factor'!$F$4</f>
        <v>7036126520629.5283</v>
      </c>
      <c r="AL34" s="175">
        <f>Private_2!AL34*'BTU Conversion Factor'!$F$4</f>
        <v>6918651747517.2451</v>
      </c>
      <c r="AM34" s="175">
        <f>Private_2!AM34*'BTU Conversion Factor'!$F$4</f>
        <v>6796861946713.0811</v>
      </c>
      <c r="AN34" s="175">
        <f>Private_2!AN34*'BTU Conversion Factor'!$F$4</f>
        <v>6672215418952.9121</v>
      </c>
      <c r="AO34" s="175">
        <f>Private_2!AO34*'BTU Conversion Factor'!$F$4</f>
        <v>6544482263398.7168</v>
      </c>
      <c r="AP34" s="175">
        <f>Private_2!AP34*'BTU Conversion Factor'!$F$4</f>
        <v>6413225399937.7324</v>
      </c>
      <c r="AQ34" s="175">
        <f>Private_2!AQ34*'BTU Conversion Factor'!$F$4</f>
        <v>6278895851477.4258</v>
      </c>
      <c r="AR34" s="175">
        <f>Private_2!AR34*'BTU Conversion Factor'!$F$4</f>
        <v>6140873467420.1006</v>
      </c>
      <c r="AS34" s="175">
        <f>Private_2!AS34*'BTU Conversion Factor'!$F$4</f>
        <v>6000511069310.7559</v>
      </c>
      <c r="AT34" s="175">
        <f>Private_2!AT34*'BTU Conversion Factor'!$F$4</f>
        <v>5857269163424.0479</v>
      </c>
      <c r="AU34" s="175">
        <f>Private_2!AU34*'BTU Conversion Factor'!$F$4</f>
        <v>5711439890095.0762</v>
      </c>
    </row>
    <row r="35" spans="1:47">
      <c r="B35" s="60" t="s">
        <v>668</v>
      </c>
      <c r="C35" s="175">
        <f>Private_2!C35*'BTU Conversion Factor'!$F$4</f>
        <v>0</v>
      </c>
      <c r="D35" s="175">
        <f>Private_2!D35*'BTU Conversion Factor'!$F$4</f>
        <v>0</v>
      </c>
      <c r="E35" s="175">
        <f>Private_2!E35*'BTU Conversion Factor'!$F$4</f>
        <v>0</v>
      </c>
      <c r="F35" s="175">
        <f>Private_2!F35*'BTU Conversion Factor'!$F$4</f>
        <v>0</v>
      </c>
      <c r="G35" s="175">
        <f>Private_2!G35*'BTU Conversion Factor'!$F$4</f>
        <v>0</v>
      </c>
      <c r="H35" s="175">
        <f>Private_2!H35*'BTU Conversion Factor'!$F$4</f>
        <v>0</v>
      </c>
      <c r="I35" s="175">
        <f>Private_2!I35*'BTU Conversion Factor'!$F$4</f>
        <v>0</v>
      </c>
      <c r="J35" s="175">
        <f>Private_2!J35*'BTU Conversion Factor'!$F$4</f>
        <v>0</v>
      </c>
      <c r="K35" s="175">
        <f>Private_2!K35*'BTU Conversion Factor'!$F$4</f>
        <v>0</v>
      </c>
      <c r="L35" s="175">
        <f>Private_2!L35*'BTU Conversion Factor'!$F$4</f>
        <v>0</v>
      </c>
      <c r="M35" s="175">
        <f>Private_2!M35*'BTU Conversion Factor'!$F$4</f>
        <v>0</v>
      </c>
      <c r="N35" s="175">
        <f>Private_2!N35*'BTU Conversion Factor'!$F$4</f>
        <v>0</v>
      </c>
      <c r="O35" s="175">
        <f>Private_2!O35*'BTU Conversion Factor'!$F$4</f>
        <v>0</v>
      </c>
      <c r="P35" s="175">
        <f>Private_2!P35*'BTU Conversion Factor'!$F$4</f>
        <v>0</v>
      </c>
      <c r="Q35" s="175">
        <f>Private_2!Q35*'BTU Conversion Factor'!$F$4</f>
        <v>0</v>
      </c>
      <c r="R35" s="175">
        <f>Private_2!R35*'BTU Conversion Factor'!$F$4</f>
        <v>0</v>
      </c>
      <c r="S35" s="175">
        <f>Private_2!S35*'BTU Conversion Factor'!$F$4</f>
        <v>0</v>
      </c>
      <c r="T35" s="175">
        <f>Private_2!T35*'BTU Conversion Factor'!$F$4</f>
        <v>0</v>
      </c>
      <c r="U35" s="175">
        <f>Private_2!U35*'BTU Conversion Factor'!$F$4</f>
        <v>0</v>
      </c>
      <c r="V35" s="175">
        <f>Private_2!V35*'BTU Conversion Factor'!$F$4</f>
        <v>0</v>
      </c>
      <c r="W35" s="175">
        <f>Private_2!W35*'BTU Conversion Factor'!$F$4</f>
        <v>0</v>
      </c>
      <c r="X35" s="175">
        <f>Private_2!X35*'BTU Conversion Factor'!$F$4</f>
        <v>0</v>
      </c>
      <c r="Y35" s="175">
        <f>Private_2!Y35*'BTU Conversion Factor'!$F$4</f>
        <v>0</v>
      </c>
      <c r="Z35" s="175">
        <f>Private_2!Z35*'BTU Conversion Factor'!$F$4</f>
        <v>0</v>
      </c>
      <c r="AA35" s="175">
        <f>Private_2!AA35*'BTU Conversion Factor'!$F$4</f>
        <v>0</v>
      </c>
      <c r="AB35" s="175">
        <f>Private_2!AB35*'BTU Conversion Factor'!$F$4</f>
        <v>0</v>
      </c>
      <c r="AC35" s="175">
        <f>Private_2!AC35*'BTU Conversion Factor'!$F$4</f>
        <v>0</v>
      </c>
      <c r="AD35" s="175">
        <f>Private_2!AD35*'BTU Conversion Factor'!$F$4</f>
        <v>0</v>
      </c>
      <c r="AE35" s="175">
        <f>Private_2!AE35*'BTU Conversion Factor'!$F$4</f>
        <v>0</v>
      </c>
      <c r="AF35" s="175">
        <f>Private_2!AF35*'BTU Conversion Factor'!$F$4</f>
        <v>0</v>
      </c>
      <c r="AG35" s="175">
        <f>Private_2!AG35*'BTU Conversion Factor'!$F$4</f>
        <v>0</v>
      </c>
      <c r="AH35" s="175">
        <f>Private_2!AH35*'BTU Conversion Factor'!$F$4</f>
        <v>0</v>
      </c>
      <c r="AI35" s="175">
        <f>Private_2!AI35*'BTU Conversion Factor'!$F$4</f>
        <v>0</v>
      </c>
      <c r="AJ35" s="175">
        <f>Private_2!AJ35*'BTU Conversion Factor'!$F$4</f>
        <v>0</v>
      </c>
      <c r="AK35" s="175">
        <f>Private_2!AK35*'BTU Conversion Factor'!$F$4</f>
        <v>0</v>
      </c>
      <c r="AL35" s="175">
        <f>Private_2!AL35*'BTU Conversion Factor'!$F$4</f>
        <v>0</v>
      </c>
      <c r="AM35" s="175">
        <f>Private_2!AM35*'BTU Conversion Factor'!$F$4</f>
        <v>0</v>
      </c>
      <c r="AN35" s="175">
        <f>Private_2!AN35*'BTU Conversion Factor'!$F$4</f>
        <v>0</v>
      </c>
      <c r="AO35" s="175">
        <f>Private_2!AO35*'BTU Conversion Factor'!$F$4</f>
        <v>0</v>
      </c>
      <c r="AP35" s="175">
        <f>Private_2!AP35*'BTU Conversion Factor'!$F$4</f>
        <v>0</v>
      </c>
      <c r="AQ35" s="175">
        <f>Private_2!AQ35*'BTU Conversion Factor'!$F$4</f>
        <v>0</v>
      </c>
      <c r="AR35" s="175">
        <f>Private_2!AR35*'BTU Conversion Factor'!$F$4</f>
        <v>0</v>
      </c>
      <c r="AS35" s="175">
        <f>Private_2!AS35*'BTU Conversion Factor'!$F$4</f>
        <v>0</v>
      </c>
      <c r="AT35" s="175">
        <f>Private_2!AT35*'BTU Conversion Factor'!$F$4</f>
        <v>0</v>
      </c>
      <c r="AU35" s="175">
        <f>Private_2!AU35*'BTU Conversion Factor'!$F$4</f>
        <v>0</v>
      </c>
    </row>
    <row r="36" spans="1:47">
      <c r="B36" s="60" t="s">
        <v>669</v>
      </c>
      <c r="C36" s="175">
        <f>Private_2!C36*'BTU Conversion Factor'!$F$4</f>
        <v>0</v>
      </c>
      <c r="D36" s="175">
        <f>Private_2!D36*'BTU Conversion Factor'!$F$4</f>
        <v>0</v>
      </c>
      <c r="E36" s="175">
        <f>Private_2!E36*'BTU Conversion Factor'!$F$4</f>
        <v>0</v>
      </c>
      <c r="F36" s="175">
        <f>Private_2!F36*'BTU Conversion Factor'!$F$4</f>
        <v>0</v>
      </c>
      <c r="G36" s="175">
        <f>Private_2!G36*'BTU Conversion Factor'!$F$4</f>
        <v>0</v>
      </c>
      <c r="H36" s="175">
        <f>Private_2!H36*'BTU Conversion Factor'!$F$4</f>
        <v>0</v>
      </c>
      <c r="I36" s="175">
        <f>Private_2!I36*'BTU Conversion Factor'!$F$4</f>
        <v>0</v>
      </c>
      <c r="J36" s="175">
        <f>Private_2!J36*'BTU Conversion Factor'!$F$4</f>
        <v>0</v>
      </c>
      <c r="K36" s="175">
        <f>Private_2!K36*'BTU Conversion Factor'!$F$4</f>
        <v>0</v>
      </c>
      <c r="L36" s="175">
        <f>Private_2!L36*'BTU Conversion Factor'!$F$4</f>
        <v>0</v>
      </c>
      <c r="M36" s="175">
        <f>Private_2!M36*'BTU Conversion Factor'!$F$4</f>
        <v>0</v>
      </c>
      <c r="N36" s="175">
        <f>Private_2!N36*'BTU Conversion Factor'!$F$4</f>
        <v>0</v>
      </c>
      <c r="O36" s="175">
        <f>Private_2!O36*'BTU Conversion Factor'!$F$4</f>
        <v>0</v>
      </c>
      <c r="P36" s="175">
        <f>Private_2!P36*'BTU Conversion Factor'!$F$4</f>
        <v>0</v>
      </c>
      <c r="Q36" s="175">
        <f>Private_2!Q36*'BTU Conversion Factor'!$F$4</f>
        <v>0</v>
      </c>
      <c r="R36" s="175">
        <f>Private_2!R36*'BTU Conversion Factor'!$F$4</f>
        <v>0</v>
      </c>
      <c r="S36" s="175">
        <f>Private_2!S36*'BTU Conversion Factor'!$F$4</f>
        <v>0</v>
      </c>
      <c r="T36" s="175">
        <f>Private_2!T36*'BTU Conversion Factor'!$F$4</f>
        <v>0</v>
      </c>
      <c r="U36" s="175">
        <f>Private_2!U36*'BTU Conversion Factor'!$F$4</f>
        <v>0</v>
      </c>
      <c r="V36" s="175">
        <f>Private_2!V36*'BTU Conversion Factor'!$F$4</f>
        <v>0</v>
      </c>
      <c r="W36" s="175">
        <f>Private_2!W36*'BTU Conversion Factor'!$F$4</f>
        <v>0</v>
      </c>
      <c r="X36" s="175">
        <f>Private_2!X36*'BTU Conversion Factor'!$F$4</f>
        <v>0</v>
      </c>
      <c r="Y36" s="175">
        <f>Private_2!Y36*'BTU Conversion Factor'!$F$4</f>
        <v>0</v>
      </c>
      <c r="Z36" s="175">
        <f>Private_2!Z36*'BTU Conversion Factor'!$F$4</f>
        <v>0</v>
      </c>
      <c r="AA36" s="175">
        <f>Private_2!AA36*'BTU Conversion Factor'!$F$4</f>
        <v>0</v>
      </c>
      <c r="AB36" s="175">
        <f>Private_2!AB36*'BTU Conversion Factor'!$F$4</f>
        <v>0</v>
      </c>
      <c r="AC36" s="175">
        <f>Private_2!AC36*'BTU Conversion Factor'!$F$4</f>
        <v>0</v>
      </c>
      <c r="AD36" s="175">
        <f>Private_2!AD36*'BTU Conversion Factor'!$F$4</f>
        <v>0</v>
      </c>
      <c r="AE36" s="175">
        <f>Private_2!AE36*'BTU Conversion Factor'!$F$4</f>
        <v>0</v>
      </c>
      <c r="AF36" s="175">
        <f>Private_2!AF36*'BTU Conversion Factor'!$F$4</f>
        <v>0</v>
      </c>
      <c r="AG36" s="175">
        <f>Private_2!AG36*'BTU Conversion Factor'!$F$4</f>
        <v>0</v>
      </c>
      <c r="AH36" s="175">
        <f>Private_2!AH36*'BTU Conversion Factor'!$F$4</f>
        <v>0</v>
      </c>
      <c r="AI36" s="175">
        <f>Private_2!AI36*'BTU Conversion Factor'!$F$4</f>
        <v>0</v>
      </c>
      <c r="AJ36" s="175">
        <f>Private_2!AJ36*'BTU Conversion Factor'!$F$4</f>
        <v>0</v>
      </c>
      <c r="AK36" s="175">
        <f>Private_2!AK36*'BTU Conversion Factor'!$F$4</f>
        <v>0</v>
      </c>
      <c r="AL36" s="175">
        <f>Private_2!AL36*'BTU Conversion Factor'!$F$4</f>
        <v>0</v>
      </c>
      <c r="AM36" s="175">
        <f>Private_2!AM36*'BTU Conversion Factor'!$F$4</f>
        <v>0</v>
      </c>
      <c r="AN36" s="175">
        <f>Private_2!AN36*'BTU Conversion Factor'!$F$4</f>
        <v>0</v>
      </c>
      <c r="AO36" s="175">
        <f>Private_2!AO36*'BTU Conversion Factor'!$F$4</f>
        <v>0</v>
      </c>
      <c r="AP36" s="175">
        <f>Private_2!AP36*'BTU Conversion Factor'!$F$4</f>
        <v>0</v>
      </c>
      <c r="AQ36" s="175">
        <f>Private_2!AQ36*'BTU Conversion Factor'!$F$4</f>
        <v>0</v>
      </c>
      <c r="AR36" s="175">
        <f>Private_2!AR36*'BTU Conversion Factor'!$F$4</f>
        <v>0</v>
      </c>
      <c r="AS36" s="175">
        <f>Private_2!AS36*'BTU Conversion Factor'!$F$4</f>
        <v>0</v>
      </c>
      <c r="AT36" s="175">
        <f>Private_2!AT36*'BTU Conversion Factor'!$F$4</f>
        <v>0</v>
      </c>
      <c r="AU36" s="175">
        <f>Private_2!AU36*'BTU Conversion Factor'!$F$4</f>
        <v>0</v>
      </c>
    </row>
    <row r="37" spans="1:47">
      <c r="B37" s="60" t="s">
        <v>670</v>
      </c>
      <c r="C37" s="175">
        <f>Private_2!C37*'BTU Conversion Factor'!$F$4</f>
        <v>0</v>
      </c>
      <c r="D37" s="175">
        <f>Private_2!D37*'BTU Conversion Factor'!$F$4</f>
        <v>0</v>
      </c>
      <c r="E37" s="175">
        <f>Private_2!E37*'BTU Conversion Factor'!$F$4</f>
        <v>0</v>
      </c>
      <c r="F37" s="175">
        <f>Private_2!F37*'BTU Conversion Factor'!$F$4</f>
        <v>0</v>
      </c>
      <c r="G37" s="175">
        <f>Private_2!G37*'BTU Conversion Factor'!$F$4</f>
        <v>0</v>
      </c>
      <c r="H37" s="175">
        <f>Private_2!H37*'BTU Conversion Factor'!$F$4</f>
        <v>0</v>
      </c>
      <c r="I37" s="175">
        <f>Private_2!I37*'BTU Conversion Factor'!$F$4</f>
        <v>0</v>
      </c>
      <c r="J37" s="175">
        <f>Private_2!J37*'BTU Conversion Factor'!$F$4</f>
        <v>0</v>
      </c>
      <c r="K37" s="175">
        <f>Private_2!K37*'BTU Conversion Factor'!$F$4</f>
        <v>0</v>
      </c>
      <c r="L37" s="175">
        <f>Private_2!L37*'BTU Conversion Factor'!$F$4</f>
        <v>0</v>
      </c>
      <c r="M37" s="175">
        <f>Private_2!M37*'BTU Conversion Factor'!$F$4</f>
        <v>0</v>
      </c>
      <c r="N37" s="175">
        <f>Private_2!N37*'BTU Conversion Factor'!$F$4</f>
        <v>0</v>
      </c>
      <c r="O37" s="175">
        <f>Private_2!O37*'BTU Conversion Factor'!$F$4</f>
        <v>0</v>
      </c>
      <c r="P37" s="175">
        <f>Private_2!P37*'BTU Conversion Factor'!$F$4</f>
        <v>0</v>
      </c>
      <c r="Q37" s="175">
        <f>Private_2!Q37*'BTU Conversion Factor'!$F$4</f>
        <v>0</v>
      </c>
      <c r="R37" s="175">
        <f>Private_2!R37*'BTU Conversion Factor'!$F$4</f>
        <v>0</v>
      </c>
      <c r="S37" s="175">
        <f>Private_2!S37*'BTU Conversion Factor'!$F$4</f>
        <v>0</v>
      </c>
      <c r="T37" s="175">
        <f>Private_2!T37*'BTU Conversion Factor'!$F$4</f>
        <v>0</v>
      </c>
      <c r="U37" s="175">
        <f>Private_2!U37*'BTU Conversion Factor'!$F$4</f>
        <v>0</v>
      </c>
      <c r="V37" s="175">
        <f>Private_2!V37*'BTU Conversion Factor'!$F$4</f>
        <v>0</v>
      </c>
      <c r="W37" s="175">
        <f>Private_2!W37*'BTU Conversion Factor'!$F$4</f>
        <v>0</v>
      </c>
      <c r="X37" s="175">
        <f>Private_2!X37*'BTU Conversion Factor'!$F$4</f>
        <v>0</v>
      </c>
      <c r="Y37" s="175">
        <f>Private_2!Y37*'BTU Conversion Factor'!$F$4</f>
        <v>0</v>
      </c>
      <c r="Z37" s="175">
        <f>Private_2!Z37*'BTU Conversion Factor'!$F$4</f>
        <v>0</v>
      </c>
      <c r="AA37" s="175">
        <f>Private_2!AA37*'BTU Conversion Factor'!$F$4</f>
        <v>0</v>
      </c>
      <c r="AB37" s="175">
        <f>Private_2!AB37*'BTU Conversion Factor'!$F$4</f>
        <v>0</v>
      </c>
      <c r="AC37" s="175">
        <f>Private_2!AC37*'BTU Conversion Factor'!$F$4</f>
        <v>0</v>
      </c>
      <c r="AD37" s="175">
        <f>Private_2!AD37*'BTU Conversion Factor'!$F$4</f>
        <v>0</v>
      </c>
      <c r="AE37" s="175">
        <f>Private_2!AE37*'BTU Conversion Factor'!$F$4</f>
        <v>0</v>
      </c>
      <c r="AF37" s="175">
        <f>Private_2!AF37*'BTU Conversion Factor'!$F$4</f>
        <v>0</v>
      </c>
      <c r="AG37" s="175">
        <f>Private_2!AG37*'BTU Conversion Factor'!$F$4</f>
        <v>0</v>
      </c>
      <c r="AH37" s="175">
        <f>Private_2!AH37*'BTU Conversion Factor'!$F$4</f>
        <v>0</v>
      </c>
      <c r="AI37" s="175">
        <f>Private_2!AI37*'BTU Conversion Factor'!$F$4</f>
        <v>0</v>
      </c>
      <c r="AJ37" s="175">
        <f>Private_2!AJ37*'BTU Conversion Factor'!$F$4</f>
        <v>0</v>
      </c>
      <c r="AK37" s="175">
        <f>Private_2!AK37*'BTU Conversion Factor'!$F$4</f>
        <v>0</v>
      </c>
      <c r="AL37" s="175">
        <f>Private_2!AL37*'BTU Conversion Factor'!$F$4</f>
        <v>0</v>
      </c>
      <c r="AM37" s="175">
        <f>Private_2!AM37*'BTU Conversion Factor'!$F$4</f>
        <v>0</v>
      </c>
      <c r="AN37" s="175">
        <f>Private_2!AN37*'BTU Conversion Factor'!$F$4</f>
        <v>0</v>
      </c>
      <c r="AO37" s="175">
        <f>Private_2!AO37*'BTU Conversion Factor'!$F$4</f>
        <v>0</v>
      </c>
      <c r="AP37" s="175">
        <f>Private_2!AP37*'BTU Conversion Factor'!$F$4</f>
        <v>0</v>
      </c>
      <c r="AQ37" s="175">
        <f>Private_2!AQ37*'BTU Conversion Factor'!$F$4</f>
        <v>0</v>
      </c>
      <c r="AR37" s="175">
        <f>Private_2!AR37*'BTU Conversion Factor'!$F$4</f>
        <v>0</v>
      </c>
      <c r="AS37" s="175">
        <f>Private_2!AS37*'BTU Conversion Factor'!$F$4</f>
        <v>0</v>
      </c>
      <c r="AT37" s="175">
        <f>Private_2!AT37*'BTU Conversion Factor'!$F$4</f>
        <v>0</v>
      </c>
      <c r="AU37" s="175">
        <f>Private_2!AU37*'BTU Conversion Factor'!$F$4</f>
        <v>0</v>
      </c>
    </row>
    <row r="39" spans="1:47" s="64" customFormat="1">
      <c r="A39" s="124" t="s">
        <v>33</v>
      </c>
    </row>
    <row r="40" spans="1:47" s="60" customFormat="1">
      <c r="B40" s="60" t="s">
        <v>0</v>
      </c>
      <c r="C40" s="60">
        <v>2006</v>
      </c>
      <c r="D40" s="60">
        <v>2007</v>
      </c>
      <c r="E40" s="60">
        <v>2008</v>
      </c>
      <c r="F40" s="60">
        <v>2009</v>
      </c>
      <c r="G40" s="60">
        <v>2010</v>
      </c>
      <c r="H40" s="60">
        <v>2011</v>
      </c>
      <c r="I40" s="60">
        <v>2012</v>
      </c>
      <c r="J40" s="60">
        <v>2013</v>
      </c>
      <c r="K40" s="60">
        <v>2014</v>
      </c>
      <c r="L40" s="60">
        <v>2015</v>
      </c>
      <c r="M40" s="60">
        <v>2016</v>
      </c>
      <c r="N40" s="60">
        <v>2017</v>
      </c>
      <c r="O40" s="60">
        <v>2018</v>
      </c>
      <c r="P40" s="60">
        <v>2019</v>
      </c>
      <c r="Q40" s="60">
        <v>2020</v>
      </c>
      <c r="R40" s="60">
        <v>2021</v>
      </c>
      <c r="S40" s="60">
        <v>2022</v>
      </c>
      <c r="T40" s="60">
        <v>2023</v>
      </c>
      <c r="U40" s="60">
        <v>2024</v>
      </c>
      <c r="V40" s="60">
        <v>2025</v>
      </c>
      <c r="W40" s="60">
        <v>2026</v>
      </c>
      <c r="X40" s="60">
        <v>2027</v>
      </c>
      <c r="Y40" s="60">
        <v>2028</v>
      </c>
      <c r="Z40" s="60">
        <v>2029</v>
      </c>
      <c r="AA40" s="60">
        <v>2030</v>
      </c>
      <c r="AB40" s="60">
        <v>2031</v>
      </c>
      <c r="AC40" s="60">
        <v>2032</v>
      </c>
      <c r="AD40" s="60">
        <v>2033</v>
      </c>
      <c r="AE40" s="60">
        <v>2034</v>
      </c>
      <c r="AF40" s="60">
        <v>2035</v>
      </c>
      <c r="AG40" s="60">
        <v>2036</v>
      </c>
      <c r="AH40" s="60">
        <v>2037</v>
      </c>
      <c r="AI40" s="60">
        <v>2038</v>
      </c>
      <c r="AJ40" s="60">
        <v>2039</v>
      </c>
      <c r="AK40" s="60">
        <v>2040</v>
      </c>
      <c r="AL40" s="60">
        <v>2041</v>
      </c>
      <c r="AM40" s="60">
        <v>2042</v>
      </c>
      <c r="AN40" s="60">
        <v>2043</v>
      </c>
      <c r="AO40" s="60">
        <v>2044</v>
      </c>
      <c r="AP40" s="60">
        <v>2045</v>
      </c>
      <c r="AQ40" s="60">
        <v>2046</v>
      </c>
      <c r="AR40" s="60">
        <v>2047</v>
      </c>
      <c r="AS40" s="60">
        <v>2048</v>
      </c>
      <c r="AT40" s="60">
        <v>2049</v>
      </c>
      <c r="AU40" s="60">
        <v>2050</v>
      </c>
    </row>
    <row r="41" spans="1:47">
      <c r="B41" s="60" t="s">
        <v>665</v>
      </c>
      <c r="C41" s="175">
        <f>Private_2!C41*'BTU Conversion Factor'!$F$4</f>
        <v>809982925117.67322</v>
      </c>
      <c r="D41" s="175">
        <f>Private_2!D41*'BTU Conversion Factor'!$F$4</f>
        <v>856331179396.29333</v>
      </c>
      <c r="E41" s="175">
        <f>Private_2!E41*'BTU Conversion Factor'!$F$4</f>
        <v>891719598838.82349</v>
      </c>
      <c r="F41" s="175">
        <f>Private_2!F41*'BTU Conversion Factor'!$F$4</f>
        <v>1056716482133.3335</v>
      </c>
      <c r="G41" s="175">
        <f>Private_2!G41*'BTU Conversion Factor'!$F$4</f>
        <v>1196376835785.4255</v>
      </c>
      <c r="H41" s="175">
        <f>Private_2!H41*'BTU Conversion Factor'!$F$4</f>
        <v>1451405604931.3855</v>
      </c>
      <c r="I41" s="175">
        <f>Private_2!I41*'BTU Conversion Factor'!$F$4</f>
        <v>1812478205625.4778</v>
      </c>
      <c r="J41" s="175">
        <f>Private_2!J41*'BTU Conversion Factor'!$F$4</f>
        <v>1924617373211.7075</v>
      </c>
      <c r="K41" s="175">
        <f>Private_2!K41*'BTU Conversion Factor'!$F$4</f>
        <v>1923278688997.4248</v>
      </c>
      <c r="L41" s="175">
        <f>Private_2!L41*'BTU Conversion Factor'!$F$4</f>
        <v>1831568586906.1414</v>
      </c>
      <c r="M41" s="175">
        <f>Private_2!M41*'BTU Conversion Factor'!$F$4</f>
        <v>1943453500568.9275</v>
      </c>
      <c r="N41" s="175">
        <f>Private_2!N41*'BTU Conversion Factor'!$F$4</f>
        <v>2100735374183.9329</v>
      </c>
      <c r="O41" s="175">
        <f>Private_2!O41*'BTU Conversion Factor'!$F$4</f>
        <v>2137880630243.282</v>
      </c>
      <c r="P41" s="175">
        <f>Private_2!P41*'BTU Conversion Factor'!$F$4</f>
        <v>2173213245097.6921</v>
      </c>
      <c r="Q41" s="175">
        <f>Private_2!Q41*'BTU Conversion Factor'!$F$4</f>
        <v>2210062611404.2798</v>
      </c>
      <c r="R41" s="175">
        <f>Private_2!R41*'BTU Conversion Factor'!$F$4</f>
        <v>2245775526066.2422</v>
      </c>
      <c r="S41" s="175">
        <f>Private_2!S41*'BTU Conversion Factor'!$F$4</f>
        <v>2281560690655.0581</v>
      </c>
      <c r="T41" s="175">
        <f>Private_2!T41*'BTU Conversion Factor'!$F$4</f>
        <v>2317229623633.9692</v>
      </c>
      <c r="U41" s="175">
        <f>Private_2!U41*'BTU Conversion Factor'!$F$4</f>
        <v>2351828151468.7354</v>
      </c>
      <c r="V41" s="175">
        <f>Private_2!V41*'BTU Conversion Factor'!$F$4</f>
        <v>2385929365544.2134</v>
      </c>
      <c r="W41" s="175">
        <f>Private_2!W41*'BTU Conversion Factor'!$F$4</f>
        <v>2419170119648.1011</v>
      </c>
      <c r="X41" s="175">
        <f>Private_2!X41*'BTU Conversion Factor'!$F$4</f>
        <v>2452048081189.2002</v>
      </c>
      <c r="Y41" s="175">
        <f>Private_2!Y41*'BTU Conversion Factor'!$F$4</f>
        <v>2485583601014.1138</v>
      </c>
      <c r="Z41" s="175">
        <f>Private_2!Z41*'BTU Conversion Factor'!$F$4</f>
        <v>2519309599177.5884</v>
      </c>
      <c r="AA41" s="175">
        <f>Private_2!AA41*'BTU Conversion Factor'!$F$4</f>
        <v>2552677688434.4976</v>
      </c>
      <c r="AB41" s="175">
        <f>Private_2!AB41*'BTU Conversion Factor'!$F$4</f>
        <v>2586025366529.375</v>
      </c>
      <c r="AC41" s="175">
        <f>Private_2!AC41*'BTU Conversion Factor'!$F$4</f>
        <v>2619441550320.8721</v>
      </c>
      <c r="AD41" s="175">
        <f>Private_2!AD41*'BTU Conversion Factor'!$F$4</f>
        <v>2653183051535.667</v>
      </c>
      <c r="AE41" s="175">
        <f>Private_2!AE41*'BTU Conversion Factor'!$F$4</f>
        <v>2686585992815.1196</v>
      </c>
      <c r="AF41" s="175">
        <f>Private_2!AF41*'BTU Conversion Factor'!$F$4</f>
        <v>2719164111812.2188</v>
      </c>
      <c r="AG41" s="175">
        <f>Private_2!AG41*'BTU Conversion Factor'!$F$4</f>
        <v>2751124196591.9893</v>
      </c>
      <c r="AH41" s="175">
        <f>Private_2!AH41*'BTU Conversion Factor'!$F$4</f>
        <v>2782374199183.5068</v>
      </c>
      <c r="AI41" s="175">
        <f>Private_2!AI41*'BTU Conversion Factor'!$F$4</f>
        <v>2812681979409.9663</v>
      </c>
      <c r="AJ41" s="175">
        <f>Private_2!AJ41*'BTU Conversion Factor'!$F$4</f>
        <v>2841669412864.6035</v>
      </c>
      <c r="AK41" s="175">
        <f>Private_2!AK41*'BTU Conversion Factor'!$F$4</f>
        <v>2869610661726.9536</v>
      </c>
      <c r="AL41" s="175">
        <f>Private_2!AL41*'BTU Conversion Factor'!$F$4</f>
        <v>2896261318062.8838</v>
      </c>
      <c r="AM41" s="175">
        <f>Private_2!AM41*'BTU Conversion Factor'!$F$4</f>
        <v>2921760747158.8564</v>
      </c>
      <c r="AN41" s="175">
        <f>Private_2!AN41*'BTU Conversion Factor'!$F$4</f>
        <v>2946648383732.9468</v>
      </c>
      <c r="AO41" s="175">
        <f>Private_2!AO41*'BTU Conversion Factor'!$F$4</f>
        <v>2970759440414.0103</v>
      </c>
      <c r="AP41" s="175">
        <f>Private_2!AP41*'BTU Conversion Factor'!$F$4</f>
        <v>2993814851511.2822</v>
      </c>
      <c r="AQ41" s="175">
        <f>Private_2!AQ41*'BTU Conversion Factor'!$F$4</f>
        <v>3015931247699.9233</v>
      </c>
      <c r="AR41" s="175">
        <f>Private_2!AR41*'BTU Conversion Factor'!$F$4</f>
        <v>3036711211999.7197</v>
      </c>
      <c r="AS41" s="175">
        <f>Private_2!AS41*'BTU Conversion Factor'!$F$4</f>
        <v>3056716178279.624</v>
      </c>
      <c r="AT41" s="175">
        <f>Private_2!AT41*'BTU Conversion Factor'!$F$4</f>
        <v>3075585456566.772</v>
      </c>
      <c r="AU41" s="175">
        <f>Private_2!AU41*'BTU Conversion Factor'!$F$4</f>
        <v>3093364827251.0674</v>
      </c>
    </row>
    <row r="42" spans="1:47">
      <c r="B42" s="60" t="s">
        <v>666</v>
      </c>
      <c r="C42" s="175">
        <f>Private_2!C42*'BTU Conversion Factor'!$F$4</f>
        <v>0</v>
      </c>
      <c r="D42" s="175">
        <f>Private_2!D42*'BTU Conversion Factor'!$F$4</f>
        <v>0</v>
      </c>
      <c r="E42" s="175">
        <f>Private_2!E42*'BTU Conversion Factor'!$F$4</f>
        <v>0</v>
      </c>
      <c r="F42" s="175">
        <f>Private_2!F42*'BTU Conversion Factor'!$F$4</f>
        <v>0</v>
      </c>
      <c r="G42" s="175">
        <f>Private_2!G42*'BTU Conversion Factor'!$F$4</f>
        <v>0</v>
      </c>
      <c r="H42" s="175">
        <f>Private_2!H42*'BTU Conversion Factor'!$F$4</f>
        <v>0</v>
      </c>
      <c r="I42" s="175">
        <f>Private_2!I42*'BTU Conversion Factor'!$F$4</f>
        <v>0</v>
      </c>
      <c r="J42" s="175">
        <f>Private_2!J42*'BTU Conversion Factor'!$F$4</f>
        <v>0</v>
      </c>
      <c r="K42" s="175">
        <f>Private_2!K42*'BTU Conversion Factor'!$F$4</f>
        <v>0</v>
      </c>
      <c r="L42" s="175">
        <f>Private_2!L42*'BTU Conversion Factor'!$F$4</f>
        <v>0</v>
      </c>
      <c r="M42" s="175">
        <f>Private_2!M42*'BTU Conversion Factor'!$F$4</f>
        <v>0</v>
      </c>
      <c r="N42" s="175">
        <f>Private_2!N42*'BTU Conversion Factor'!$F$4</f>
        <v>0</v>
      </c>
      <c r="O42" s="175">
        <f>Private_2!O42*'BTU Conversion Factor'!$F$4</f>
        <v>0</v>
      </c>
      <c r="P42" s="175">
        <f>Private_2!P42*'BTU Conversion Factor'!$F$4</f>
        <v>0</v>
      </c>
      <c r="Q42" s="175">
        <f>Private_2!Q42*'BTU Conversion Factor'!$F$4</f>
        <v>0</v>
      </c>
      <c r="R42" s="175">
        <f>Private_2!R42*'BTU Conversion Factor'!$F$4</f>
        <v>0</v>
      </c>
      <c r="S42" s="175">
        <f>Private_2!S42*'BTU Conversion Factor'!$F$4</f>
        <v>0</v>
      </c>
      <c r="T42" s="175">
        <f>Private_2!T42*'BTU Conversion Factor'!$F$4</f>
        <v>0</v>
      </c>
      <c r="U42" s="175">
        <f>Private_2!U42*'BTU Conversion Factor'!$F$4</f>
        <v>0</v>
      </c>
      <c r="V42" s="175">
        <f>Private_2!V42*'BTU Conversion Factor'!$F$4</f>
        <v>0</v>
      </c>
      <c r="W42" s="175">
        <f>Private_2!W42*'BTU Conversion Factor'!$F$4</f>
        <v>0</v>
      </c>
      <c r="X42" s="175">
        <f>Private_2!X42*'BTU Conversion Factor'!$F$4</f>
        <v>0</v>
      </c>
      <c r="Y42" s="175">
        <f>Private_2!Y42*'BTU Conversion Factor'!$F$4</f>
        <v>0</v>
      </c>
      <c r="Z42" s="175">
        <f>Private_2!Z42*'BTU Conversion Factor'!$F$4</f>
        <v>0</v>
      </c>
      <c r="AA42" s="175">
        <f>Private_2!AA42*'BTU Conversion Factor'!$F$4</f>
        <v>0</v>
      </c>
      <c r="AB42" s="175">
        <f>Private_2!AB42*'BTU Conversion Factor'!$F$4</f>
        <v>0</v>
      </c>
      <c r="AC42" s="175">
        <f>Private_2!AC42*'BTU Conversion Factor'!$F$4</f>
        <v>0</v>
      </c>
      <c r="AD42" s="175">
        <f>Private_2!AD42*'BTU Conversion Factor'!$F$4</f>
        <v>0</v>
      </c>
      <c r="AE42" s="175">
        <f>Private_2!AE42*'BTU Conversion Factor'!$F$4</f>
        <v>0</v>
      </c>
      <c r="AF42" s="175">
        <f>Private_2!AF42*'BTU Conversion Factor'!$F$4</f>
        <v>0</v>
      </c>
      <c r="AG42" s="175">
        <f>Private_2!AG42*'BTU Conversion Factor'!$F$4</f>
        <v>0</v>
      </c>
      <c r="AH42" s="175">
        <f>Private_2!AH42*'BTU Conversion Factor'!$F$4</f>
        <v>0</v>
      </c>
      <c r="AI42" s="175">
        <f>Private_2!AI42*'BTU Conversion Factor'!$F$4</f>
        <v>0</v>
      </c>
      <c r="AJ42" s="175">
        <f>Private_2!AJ42*'BTU Conversion Factor'!$F$4</f>
        <v>0</v>
      </c>
      <c r="AK42" s="175">
        <f>Private_2!AK42*'BTU Conversion Factor'!$F$4</f>
        <v>0</v>
      </c>
      <c r="AL42" s="175">
        <f>Private_2!AL42*'BTU Conversion Factor'!$F$4</f>
        <v>0</v>
      </c>
      <c r="AM42" s="175">
        <f>Private_2!AM42*'BTU Conversion Factor'!$F$4</f>
        <v>0</v>
      </c>
      <c r="AN42" s="175">
        <f>Private_2!AN42*'BTU Conversion Factor'!$F$4</f>
        <v>0</v>
      </c>
      <c r="AO42" s="175">
        <f>Private_2!AO42*'BTU Conversion Factor'!$F$4</f>
        <v>0</v>
      </c>
      <c r="AP42" s="175">
        <f>Private_2!AP42*'BTU Conversion Factor'!$F$4</f>
        <v>0</v>
      </c>
      <c r="AQ42" s="175">
        <f>Private_2!AQ42*'BTU Conversion Factor'!$F$4</f>
        <v>0</v>
      </c>
      <c r="AR42" s="175">
        <f>Private_2!AR42*'BTU Conversion Factor'!$F$4</f>
        <v>0</v>
      </c>
      <c r="AS42" s="175">
        <f>Private_2!AS42*'BTU Conversion Factor'!$F$4</f>
        <v>0</v>
      </c>
      <c r="AT42" s="175">
        <f>Private_2!AT42*'BTU Conversion Factor'!$F$4</f>
        <v>0</v>
      </c>
      <c r="AU42" s="175">
        <f>Private_2!AU42*'BTU Conversion Factor'!$F$4</f>
        <v>0</v>
      </c>
    </row>
    <row r="43" spans="1:47">
      <c r="B43" s="60" t="s">
        <v>667</v>
      </c>
      <c r="C43" s="175">
        <f>Private_2!C43*'BTU Conversion Factor'!$F$4</f>
        <v>8245561607.8096399</v>
      </c>
      <c r="D43" s="175">
        <f>Private_2!D43*'BTU Conversion Factor'!$F$4</f>
        <v>9269830756.0975609</v>
      </c>
      <c r="E43" s="175">
        <f>Private_2!E43*'BTU Conversion Factor'!$F$4</f>
        <v>10285081403.133902</v>
      </c>
      <c r="F43" s="175">
        <f>Private_2!F43*'BTU Conversion Factor'!$F$4</f>
        <v>6195573251.9083977</v>
      </c>
      <c r="G43" s="175">
        <f>Private_2!G43*'BTU Conversion Factor'!$F$4</f>
        <v>3191050078.125</v>
      </c>
      <c r="H43" s="175">
        <f>Private_2!H43*'BTU Conversion Factor'!$F$4</f>
        <v>2108156990.212461</v>
      </c>
      <c r="I43" s="175">
        <f>Private_2!I43*'BTU Conversion Factor'!$F$4</f>
        <v>1065213083.6120402</v>
      </c>
      <c r="J43" s="175">
        <f>Private_2!J43*'BTU Conversion Factor'!$F$4</f>
        <v>0</v>
      </c>
      <c r="K43" s="175">
        <f>Private_2!K43*'BTU Conversion Factor'!$F$4</f>
        <v>1089052927.8713243</v>
      </c>
      <c r="L43" s="175">
        <f>Private_2!L43*'BTU Conversion Factor'!$F$4</f>
        <v>1096874503.3112583</v>
      </c>
      <c r="M43" s="175">
        <f>Private_2!M43*'BTU Conversion Factor'!$F$4</f>
        <v>1091237176.5302243</v>
      </c>
      <c r="N43" s="175">
        <f>Private_2!N43*'BTU Conversion Factor'!$F$4</f>
        <v>544291373.08186996</v>
      </c>
      <c r="O43" s="175">
        <f>Private_2!O43*'BTU Conversion Factor'!$F$4</f>
        <v>543156701.66029513</v>
      </c>
      <c r="P43" s="175">
        <f>Private_2!P43*'BTU Conversion Factor'!$F$4</f>
        <v>541311524.84370387</v>
      </c>
      <c r="Q43" s="175">
        <f>Private_2!Q43*'BTU Conversion Factor'!$F$4</f>
        <v>539599585.08080578</v>
      </c>
      <c r="R43" s="175">
        <f>Private_2!R43*'BTU Conversion Factor'!$F$4</f>
        <v>537367529.50152469</v>
      </c>
      <c r="S43" s="175">
        <f>Private_2!S43*'BTU Conversion Factor'!$F$4</f>
        <v>534919041.97282803</v>
      </c>
      <c r="T43" s="175">
        <f>Private_2!T43*'BTU Conversion Factor'!$F$4</f>
        <v>532213395.1888485</v>
      </c>
      <c r="U43" s="175">
        <f>Private_2!U43*'BTU Conversion Factor'!$F$4</f>
        <v>529041132.21032369</v>
      </c>
      <c r="V43" s="175">
        <f>Private_2!V43*'BTU Conversion Factor'!$F$4</f>
        <v>525546960.80318278</v>
      </c>
      <c r="W43" s="175">
        <f>Private_2!W43*'BTU Conversion Factor'!$F$4</f>
        <v>521662708.4746924</v>
      </c>
      <c r="X43" s="175">
        <f>Private_2!X43*'BTU Conversion Factor'!$F$4</f>
        <v>517508335.52039057</v>
      </c>
      <c r="Y43" s="175">
        <f>Private_2!Y43*'BTU Conversion Factor'!$F$4</f>
        <v>513302406.48376584</v>
      </c>
      <c r="Z43" s="175">
        <f>Private_2!Z43*'BTU Conversion Factor'!$F$4</f>
        <v>508944499.03680497</v>
      </c>
      <c r="AA43" s="175">
        <f>Private_2!AA43*'BTU Conversion Factor'!$F$4</f>
        <v>504326561.10632807</v>
      </c>
      <c r="AB43" s="175">
        <f>Private_2!AB43*'BTU Conversion Factor'!$F$4</f>
        <v>499521318.47352695</v>
      </c>
      <c r="AC43" s="175">
        <f>Private_2!AC43*'BTU Conversion Factor'!$F$4</f>
        <v>494548527.57738847</v>
      </c>
      <c r="AD43" s="175">
        <f>Private_2!AD43*'BTU Conversion Factor'!$F$4</f>
        <v>489457323.47670263</v>
      </c>
      <c r="AE43" s="175">
        <f>Private_2!AE43*'BTU Conversion Factor'!$F$4</f>
        <v>484126503.10235697</v>
      </c>
      <c r="AF43" s="175">
        <f>Private_2!AF43*'BTU Conversion Factor'!$F$4</f>
        <v>478477397.87046081</v>
      </c>
      <c r="AG43" s="175">
        <f>Private_2!AG43*'BTU Conversion Factor'!$F$4</f>
        <v>472558411.83626759</v>
      </c>
      <c r="AH43" s="175">
        <f>Private_2!AH43*'BTU Conversion Factor'!$F$4</f>
        <v>466364175.76675248</v>
      </c>
      <c r="AI43" s="175">
        <f>Private_2!AI43*'BTU Conversion Factor'!$F$4</f>
        <v>459867739.06887245</v>
      </c>
      <c r="AJ43" s="175">
        <f>Private_2!AJ43*'BTU Conversion Factor'!$F$4</f>
        <v>453022454.63309312</v>
      </c>
      <c r="AK43" s="175">
        <f>Private_2!AK43*'BTU Conversion Factor'!$F$4</f>
        <v>445888879.6343174</v>
      </c>
      <c r="AL43" s="175">
        <f>Private_2!AL43*'BTU Conversion Factor'!$F$4</f>
        <v>438444343.94912833</v>
      </c>
      <c r="AM43" s="175">
        <f>Private_2!AM43*'BTU Conversion Factor'!$F$4</f>
        <v>430726359.10729283</v>
      </c>
      <c r="AN43" s="175">
        <f>Private_2!AN43*'BTU Conversion Factor'!$F$4</f>
        <v>422827339.60411358</v>
      </c>
      <c r="AO43" s="175">
        <f>Private_2!AO43*'BTU Conversion Factor'!$F$4</f>
        <v>414732716.31170583</v>
      </c>
      <c r="AP43" s="175">
        <f>Private_2!AP43*'BTU Conversion Factor'!$F$4</f>
        <v>406414790.87057871</v>
      </c>
      <c r="AQ43" s="175">
        <f>Private_2!AQ43*'BTU Conversion Factor'!$F$4</f>
        <v>397902145.21403211</v>
      </c>
      <c r="AR43" s="175">
        <f>Private_2!AR43*'BTU Conversion Factor'!$F$4</f>
        <v>389155479.55767429</v>
      </c>
      <c r="AS43" s="175">
        <f>Private_2!AS43*'BTU Conversion Factor'!$F$4</f>
        <v>380260524.03743696</v>
      </c>
      <c r="AT43" s="175">
        <f>Private_2!AT43*'BTU Conversion Factor'!$F$4</f>
        <v>371183090.20431232</v>
      </c>
      <c r="AU43" s="175">
        <f>Private_2!AU43*'BTU Conversion Factor'!$F$4</f>
        <v>361941691.38752067</v>
      </c>
    </row>
    <row r="44" spans="1:47">
      <c r="B44" s="60" t="s">
        <v>668</v>
      </c>
      <c r="C44" s="175">
        <f>Private_2!C44*'BTU Conversion Factor'!$F$4</f>
        <v>0</v>
      </c>
      <c r="D44" s="175">
        <f>Private_2!D44*'BTU Conversion Factor'!$F$4</f>
        <v>0</v>
      </c>
      <c r="E44" s="175">
        <f>Private_2!E44*'BTU Conversion Factor'!$F$4</f>
        <v>0</v>
      </c>
      <c r="F44" s="175">
        <f>Private_2!F44*'BTU Conversion Factor'!$F$4</f>
        <v>0</v>
      </c>
      <c r="G44" s="175">
        <f>Private_2!G44*'BTU Conversion Factor'!$F$4</f>
        <v>0</v>
      </c>
      <c r="H44" s="175">
        <f>Private_2!H44*'BTU Conversion Factor'!$F$4</f>
        <v>0</v>
      </c>
      <c r="I44" s="175">
        <f>Private_2!I44*'BTU Conversion Factor'!$F$4</f>
        <v>0</v>
      </c>
      <c r="J44" s="175">
        <f>Private_2!J44*'BTU Conversion Factor'!$F$4</f>
        <v>0</v>
      </c>
      <c r="K44" s="175">
        <f>Private_2!K44*'BTU Conversion Factor'!$F$4</f>
        <v>0</v>
      </c>
      <c r="L44" s="175">
        <f>Private_2!L44*'BTU Conversion Factor'!$F$4</f>
        <v>0</v>
      </c>
      <c r="M44" s="175">
        <f>Private_2!M44*'BTU Conversion Factor'!$F$4</f>
        <v>0</v>
      </c>
      <c r="N44" s="175">
        <f>Private_2!N44*'BTU Conversion Factor'!$F$4</f>
        <v>0</v>
      </c>
      <c r="O44" s="175">
        <f>Private_2!O44*'BTU Conversion Factor'!$F$4</f>
        <v>0</v>
      </c>
      <c r="P44" s="175">
        <f>Private_2!P44*'BTU Conversion Factor'!$F$4</f>
        <v>0</v>
      </c>
      <c r="Q44" s="175">
        <f>Private_2!Q44*'BTU Conversion Factor'!$F$4</f>
        <v>0</v>
      </c>
      <c r="R44" s="175">
        <f>Private_2!R44*'BTU Conversion Factor'!$F$4</f>
        <v>0</v>
      </c>
      <c r="S44" s="175">
        <f>Private_2!S44*'BTU Conversion Factor'!$F$4</f>
        <v>0</v>
      </c>
      <c r="T44" s="175">
        <f>Private_2!T44*'BTU Conversion Factor'!$F$4</f>
        <v>0</v>
      </c>
      <c r="U44" s="175">
        <f>Private_2!U44*'BTU Conversion Factor'!$F$4</f>
        <v>0</v>
      </c>
      <c r="V44" s="175">
        <f>Private_2!V44*'BTU Conversion Factor'!$F$4</f>
        <v>0</v>
      </c>
      <c r="W44" s="175">
        <f>Private_2!W44*'BTU Conversion Factor'!$F$4</f>
        <v>0</v>
      </c>
      <c r="X44" s="175">
        <f>Private_2!X44*'BTU Conversion Factor'!$F$4</f>
        <v>0</v>
      </c>
      <c r="Y44" s="175">
        <f>Private_2!Y44*'BTU Conversion Factor'!$F$4</f>
        <v>0</v>
      </c>
      <c r="Z44" s="175">
        <f>Private_2!Z44*'BTU Conversion Factor'!$F$4</f>
        <v>0</v>
      </c>
      <c r="AA44" s="175">
        <f>Private_2!AA44*'BTU Conversion Factor'!$F$4</f>
        <v>0</v>
      </c>
      <c r="AB44" s="175">
        <f>Private_2!AB44*'BTU Conversion Factor'!$F$4</f>
        <v>0</v>
      </c>
      <c r="AC44" s="175">
        <f>Private_2!AC44*'BTU Conversion Factor'!$F$4</f>
        <v>0</v>
      </c>
      <c r="AD44" s="175">
        <f>Private_2!AD44*'BTU Conversion Factor'!$F$4</f>
        <v>0</v>
      </c>
      <c r="AE44" s="175">
        <f>Private_2!AE44*'BTU Conversion Factor'!$F$4</f>
        <v>0</v>
      </c>
      <c r="AF44" s="175">
        <f>Private_2!AF44*'BTU Conversion Factor'!$F$4</f>
        <v>0</v>
      </c>
      <c r="AG44" s="175">
        <f>Private_2!AG44*'BTU Conversion Factor'!$F$4</f>
        <v>0</v>
      </c>
      <c r="AH44" s="175">
        <f>Private_2!AH44*'BTU Conversion Factor'!$F$4</f>
        <v>0</v>
      </c>
      <c r="AI44" s="175">
        <f>Private_2!AI44*'BTU Conversion Factor'!$F$4</f>
        <v>0</v>
      </c>
      <c r="AJ44" s="175">
        <f>Private_2!AJ44*'BTU Conversion Factor'!$F$4</f>
        <v>0</v>
      </c>
      <c r="AK44" s="175">
        <f>Private_2!AK44*'BTU Conversion Factor'!$F$4</f>
        <v>0</v>
      </c>
      <c r="AL44" s="175">
        <f>Private_2!AL44*'BTU Conversion Factor'!$F$4</f>
        <v>0</v>
      </c>
      <c r="AM44" s="175">
        <f>Private_2!AM44*'BTU Conversion Factor'!$F$4</f>
        <v>0</v>
      </c>
      <c r="AN44" s="175">
        <f>Private_2!AN44*'BTU Conversion Factor'!$F$4</f>
        <v>0</v>
      </c>
      <c r="AO44" s="175">
        <f>Private_2!AO44*'BTU Conversion Factor'!$F$4</f>
        <v>0</v>
      </c>
      <c r="AP44" s="175">
        <f>Private_2!AP44*'BTU Conversion Factor'!$F$4</f>
        <v>0</v>
      </c>
      <c r="AQ44" s="175">
        <f>Private_2!AQ44*'BTU Conversion Factor'!$F$4</f>
        <v>0</v>
      </c>
      <c r="AR44" s="175">
        <f>Private_2!AR44*'BTU Conversion Factor'!$F$4</f>
        <v>0</v>
      </c>
      <c r="AS44" s="175">
        <f>Private_2!AS44*'BTU Conversion Factor'!$F$4</f>
        <v>0</v>
      </c>
      <c r="AT44" s="175">
        <f>Private_2!AT44*'BTU Conversion Factor'!$F$4</f>
        <v>0</v>
      </c>
      <c r="AU44" s="175">
        <f>Private_2!AU44*'BTU Conversion Factor'!$F$4</f>
        <v>0</v>
      </c>
    </row>
    <row r="45" spans="1:47">
      <c r="B45" s="60" t="s">
        <v>669</v>
      </c>
      <c r="C45" s="175">
        <f>Private_2!C45*'BTU Conversion Factor'!$F$4</f>
        <v>0</v>
      </c>
      <c r="D45" s="175">
        <f>Private_2!D45*'BTU Conversion Factor'!$F$4</f>
        <v>0</v>
      </c>
      <c r="E45" s="175">
        <f>Private_2!E45*'BTU Conversion Factor'!$F$4</f>
        <v>0</v>
      </c>
      <c r="F45" s="175">
        <f>Private_2!F45*'BTU Conversion Factor'!$F$4</f>
        <v>0</v>
      </c>
      <c r="G45" s="175">
        <f>Private_2!G45*'BTU Conversion Factor'!$F$4</f>
        <v>0</v>
      </c>
      <c r="H45" s="175">
        <f>Private_2!H45*'BTU Conversion Factor'!$F$4</f>
        <v>0</v>
      </c>
      <c r="I45" s="175">
        <f>Private_2!I45*'BTU Conversion Factor'!$F$4</f>
        <v>0</v>
      </c>
      <c r="J45" s="175">
        <f>Private_2!J45*'BTU Conversion Factor'!$F$4</f>
        <v>0</v>
      </c>
      <c r="K45" s="175">
        <f>Private_2!K45*'BTU Conversion Factor'!$F$4</f>
        <v>0</v>
      </c>
      <c r="L45" s="175">
        <f>Private_2!L45*'BTU Conversion Factor'!$F$4</f>
        <v>0</v>
      </c>
      <c r="M45" s="175">
        <f>Private_2!M45*'BTU Conversion Factor'!$F$4</f>
        <v>0</v>
      </c>
      <c r="N45" s="175">
        <f>Private_2!N45*'BTU Conversion Factor'!$F$4</f>
        <v>0</v>
      </c>
      <c r="O45" s="175">
        <f>Private_2!O45*'BTU Conversion Factor'!$F$4</f>
        <v>0</v>
      </c>
      <c r="P45" s="175">
        <f>Private_2!P45*'BTU Conversion Factor'!$F$4</f>
        <v>0</v>
      </c>
      <c r="Q45" s="175">
        <f>Private_2!Q45*'BTU Conversion Factor'!$F$4</f>
        <v>0</v>
      </c>
      <c r="R45" s="175">
        <f>Private_2!R45*'BTU Conversion Factor'!$F$4</f>
        <v>0</v>
      </c>
      <c r="S45" s="175">
        <f>Private_2!S45*'BTU Conversion Factor'!$F$4</f>
        <v>0</v>
      </c>
      <c r="T45" s="175">
        <f>Private_2!T45*'BTU Conversion Factor'!$F$4</f>
        <v>0</v>
      </c>
      <c r="U45" s="175">
        <f>Private_2!U45*'BTU Conversion Factor'!$F$4</f>
        <v>0</v>
      </c>
      <c r="V45" s="175">
        <f>Private_2!V45*'BTU Conversion Factor'!$F$4</f>
        <v>0</v>
      </c>
      <c r="W45" s="175">
        <f>Private_2!W45*'BTU Conversion Factor'!$F$4</f>
        <v>0</v>
      </c>
      <c r="X45" s="175">
        <f>Private_2!X45*'BTU Conversion Factor'!$F$4</f>
        <v>0</v>
      </c>
      <c r="Y45" s="175">
        <f>Private_2!Y45*'BTU Conversion Factor'!$F$4</f>
        <v>0</v>
      </c>
      <c r="Z45" s="175">
        <f>Private_2!Z45*'BTU Conversion Factor'!$F$4</f>
        <v>0</v>
      </c>
      <c r="AA45" s="175">
        <f>Private_2!AA45*'BTU Conversion Factor'!$F$4</f>
        <v>0</v>
      </c>
      <c r="AB45" s="175">
        <f>Private_2!AB45*'BTU Conversion Factor'!$F$4</f>
        <v>0</v>
      </c>
      <c r="AC45" s="175">
        <f>Private_2!AC45*'BTU Conversion Factor'!$F$4</f>
        <v>0</v>
      </c>
      <c r="AD45" s="175">
        <f>Private_2!AD45*'BTU Conversion Factor'!$F$4</f>
        <v>0</v>
      </c>
      <c r="AE45" s="175">
        <f>Private_2!AE45*'BTU Conversion Factor'!$F$4</f>
        <v>0</v>
      </c>
      <c r="AF45" s="175">
        <f>Private_2!AF45*'BTU Conversion Factor'!$F$4</f>
        <v>0</v>
      </c>
      <c r="AG45" s="175">
        <f>Private_2!AG45*'BTU Conversion Factor'!$F$4</f>
        <v>0</v>
      </c>
      <c r="AH45" s="175">
        <f>Private_2!AH45*'BTU Conversion Factor'!$F$4</f>
        <v>0</v>
      </c>
      <c r="AI45" s="175">
        <f>Private_2!AI45*'BTU Conversion Factor'!$F$4</f>
        <v>0</v>
      </c>
      <c r="AJ45" s="175">
        <f>Private_2!AJ45*'BTU Conversion Factor'!$F$4</f>
        <v>0</v>
      </c>
      <c r="AK45" s="175">
        <f>Private_2!AK45*'BTU Conversion Factor'!$F$4</f>
        <v>0</v>
      </c>
      <c r="AL45" s="175">
        <f>Private_2!AL45*'BTU Conversion Factor'!$F$4</f>
        <v>0</v>
      </c>
      <c r="AM45" s="175">
        <f>Private_2!AM45*'BTU Conversion Factor'!$F$4</f>
        <v>0</v>
      </c>
      <c r="AN45" s="175">
        <f>Private_2!AN45*'BTU Conversion Factor'!$F$4</f>
        <v>0</v>
      </c>
      <c r="AO45" s="175">
        <f>Private_2!AO45*'BTU Conversion Factor'!$F$4</f>
        <v>0</v>
      </c>
      <c r="AP45" s="175">
        <f>Private_2!AP45*'BTU Conversion Factor'!$F$4</f>
        <v>0</v>
      </c>
      <c r="AQ45" s="175">
        <f>Private_2!AQ45*'BTU Conversion Factor'!$F$4</f>
        <v>0</v>
      </c>
      <c r="AR45" s="175">
        <f>Private_2!AR45*'BTU Conversion Factor'!$F$4</f>
        <v>0</v>
      </c>
      <c r="AS45" s="175">
        <f>Private_2!AS45*'BTU Conversion Factor'!$F$4</f>
        <v>0</v>
      </c>
      <c r="AT45" s="175">
        <f>Private_2!AT45*'BTU Conversion Factor'!$F$4</f>
        <v>0</v>
      </c>
      <c r="AU45" s="175">
        <f>Private_2!AU45*'BTU Conversion Factor'!$F$4</f>
        <v>0</v>
      </c>
    </row>
    <row r="46" spans="1:47">
      <c r="B46" s="60" t="s">
        <v>670</v>
      </c>
      <c r="C46" s="175">
        <f>Private_2!C46*'BTU Conversion Factor'!$F$4</f>
        <v>0</v>
      </c>
      <c r="D46" s="175">
        <f>Private_2!D46*'BTU Conversion Factor'!$F$4</f>
        <v>0</v>
      </c>
      <c r="E46" s="175">
        <f>Private_2!E46*'BTU Conversion Factor'!$F$4</f>
        <v>0</v>
      </c>
      <c r="F46" s="175">
        <f>Private_2!F46*'BTU Conversion Factor'!$F$4</f>
        <v>0</v>
      </c>
      <c r="G46" s="175">
        <f>Private_2!G46*'BTU Conversion Factor'!$F$4</f>
        <v>0</v>
      </c>
      <c r="H46" s="175">
        <f>Private_2!H46*'BTU Conversion Factor'!$F$4</f>
        <v>0</v>
      </c>
      <c r="I46" s="175">
        <f>Private_2!I46*'BTU Conversion Factor'!$F$4</f>
        <v>0</v>
      </c>
      <c r="J46" s="175">
        <f>Private_2!J46*'BTU Conversion Factor'!$F$4</f>
        <v>0</v>
      </c>
      <c r="K46" s="175">
        <f>Private_2!K46*'BTU Conversion Factor'!$F$4</f>
        <v>0</v>
      </c>
      <c r="L46" s="175">
        <f>Private_2!L46*'BTU Conversion Factor'!$F$4</f>
        <v>0</v>
      </c>
      <c r="M46" s="175">
        <f>Private_2!M46*'BTU Conversion Factor'!$F$4</f>
        <v>0</v>
      </c>
      <c r="N46" s="175">
        <f>Private_2!N46*'BTU Conversion Factor'!$F$4</f>
        <v>0</v>
      </c>
      <c r="O46" s="175">
        <f>Private_2!O46*'BTU Conversion Factor'!$F$4</f>
        <v>0</v>
      </c>
      <c r="P46" s="175">
        <f>Private_2!P46*'BTU Conversion Factor'!$F$4</f>
        <v>0</v>
      </c>
      <c r="Q46" s="175">
        <f>Private_2!Q46*'BTU Conversion Factor'!$F$4</f>
        <v>0</v>
      </c>
      <c r="R46" s="175">
        <f>Private_2!R46*'BTU Conversion Factor'!$F$4</f>
        <v>0</v>
      </c>
      <c r="S46" s="175">
        <f>Private_2!S46*'BTU Conversion Factor'!$F$4</f>
        <v>0</v>
      </c>
      <c r="T46" s="175">
        <f>Private_2!T46*'BTU Conversion Factor'!$F$4</f>
        <v>0</v>
      </c>
      <c r="U46" s="175">
        <f>Private_2!U46*'BTU Conversion Factor'!$F$4</f>
        <v>0</v>
      </c>
      <c r="V46" s="175">
        <f>Private_2!V46*'BTU Conversion Factor'!$F$4</f>
        <v>0</v>
      </c>
      <c r="W46" s="175">
        <f>Private_2!W46*'BTU Conversion Factor'!$F$4</f>
        <v>0</v>
      </c>
      <c r="X46" s="175">
        <f>Private_2!X46*'BTU Conversion Factor'!$F$4</f>
        <v>0</v>
      </c>
      <c r="Y46" s="175">
        <f>Private_2!Y46*'BTU Conversion Factor'!$F$4</f>
        <v>0</v>
      </c>
      <c r="Z46" s="175">
        <f>Private_2!Z46*'BTU Conversion Factor'!$F$4</f>
        <v>0</v>
      </c>
      <c r="AA46" s="175">
        <f>Private_2!AA46*'BTU Conversion Factor'!$F$4</f>
        <v>0</v>
      </c>
      <c r="AB46" s="175">
        <f>Private_2!AB46*'BTU Conversion Factor'!$F$4</f>
        <v>0</v>
      </c>
      <c r="AC46" s="175">
        <f>Private_2!AC46*'BTU Conversion Factor'!$F$4</f>
        <v>0</v>
      </c>
      <c r="AD46" s="175">
        <f>Private_2!AD46*'BTU Conversion Factor'!$F$4</f>
        <v>0</v>
      </c>
      <c r="AE46" s="175">
        <f>Private_2!AE46*'BTU Conversion Factor'!$F$4</f>
        <v>0</v>
      </c>
      <c r="AF46" s="175">
        <f>Private_2!AF46*'BTU Conversion Factor'!$F$4</f>
        <v>0</v>
      </c>
      <c r="AG46" s="175">
        <f>Private_2!AG46*'BTU Conversion Factor'!$F$4</f>
        <v>0</v>
      </c>
      <c r="AH46" s="175">
        <f>Private_2!AH46*'BTU Conversion Factor'!$F$4</f>
        <v>0</v>
      </c>
      <c r="AI46" s="175">
        <f>Private_2!AI46*'BTU Conversion Factor'!$F$4</f>
        <v>0</v>
      </c>
      <c r="AJ46" s="175">
        <f>Private_2!AJ46*'BTU Conversion Factor'!$F$4</f>
        <v>0</v>
      </c>
      <c r="AK46" s="175">
        <f>Private_2!AK46*'BTU Conversion Factor'!$F$4</f>
        <v>0</v>
      </c>
      <c r="AL46" s="175">
        <f>Private_2!AL46*'BTU Conversion Factor'!$F$4</f>
        <v>0</v>
      </c>
      <c r="AM46" s="175">
        <f>Private_2!AM46*'BTU Conversion Factor'!$F$4</f>
        <v>0</v>
      </c>
      <c r="AN46" s="175">
        <f>Private_2!AN46*'BTU Conversion Factor'!$F$4</f>
        <v>0</v>
      </c>
      <c r="AO46" s="175">
        <f>Private_2!AO46*'BTU Conversion Factor'!$F$4</f>
        <v>0</v>
      </c>
      <c r="AP46" s="175">
        <f>Private_2!AP46*'BTU Conversion Factor'!$F$4</f>
        <v>0</v>
      </c>
      <c r="AQ46" s="175">
        <f>Private_2!AQ46*'BTU Conversion Factor'!$F$4</f>
        <v>0</v>
      </c>
      <c r="AR46" s="175">
        <f>Private_2!AR46*'BTU Conversion Factor'!$F$4</f>
        <v>0</v>
      </c>
      <c r="AS46" s="175">
        <f>Private_2!AS46*'BTU Conversion Factor'!$F$4</f>
        <v>0</v>
      </c>
      <c r="AT46" s="175">
        <f>Private_2!AT46*'BTU Conversion Factor'!$F$4</f>
        <v>0</v>
      </c>
      <c r="AU46" s="175">
        <f>Private_2!AU46*'BTU Conversion Factor'!$F$4</f>
        <v>0</v>
      </c>
    </row>
    <row r="47" spans="1:47">
      <c r="C47" s="103" t="s">
        <v>974</v>
      </c>
      <c r="D47" s="103">
        <v>1055</v>
      </c>
      <c r="E47" s="103" t="s">
        <v>975</v>
      </c>
    </row>
    <row r="48" spans="1:47">
      <c r="A48" s="103" t="s">
        <v>919</v>
      </c>
      <c r="B48" s="60" t="s">
        <v>973</v>
      </c>
      <c r="C48" s="175">
        <f>SUM(C5:C10)+SUM(C14:C19)+SUM(C23:C28)+SUM(C32:C37)+SUM(C41:C46)</f>
        <v>24842785800000</v>
      </c>
      <c r="D48" s="175">
        <f t="shared" ref="D48:AU48" si="0">SUM(D5:D10)+SUM(D14:D19)+SUM(D23:D28)+SUM(D32:D37)+SUM(D41:D46)</f>
        <v>25337537400000</v>
      </c>
      <c r="E48" s="175">
        <f t="shared" si="0"/>
        <v>25992457722000</v>
      </c>
      <c r="F48" s="175">
        <f t="shared" si="0"/>
        <v>27055155855261.75</v>
      </c>
      <c r="G48" s="175">
        <f t="shared" si="0"/>
        <v>27229230316640.621</v>
      </c>
      <c r="H48" s="175">
        <f t="shared" si="0"/>
        <v>27597092600000.004</v>
      </c>
      <c r="I48" s="175">
        <f t="shared" si="0"/>
        <v>27739469456426.285</v>
      </c>
      <c r="J48" s="175">
        <f t="shared" si="0"/>
        <v>26922868427569.492</v>
      </c>
      <c r="K48" s="175">
        <f t="shared" si="0"/>
        <v>28888944000000</v>
      </c>
      <c r="L48" s="175">
        <f t="shared" si="0"/>
        <v>27604675000000.004</v>
      </c>
      <c r="M48" s="175">
        <f t="shared" si="0"/>
        <v>28702981217440.535</v>
      </c>
      <c r="N48" s="175">
        <f t="shared" si="0"/>
        <v>29217164722157.813</v>
      </c>
      <c r="O48" s="175">
        <f t="shared" si="0"/>
        <v>29576963029506.211</v>
      </c>
      <c r="P48" s="175">
        <f t="shared" si="0"/>
        <v>29908040272153.34</v>
      </c>
      <c r="Q48" s="175">
        <f t="shared" si="0"/>
        <v>30256426540336.844</v>
      </c>
      <c r="R48" s="175">
        <f t="shared" si="0"/>
        <v>30585717667396.391</v>
      </c>
      <c r="S48" s="175">
        <f t="shared" si="0"/>
        <v>30912586094462.418</v>
      </c>
      <c r="T48" s="175">
        <f t="shared" si="0"/>
        <v>31234528581592.922</v>
      </c>
      <c r="U48" s="175">
        <f t="shared" si="0"/>
        <v>31538824885370.883</v>
      </c>
      <c r="V48" s="175">
        <f t="shared" si="0"/>
        <v>31833390534460.672</v>
      </c>
      <c r="W48" s="175">
        <f t="shared" si="0"/>
        <v>32113552633966.488</v>
      </c>
      <c r="X48" s="175">
        <f t="shared" si="0"/>
        <v>32386101836657.531</v>
      </c>
      <c r="Y48" s="175">
        <f t="shared" si="0"/>
        <v>32664561613427.328</v>
      </c>
      <c r="Z48" s="175">
        <f t="shared" si="0"/>
        <v>32942735992781.867</v>
      </c>
      <c r="AA48" s="175">
        <f t="shared" si="0"/>
        <v>33213494027452.844</v>
      </c>
      <c r="AB48" s="175">
        <f t="shared" si="0"/>
        <v>33481315123330.66</v>
      </c>
      <c r="AC48" s="175">
        <f t="shared" si="0"/>
        <v>33747388110470.012</v>
      </c>
      <c r="AD48" s="175">
        <f t="shared" si="0"/>
        <v>34015031067177.176</v>
      </c>
      <c r="AE48" s="175">
        <f t="shared" si="0"/>
        <v>34275751269734.879</v>
      </c>
      <c r="AF48" s="175">
        <f t="shared" si="0"/>
        <v>34523475481499.855</v>
      </c>
      <c r="AG48" s="175">
        <f t="shared" si="0"/>
        <v>34761004310910.176</v>
      </c>
      <c r="AH48" s="175">
        <f t="shared" si="0"/>
        <v>34987326912168.242</v>
      </c>
      <c r="AI48" s="175">
        <f t="shared" si="0"/>
        <v>35199698526367.938</v>
      </c>
      <c r="AJ48" s="175">
        <f t="shared" si="0"/>
        <v>35393608259820.156</v>
      </c>
      <c r="AK48" s="175">
        <f t="shared" si="0"/>
        <v>35572716465108.031</v>
      </c>
      <c r="AL48" s="175">
        <f t="shared" si="0"/>
        <v>35734216484414.891</v>
      </c>
      <c r="AM48" s="175">
        <f t="shared" si="0"/>
        <v>35880067063345.32</v>
      </c>
      <c r="AN48" s="175">
        <f t="shared" si="0"/>
        <v>36017080514148.695</v>
      </c>
      <c r="AO48" s="175">
        <f t="shared" si="0"/>
        <v>36143374934524.961</v>
      </c>
      <c r="AP48" s="175">
        <f t="shared" si="0"/>
        <v>36255719240252.359</v>
      </c>
      <c r="AQ48" s="175">
        <f t="shared" si="0"/>
        <v>36355711683879.18</v>
      </c>
      <c r="AR48" s="175">
        <f t="shared" si="0"/>
        <v>36438753003188.922</v>
      </c>
      <c r="AS48" s="175">
        <f t="shared" si="0"/>
        <v>36511780964004.266</v>
      </c>
      <c r="AT48" s="175">
        <f t="shared" si="0"/>
        <v>36570642906381.477</v>
      </c>
      <c r="AU48" s="175">
        <f t="shared" si="0"/>
        <v>36616072503679.523</v>
      </c>
    </row>
    <row r="49" spans="1:47">
      <c r="A49" s="103" t="s">
        <v>919</v>
      </c>
      <c r="B49" s="60" t="s">
        <v>911</v>
      </c>
      <c r="C49" s="62">
        <f>C48*$D$47/10^12</f>
        <v>26209.139018999998</v>
      </c>
      <c r="D49" s="62">
        <f t="shared" ref="D49:AU49" si="1">D48*$D$47/10^12</f>
        <v>26731.101956999999</v>
      </c>
      <c r="E49" s="62">
        <f t="shared" si="1"/>
        <v>27422.042896710002</v>
      </c>
      <c r="F49" s="62">
        <f t="shared" si="1"/>
        <v>28543.189427301149</v>
      </c>
      <c r="G49" s="62">
        <f t="shared" si="1"/>
        <v>28726.837984055855</v>
      </c>
      <c r="H49" s="62">
        <f t="shared" si="1"/>
        <v>29114.932693000002</v>
      </c>
      <c r="I49" s="62">
        <f t="shared" si="1"/>
        <v>29265.140276529732</v>
      </c>
      <c r="J49" s="62">
        <f t="shared" si="1"/>
        <v>28403.626191085816</v>
      </c>
      <c r="K49" s="62">
        <f t="shared" si="1"/>
        <v>30477.835920000001</v>
      </c>
      <c r="L49" s="62">
        <f t="shared" si="1"/>
        <v>29122.932125000003</v>
      </c>
      <c r="M49" s="62">
        <f t="shared" si="1"/>
        <v>30281.645184399764</v>
      </c>
      <c r="N49" s="62">
        <f t="shared" si="1"/>
        <v>30824.108781876494</v>
      </c>
      <c r="O49" s="62">
        <f t="shared" si="1"/>
        <v>31203.695996129052</v>
      </c>
      <c r="P49" s="62">
        <f t="shared" si="1"/>
        <v>31552.982487121772</v>
      </c>
      <c r="Q49" s="62">
        <f t="shared" si="1"/>
        <v>31920.530000055373</v>
      </c>
      <c r="R49" s="62">
        <f t="shared" si="1"/>
        <v>32267.932139103192</v>
      </c>
      <c r="S49" s="62">
        <f t="shared" si="1"/>
        <v>32612.778329657853</v>
      </c>
      <c r="T49" s="62">
        <f t="shared" si="1"/>
        <v>32952.427653580533</v>
      </c>
      <c r="U49" s="62">
        <f t="shared" si="1"/>
        <v>33273.460254066282</v>
      </c>
      <c r="V49" s="62">
        <f t="shared" si="1"/>
        <v>33584.227013856005</v>
      </c>
      <c r="W49" s="62">
        <f t="shared" si="1"/>
        <v>33879.798028834644</v>
      </c>
      <c r="X49" s="62">
        <f t="shared" si="1"/>
        <v>34167.337437673697</v>
      </c>
      <c r="Y49" s="62">
        <f t="shared" si="1"/>
        <v>34461.11250216583</v>
      </c>
      <c r="Z49" s="62">
        <f t="shared" si="1"/>
        <v>34754.586472384864</v>
      </c>
      <c r="AA49" s="62">
        <f t="shared" si="1"/>
        <v>35040.236198962753</v>
      </c>
      <c r="AB49" s="62">
        <f t="shared" si="1"/>
        <v>35322.787455113845</v>
      </c>
      <c r="AC49" s="62">
        <f t="shared" si="1"/>
        <v>35603.494456545865</v>
      </c>
      <c r="AD49" s="62">
        <f t="shared" si="1"/>
        <v>35885.857775871918</v>
      </c>
      <c r="AE49" s="62">
        <f t="shared" si="1"/>
        <v>36160.917589570294</v>
      </c>
      <c r="AF49" s="62">
        <f t="shared" si="1"/>
        <v>36422.266632982341</v>
      </c>
      <c r="AG49" s="62">
        <f t="shared" si="1"/>
        <v>36672.85954801023</v>
      </c>
      <c r="AH49" s="62">
        <f t="shared" si="1"/>
        <v>36911.629892337492</v>
      </c>
      <c r="AI49" s="62">
        <f t="shared" si="1"/>
        <v>37135.681945318174</v>
      </c>
      <c r="AJ49" s="62">
        <f t="shared" si="1"/>
        <v>37340.256714110263</v>
      </c>
      <c r="AK49" s="62">
        <f t="shared" si="1"/>
        <v>37529.215870688975</v>
      </c>
      <c r="AL49" s="62">
        <f t="shared" si="1"/>
        <v>37699.598391057712</v>
      </c>
      <c r="AM49" s="62">
        <f t="shared" si="1"/>
        <v>37853.470751829314</v>
      </c>
      <c r="AN49" s="62">
        <f t="shared" si="1"/>
        <v>37998.019942426872</v>
      </c>
      <c r="AO49" s="62">
        <f t="shared" si="1"/>
        <v>38131.260555923829</v>
      </c>
      <c r="AP49" s="62">
        <f t="shared" si="1"/>
        <v>38249.78379846624</v>
      </c>
      <c r="AQ49" s="62">
        <f t="shared" si="1"/>
        <v>38355.275826492536</v>
      </c>
      <c r="AR49" s="62">
        <f t="shared" si="1"/>
        <v>38442.884418364309</v>
      </c>
      <c r="AS49" s="62">
        <f t="shared" si="1"/>
        <v>38519.928917024503</v>
      </c>
      <c r="AT49" s="62">
        <f t="shared" si="1"/>
        <v>38582.028266232453</v>
      </c>
      <c r="AU49" s="62">
        <f t="shared" si="1"/>
        <v>38629.956491381898</v>
      </c>
    </row>
    <row r="50" spans="1:47">
      <c r="A50" s="103" t="s">
        <v>906</v>
      </c>
      <c r="B50" s="60" t="s">
        <v>976</v>
      </c>
      <c r="C50" s="103">
        <v>4.2248611294117708</v>
      </c>
      <c r="D50" s="103">
        <v>4.2029533764705889</v>
      </c>
      <c r="E50" s="103">
        <v>4.181045623529414</v>
      </c>
      <c r="F50" s="103">
        <v>4.1591378705882391</v>
      </c>
      <c r="G50" s="103">
        <v>4.1372301176470643</v>
      </c>
      <c r="H50" s="103">
        <v>4.1153223647058823</v>
      </c>
      <c r="I50" s="103">
        <v>4.0934146117647074</v>
      </c>
      <c r="J50" s="103">
        <v>4.0715068588235326</v>
      </c>
      <c r="K50" s="103">
        <v>4.0495991058823577</v>
      </c>
      <c r="L50" s="103">
        <v>4.0276913529411829</v>
      </c>
      <c r="M50" s="103">
        <v>4.0057836000000009</v>
      </c>
      <c r="N50" s="103">
        <v>3.983875847058826</v>
      </c>
      <c r="O50" s="103">
        <v>3.9619680941176512</v>
      </c>
      <c r="P50" s="103">
        <v>3.9400603411764763</v>
      </c>
      <c r="Q50" s="103">
        <v>3.9181525882352943</v>
      </c>
      <c r="R50" s="103">
        <v>3.8962448352941195</v>
      </c>
      <c r="S50" s="103">
        <v>3.8743370823529446</v>
      </c>
      <c r="T50" s="103">
        <v>3.8524293294117697</v>
      </c>
      <c r="U50" s="103">
        <v>3.8305215764705878</v>
      </c>
      <c r="V50" s="103">
        <v>3.8086138235294129</v>
      </c>
      <c r="W50" s="103">
        <v>3.786706070588238</v>
      </c>
      <c r="X50" s="103">
        <v>3.7647983176470632</v>
      </c>
      <c r="Y50" s="103">
        <v>3.7428905647058883</v>
      </c>
      <c r="Z50" s="103">
        <v>3.7209828117647064</v>
      </c>
      <c r="AA50" s="103">
        <v>3.6990750588235315</v>
      </c>
      <c r="AB50" s="103">
        <v>3.6771673058823566</v>
      </c>
      <c r="AC50" s="103">
        <v>3.6552595529411818</v>
      </c>
      <c r="AD50" s="103">
        <v>3.6333517999999998</v>
      </c>
      <c r="AE50" s="103">
        <v>3.6114440470588249</v>
      </c>
      <c r="AF50" s="103">
        <v>3.5895362941176501</v>
      </c>
      <c r="AG50" s="103">
        <v>3.5676285411764752</v>
      </c>
      <c r="AH50" s="103">
        <v>3.5457207882353003</v>
      </c>
      <c r="AI50" s="103">
        <v>3.5238130352941184</v>
      </c>
      <c r="AJ50" s="103">
        <v>3.5019052823529435</v>
      </c>
      <c r="AK50" s="103">
        <v>3.4799975294117687</v>
      </c>
      <c r="AL50" s="103">
        <v>3.4580897764705938</v>
      </c>
      <c r="AM50" s="103">
        <v>3.4361820235294118</v>
      </c>
      <c r="AN50" s="103">
        <v>3.414274270588237</v>
      </c>
      <c r="AO50" s="103">
        <v>3.3923665176470621</v>
      </c>
      <c r="AP50" s="103">
        <v>3.3704587647058872</v>
      </c>
      <c r="AQ50" s="103">
        <v>3.3485510117647053</v>
      </c>
      <c r="AR50" s="103">
        <v>3.3266432588235304</v>
      </c>
      <c r="AS50" s="103">
        <v>3.3047355058823555</v>
      </c>
      <c r="AT50" s="103">
        <v>3.2828277529411807</v>
      </c>
      <c r="AU50" s="103">
        <v>3.2609200000000005</v>
      </c>
    </row>
    <row r="51" spans="1:47">
      <c r="A51" s="60" t="s">
        <v>977</v>
      </c>
      <c r="B51" s="60" t="s">
        <v>978</v>
      </c>
      <c r="C51" s="62">
        <f>C49/C50/1000000*10^6</f>
        <v>6203.5504164959639</v>
      </c>
      <c r="D51" s="62">
        <f t="shared" ref="D51:AU51" si="2">D49/D50/1000000*10^6</f>
        <v>6360.0757759172011</v>
      </c>
      <c r="E51" s="62">
        <f t="shared" si="2"/>
        <v>6558.6567011822717</v>
      </c>
      <c r="F51" s="62">
        <f t="shared" si="2"/>
        <v>6862.7658700970642</v>
      </c>
      <c r="G51" s="62">
        <f t="shared" si="2"/>
        <v>6943.4953259001832</v>
      </c>
      <c r="H51" s="62">
        <f t="shared" si="2"/>
        <v>7074.7635574548276</v>
      </c>
      <c r="I51" s="62">
        <f t="shared" si="2"/>
        <v>7149.3222778899662</v>
      </c>
      <c r="J51" s="62">
        <f t="shared" si="2"/>
        <v>6976.1950982671515</v>
      </c>
      <c r="K51" s="62">
        <f t="shared" si="2"/>
        <v>7526.1365688590195</v>
      </c>
      <c r="L51" s="62">
        <f t="shared" si="2"/>
        <v>7230.6762293821903</v>
      </c>
      <c r="M51" s="62">
        <f t="shared" si="2"/>
        <v>7559.4810424606458</v>
      </c>
      <c r="N51" s="62">
        <f t="shared" si="2"/>
        <v>7737.2162098457438</v>
      </c>
      <c r="O51" s="62">
        <f t="shared" si="2"/>
        <v>7875.8069865472407</v>
      </c>
      <c r="P51" s="62">
        <f t="shared" si="2"/>
        <v>8008.2485431429341</v>
      </c>
      <c r="Q51" s="62">
        <f t="shared" si="2"/>
        <v>8146.8317737038751</v>
      </c>
      <c r="R51" s="62">
        <f t="shared" si="2"/>
        <v>8281.802993180574</v>
      </c>
      <c r="S51" s="62">
        <f t="shared" si="2"/>
        <v>8417.6409115779898</v>
      </c>
      <c r="T51" s="62">
        <f t="shared" si="2"/>
        <v>8553.6747947591975</v>
      </c>
      <c r="U51" s="62">
        <f t="shared" si="2"/>
        <v>8686.4046030838927</v>
      </c>
      <c r="V51" s="62">
        <f t="shared" si="2"/>
        <v>8817.965950334592</v>
      </c>
      <c r="W51" s="62">
        <f t="shared" si="2"/>
        <v>8947.0366585837637</v>
      </c>
      <c r="X51" s="62">
        <f t="shared" si="2"/>
        <v>9075.4761755810923</v>
      </c>
      <c r="Y51" s="62">
        <f t="shared" si="2"/>
        <v>9207.0852477285134</v>
      </c>
      <c r="Z51" s="62">
        <f t="shared" si="2"/>
        <v>9340.1631317673891</v>
      </c>
      <c r="AA51" s="62">
        <f t="shared" si="2"/>
        <v>9472.7021327615585</v>
      </c>
      <c r="AB51" s="62">
        <f t="shared" si="2"/>
        <v>9605.9777858375001</v>
      </c>
      <c r="AC51" s="62">
        <f t="shared" si="2"/>
        <v>9740.3464626466084</v>
      </c>
      <c r="AD51" s="62">
        <f t="shared" si="2"/>
        <v>9876.7913902176824</v>
      </c>
      <c r="AE51" s="62">
        <f t="shared" si="2"/>
        <v>10012.869400266603</v>
      </c>
      <c r="AF51" s="62">
        <f t="shared" si="2"/>
        <v>10146.788790705168</v>
      </c>
      <c r="AG51" s="62">
        <f t="shared" si="2"/>
        <v>10279.337976121484</v>
      </c>
      <c r="AH51" s="62">
        <f t="shared" si="2"/>
        <v>10410.190789644312</v>
      </c>
      <c r="AI51" s="62">
        <f t="shared" si="2"/>
        <v>10538.493834199297</v>
      </c>
      <c r="AJ51" s="62">
        <f t="shared" si="2"/>
        <v>10662.840283624462</v>
      </c>
      <c r="AK51" s="62">
        <f t="shared" si="2"/>
        <v>10784.265090277986</v>
      </c>
      <c r="AL51" s="62">
        <f t="shared" si="2"/>
        <v>10901.856466414471</v>
      </c>
      <c r="AM51" s="62">
        <f t="shared" si="2"/>
        <v>11016.142478083513</v>
      </c>
      <c r="AN51" s="62">
        <f t="shared" si="2"/>
        <v>11129.164481528394</v>
      </c>
      <c r="AO51" s="62">
        <f t="shared" si="2"/>
        <v>11240.312730822372</v>
      </c>
      <c r="AP51" s="62">
        <f t="shared" si="2"/>
        <v>11348.539314292424</v>
      </c>
      <c r="AQ51" s="62">
        <f t="shared" si="2"/>
        <v>11454.290435396142</v>
      </c>
      <c r="AR51" s="62">
        <f t="shared" si="2"/>
        <v>11556.058593418178</v>
      </c>
      <c r="AS51" s="62">
        <f t="shared" si="2"/>
        <v>11655.979381242429</v>
      </c>
      <c r="AT51" s="62">
        <f t="shared" si="2"/>
        <v>11752.68127658105</v>
      </c>
      <c r="AU51" s="62">
        <f t="shared" si="2"/>
        <v>11846.336767348444</v>
      </c>
    </row>
  </sheetData>
  <phoneticPr fontId="3"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tint="0.79998168889431442"/>
  </sheetPr>
  <dimension ref="A1:AU51"/>
  <sheetViews>
    <sheetView topLeftCell="A32" zoomScale="84" zoomScaleNormal="100" workbookViewId="0">
      <selection activeCell="E54" sqref="E54"/>
    </sheetView>
  </sheetViews>
  <sheetFormatPr defaultColWidth="8.7109375" defaultRowHeight="15"/>
  <cols>
    <col min="1" max="1" width="5.85546875" style="103" customWidth="1"/>
    <col min="2" max="2" width="20.5703125" style="103" customWidth="1"/>
    <col min="3" max="3" width="12.7109375" style="103" bestFit="1" customWidth="1"/>
    <col min="4" max="10" width="11" style="103" bestFit="1" customWidth="1"/>
    <col min="11" max="11" width="8.85546875" style="103" bestFit="1" customWidth="1"/>
    <col min="12" max="47" width="11" style="103" bestFit="1" customWidth="1"/>
    <col min="48" max="16384" width="8.7109375" style="103"/>
  </cols>
  <sheetData>
    <row r="1" spans="1:47" ht="21">
      <c r="A1" s="121" t="s">
        <v>972</v>
      </c>
    </row>
    <row r="2" spans="1:47" ht="21">
      <c r="A2" s="121"/>
    </row>
    <row r="3" spans="1:47" s="64" customFormat="1">
      <c r="A3" s="174" t="s">
        <v>28</v>
      </c>
    </row>
    <row r="4" spans="1:47" s="60" customFormat="1">
      <c r="B4" s="60" t="s">
        <v>0</v>
      </c>
      <c r="C4" s="60">
        <v>2006</v>
      </c>
      <c r="D4" s="60">
        <v>2007</v>
      </c>
      <c r="E4" s="60">
        <v>2008</v>
      </c>
      <c r="F4" s="60">
        <v>2009</v>
      </c>
      <c r="G4" s="60">
        <v>2010</v>
      </c>
      <c r="H4" s="60">
        <v>2011</v>
      </c>
      <c r="I4" s="60">
        <v>2012</v>
      </c>
      <c r="J4" s="60">
        <v>2013</v>
      </c>
      <c r="K4" s="60">
        <v>2014</v>
      </c>
      <c r="L4" s="60">
        <v>2015</v>
      </c>
      <c r="M4" s="60">
        <v>2016</v>
      </c>
      <c r="N4" s="60">
        <v>2017</v>
      </c>
      <c r="O4" s="60">
        <v>2018</v>
      </c>
      <c r="P4" s="60">
        <v>2019</v>
      </c>
      <c r="Q4" s="60">
        <v>2020</v>
      </c>
      <c r="R4" s="60">
        <v>2021</v>
      </c>
      <c r="S4" s="60">
        <v>2022</v>
      </c>
      <c r="T4" s="60">
        <v>2023</v>
      </c>
      <c r="U4" s="60">
        <v>2024</v>
      </c>
      <c r="V4" s="60">
        <v>2025</v>
      </c>
      <c r="W4" s="60">
        <v>2026</v>
      </c>
      <c r="X4" s="60">
        <v>2027</v>
      </c>
      <c r="Y4" s="60">
        <v>2028</v>
      </c>
      <c r="Z4" s="60">
        <v>2029</v>
      </c>
      <c r="AA4" s="60">
        <v>2030</v>
      </c>
      <c r="AB4" s="60">
        <v>2031</v>
      </c>
      <c r="AC4" s="60">
        <v>2032</v>
      </c>
      <c r="AD4" s="60">
        <v>2033</v>
      </c>
      <c r="AE4" s="60">
        <v>2034</v>
      </c>
      <c r="AF4" s="60">
        <v>2035</v>
      </c>
      <c r="AG4" s="60">
        <v>2036</v>
      </c>
      <c r="AH4" s="60">
        <v>2037</v>
      </c>
      <c r="AI4" s="60">
        <v>2038</v>
      </c>
      <c r="AJ4" s="60">
        <v>2039</v>
      </c>
      <c r="AK4" s="60">
        <v>2040</v>
      </c>
      <c r="AL4" s="60">
        <v>2041</v>
      </c>
      <c r="AM4" s="60">
        <v>2042</v>
      </c>
      <c r="AN4" s="60">
        <v>2043</v>
      </c>
      <c r="AO4" s="60">
        <v>2044</v>
      </c>
      <c r="AP4" s="60">
        <v>2045</v>
      </c>
      <c r="AQ4" s="60">
        <v>2046</v>
      </c>
      <c r="AR4" s="60">
        <v>2047</v>
      </c>
      <c r="AS4" s="60">
        <v>2048</v>
      </c>
      <c r="AT4" s="60">
        <v>2049</v>
      </c>
      <c r="AU4" s="60">
        <v>2050</v>
      </c>
    </row>
    <row r="5" spans="1:47">
      <c r="B5" s="60" t="s">
        <v>665</v>
      </c>
      <c r="C5" s="175">
        <f>Public_2!C5*'BTU Conversion Factor'!$F$4</f>
        <v>1811385843305.4368</v>
      </c>
      <c r="D5" s="175">
        <f>Public_2!D5*'BTU Conversion Factor'!$F$4</f>
        <v>1753529148988.9009</v>
      </c>
      <c r="E5" s="175">
        <f>Public_2!E5*'BTU Conversion Factor'!$F$4</f>
        <v>1649382960186.833</v>
      </c>
      <c r="F5" s="175">
        <f>Public_2!F5*'BTU Conversion Factor'!$F$4</f>
        <v>1688126821714.5659</v>
      </c>
      <c r="G5" s="175">
        <f>Public_2!G5*'BTU Conversion Factor'!$F$4</f>
        <v>1623826563028.7747</v>
      </c>
      <c r="H5" s="175">
        <f>Public_2!H5*'BTU Conversion Factor'!$F$4</f>
        <v>1584274453221.4063</v>
      </c>
      <c r="I5" s="175">
        <f>Public_2!I5*'BTU Conversion Factor'!$F$4</f>
        <v>1593669524932.2661</v>
      </c>
      <c r="J5" s="175">
        <f>Public_2!J5*'BTU Conversion Factor'!$F$4</f>
        <v>1518721210849.1067</v>
      </c>
      <c r="K5" s="175">
        <f>Public_2!K5*'BTU Conversion Factor'!$F$4</f>
        <v>1501693801840.5466</v>
      </c>
      <c r="L5" s="175">
        <f>Public_2!L5*'BTU Conversion Factor'!$F$4</f>
        <v>1458351680524.2966</v>
      </c>
      <c r="M5" s="175">
        <f>Public_2!M5*'BTU Conversion Factor'!$F$4</f>
        <v>1506627002058.0261</v>
      </c>
      <c r="N5" s="175">
        <f>Public_2!N5*'BTU Conversion Factor'!$F$4</f>
        <v>1406582826999.4819</v>
      </c>
      <c r="O5" s="175">
        <f>Public_2!O5*'BTU Conversion Factor'!$F$4</f>
        <v>1421744738572.0308</v>
      </c>
      <c r="P5" s="175">
        <f>Public_2!P5*'BTU Conversion Factor'!$F$4</f>
        <v>1435153415740.4446</v>
      </c>
      <c r="Q5" s="175">
        <f>Public_2!Q5*'BTU Conversion Factor'!$F$4</f>
        <v>1449018285472.6243</v>
      </c>
      <c r="R5" s="175">
        <f>Public_2!R5*'BTU Conversion Factor'!$F$4</f>
        <v>1461592249791.6628</v>
      </c>
      <c r="S5" s="175">
        <f>Public_2!S5*'BTU Conversion Factor'!$F$4</f>
        <v>1473674309576.8711</v>
      </c>
      <c r="T5" s="175">
        <f>Public_2!T5*'BTU Conversion Factor'!$F$4</f>
        <v>1485144721932.9797</v>
      </c>
      <c r="U5" s="175">
        <f>Public_2!U5*'BTU Conversion Factor'!$F$4</f>
        <v>1495400950152.1001</v>
      </c>
      <c r="V5" s="175">
        <f>Public_2!V5*'BTU Conversion Factor'!$F$4</f>
        <v>1504823641242.8157</v>
      </c>
      <c r="W5" s="175">
        <f>Public_2!W5*'BTU Conversion Factor'!$F$4</f>
        <v>1513196563814.8411</v>
      </c>
      <c r="X5" s="175">
        <f>Public_2!X5*'BTU Conversion Factor'!$F$4</f>
        <v>1520845441809.4482</v>
      </c>
      <c r="Y5" s="175">
        <f>Public_2!Y5*'BTU Conversion Factor'!$F$4</f>
        <v>1528407289281.9214</v>
      </c>
      <c r="Z5" s="175">
        <f>Public_2!Z5*'BTU Conversion Factor'!$F$4</f>
        <v>1535590809268.8174</v>
      </c>
      <c r="AA5" s="175">
        <f>Public_2!AA5*'BTU Conversion Factor'!$F$4</f>
        <v>1542065677665.199</v>
      </c>
      <c r="AB5" s="175">
        <f>Public_2!AB5*'BTU Conversion Factor'!$F$4</f>
        <v>1548043982160.2637</v>
      </c>
      <c r="AC5" s="175">
        <f>Public_2!AC5*'BTU Conversion Factor'!$F$4</f>
        <v>1553583149264.0405</v>
      </c>
      <c r="AD5" s="175">
        <f>Public_2!AD5*'BTU Conversion Factor'!$F$4</f>
        <v>1558837392345.8174</v>
      </c>
      <c r="AE5" s="175">
        <f>Public_2!AE5*'BTU Conversion Factor'!$F$4</f>
        <v>1563419481297.2253</v>
      </c>
      <c r="AF5" s="175">
        <f>Public_2!AF5*'BTU Conversion Factor'!$F$4</f>
        <v>1567059535200.575</v>
      </c>
      <c r="AG5" s="175">
        <f>Public_2!AG5*'BTU Conversion Factor'!$F$4</f>
        <v>1569894324784.2678</v>
      </c>
      <c r="AH5" s="175">
        <f>Public_2!AH5*'BTU Conversion Factor'!$F$4</f>
        <v>1571887302746.1436</v>
      </c>
      <c r="AI5" s="175">
        <f>Public_2!AI5*'BTU Conversion Factor'!$F$4</f>
        <v>1572925837387.2166</v>
      </c>
      <c r="AJ5" s="175">
        <f>Public_2!AJ5*'BTU Conversion Factor'!$F$4</f>
        <v>1572821969585.9685</v>
      </c>
      <c r="AK5" s="175">
        <f>Public_2!AK5*'BTU Conversion Factor'!$F$4</f>
        <v>1571753871906.3979</v>
      </c>
      <c r="AL5" s="175">
        <f>Public_2!AL5*'BTU Conversion Factor'!$F$4</f>
        <v>1569612498449.1687</v>
      </c>
      <c r="AM5" s="175">
        <f>Public_2!AM5*'BTU Conversion Factor'!$F$4</f>
        <v>1566500321660.2551</v>
      </c>
      <c r="AN5" s="175">
        <f>Public_2!AN5*'BTU Conversion Factor'!$F$4</f>
        <v>1562728833643.979</v>
      </c>
      <c r="AO5" s="175">
        <f>Public_2!AO5*'BTU Conversion Factor'!$F$4</f>
        <v>1558227632666.6289</v>
      </c>
      <c r="AP5" s="175">
        <f>Public_2!AP5*'BTU Conversion Factor'!$F$4</f>
        <v>1552870869468.157</v>
      </c>
      <c r="AQ5" s="175">
        <f>Public_2!AQ5*'BTU Conversion Factor'!$F$4</f>
        <v>1546742122750.9929</v>
      </c>
      <c r="AR5" s="175">
        <f>Public_2!AR5*'BTU Conversion Factor'!$F$4</f>
        <v>1539661585287.832</v>
      </c>
      <c r="AS5" s="175">
        <f>Public_2!AS5*'BTU Conversion Factor'!$F$4</f>
        <v>1531939235401.5554</v>
      </c>
      <c r="AT5" s="175">
        <f>Public_2!AT5*'BTU Conversion Factor'!$F$4</f>
        <v>1523415103038.4424</v>
      </c>
      <c r="AU5" s="175">
        <f>Public_2!AU5*'BTU Conversion Factor'!$F$4</f>
        <v>1514136520247.052</v>
      </c>
    </row>
    <row r="6" spans="1:47">
      <c r="B6" s="60" t="s">
        <v>666</v>
      </c>
      <c r="C6" s="175">
        <f>Public_2!C6*'BTU Conversion Factor'!$F$4</f>
        <v>0</v>
      </c>
      <c r="D6" s="175">
        <f>Public_2!D6*'BTU Conversion Factor'!$F$4</f>
        <v>0</v>
      </c>
      <c r="E6" s="175">
        <f>Public_2!E6*'BTU Conversion Factor'!$F$4</f>
        <v>0</v>
      </c>
      <c r="F6" s="175">
        <f>Public_2!F6*'BTU Conversion Factor'!$F$4</f>
        <v>0</v>
      </c>
      <c r="G6" s="175">
        <f>Public_2!G6*'BTU Conversion Factor'!$F$4</f>
        <v>0</v>
      </c>
      <c r="H6" s="175">
        <f>Public_2!H6*'BTU Conversion Factor'!$F$4</f>
        <v>0</v>
      </c>
      <c r="I6" s="175">
        <f>Public_2!I6*'BTU Conversion Factor'!$F$4</f>
        <v>0</v>
      </c>
      <c r="J6" s="175">
        <f>Public_2!J6*'BTU Conversion Factor'!$F$4</f>
        <v>0</v>
      </c>
      <c r="K6" s="175">
        <f>Public_2!K6*'BTU Conversion Factor'!$F$4</f>
        <v>0</v>
      </c>
      <c r="L6" s="175">
        <f>Public_2!L6*'BTU Conversion Factor'!$F$4</f>
        <v>0</v>
      </c>
      <c r="M6" s="175">
        <f>Public_2!M6*'BTU Conversion Factor'!$F$4</f>
        <v>0</v>
      </c>
      <c r="N6" s="175">
        <f>Public_2!N6*'BTU Conversion Factor'!$F$4</f>
        <v>0</v>
      </c>
      <c r="O6" s="175">
        <f>Public_2!O6*'BTU Conversion Factor'!$F$4</f>
        <v>0</v>
      </c>
      <c r="P6" s="175">
        <f>Public_2!P6*'BTU Conversion Factor'!$F$4</f>
        <v>0</v>
      </c>
      <c r="Q6" s="175">
        <f>Public_2!Q6*'BTU Conversion Factor'!$F$4</f>
        <v>0</v>
      </c>
      <c r="R6" s="175">
        <f>Public_2!R6*'BTU Conversion Factor'!$F$4</f>
        <v>0</v>
      </c>
      <c r="S6" s="175">
        <f>Public_2!S6*'BTU Conversion Factor'!$F$4</f>
        <v>0</v>
      </c>
      <c r="T6" s="175">
        <f>Public_2!T6*'BTU Conversion Factor'!$F$4</f>
        <v>0</v>
      </c>
      <c r="U6" s="175">
        <f>Public_2!U6*'BTU Conversion Factor'!$F$4</f>
        <v>0</v>
      </c>
      <c r="V6" s="175">
        <f>Public_2!V6*'BTU Conversion Factor'!$F$4</f>
        <v>0</v>
      </c>
      <c r="W6" s="175">
        <f>Public_2!W6*'BTU Conversion Factor'!$F$4</f>
        <v>0</v>
      </c>
      <c r="X6" s="175">
        <f>Public_2!X6*'BTU Conversion Factor'!$F$4</f>
        <v>0</v>
      </c>
      <c r="Y6" s="175">
        <f>Public_2!Y6*'BTU Conversion Factor'!$F$4</f>
        <v>0</v>
      </c>
      <c r="Z6" s="175">
        <f>Public_2!Z6*'BTU Conversion Factor'!$F$4</f>
        <v>0</v>
      </c>
      <c r="AA6" s="175">
        <f>Public_2!AA6*'BTU Conversion Factor'!$F$4</f>
        <v>0</v>
      </c>
      <c r="AB6" s="175">
        <f>Public_2!AB6*'BTU Conversion Factor'!$F$4</f>
        <v>0</v>
      </c>
      <c r="AC6" s="175">
        <f>Public_2!AC6*'BTU Conversion Factor'!$F$4</f>
        <v>0</v>
      </c>
      <c r="AD6" s="175">
        <f>Public_2!AD6*'BTU Conversion Factor'!$F$4</f>
        <v>0</v>
      </c>
      <c r="AE6" s="175">
        <f>Public_2!AE6*'BTU Conversion Factor'!$F$4</f>
        <v>0</v>
      </c>
      <c r="AF6" s="175">
        <f>Public_2!AF6*'BTU Conversion Factor'!$F$4</f>
        <v>0</v>
      </c>
      <c r="AG6" s="175">
        <f>Public_2!AG6*'BTU Conversion Factor'!$F$4</f>
        <v>0</v>
      </c>
      <c r="AH6" s="175">
        <f>Public_2!AH6*'BTU Conversion Factor'!$F$4</f>
        <v>0</v>
      </c>
      <c r="AI6" s="175">
        <f>Public_2!AI6*'BTU Conversion Factor'!$F$4</f>
        <v>0</v>
      </c>
      <c r="AJ6" s="175">
        <f>Public_2!AJ6*'BTU Conversion Factor'!$F$4</f>
        <v>0</v>
      </c>
      <c r="AK6" s="175">
        <f>Public_2!AK6*'BTU Conversion Factor'!$F$4</f>
        <v>0</v>
      </c>
      <c r="AL6" s="175">
        <f>Public_2!AL6*'BTU Conversion Factor'!$F$4</f>
        <v>0</v>
      </c>
      <c r="AM6" s="175">
        <f>Public_2!AM6*'BTU Conversion Factor'!$F$4</f>
        <v>0</v>
      </c>
      <c r="AN6" s="175">
        <f>Public_2!AN6*'BTU Conversion Factor'!$F$4</f>
        <v>0</v>
      </c>
      <c r="AO6" s="175">
        <f>Public_2!AO6*'BTU Conversion Factor'!$F$4</f>
        <v>0</v>
      </c>
      <c r="AP6" s="175">
        <f>Public_2!AP6*'BTU Conversion Factor'!$F$4</f>
        <v>0</v>
      </c>
      <c r="AQ6" s="175">
        <f>Public_2!AQ6*'BTU Conversion Factor'!$F$4</f>
        <v>0</v>
      </c>
      <c r="AR6" s="175">
        <f>Public_2!AR6*'BTU Conversion Factor'!$F$4</f>
        <v>0</v>
      </c>
      <c r="AS6" s="175">
        <f>Public_2!AS6*'BTU Conversion Factor'!$F$4</f>
        <v>0</v>
      </c>
      <c r="AT6" s="175">
        <f>Public_2!AT6*'BTU Conversion Factor'!$F$4</f>
        <v>0</v>
      </c>
      <c r="AU6" s="175">
        <f>Public_2!AU6*'BTU Conversion Factor'!$F$4</f>
        <v>0</v>
      </c>
    </row>
    <row r="7" spans="1:47">
      <c r="B7" s="60" t="s">
        <v>667</v>
      </c>
      <c r="C7" s="175">
        <f>Public_2!C7*'BTU Conversion Factor'!$F$4</f>
        <v>0</v>
      </c>
      <c r="D7" s="175">
        <f>Public_2!D7*'BTU Conversion Factor'!$F$4</f>
        <v>0</v>
      </c>
      <c r="E7" s="175">
        <f>Public_2!E7*'BTU Conversion Factor'!$F$4</f>
        <v>0</v>
      </c>
      <c r="F7" s="175">
        <f>Public_2!F7*'BTU Conversion Factor'!$F$4</f>
        <v>0</v>
      </c>
      <c r="G7" s="175">
        <f>Public_2!G7*'BTU Conversion Factor'!$F$4</f>
        <v>0</v>
      </c>
      <c r="H7" s="175">
        <f>Public_2!H7*'BTU Conversion Factor'!$F$4</f>
        <v>0</v>
      </c>
      <c r="I7" s="175">
        <f>Public_2!I7*'BTU Conversion Factor'!$F$4</f>
        <v>0</v>
      </c>
      <c r="J7" s="175">
        <f>Public_2!J7*'BTU Conversion Factor'!$F$4</f>
        <v>0</v>
      </c>
      <c r="K7" s="175">
        <f>Public_2!K7*'BTU Conversion Factor'!$F$4</f>
        <v>0</v>
      </c>
      <c r="L7" s="175">
        <f>Public_2!L7*'BTU Conversion Factor'!$F$4</f>
        <v>0</v>
      </c>
      <c r="M7" s="175">
        <f>Public_2!M7*'BTU Conversion Factor'!$F$4</f>
        <v>0</v>
      </c>
      <c r="N7" s="175">
        <f>Public_2!N7*'BTU Conversion Factor'!$F$4</f>
        <v>0</v>
      </c>
      <c r="O7" s="175">
        <f>Public_2!O7*'BTU Conversion Factor'!$F$4</f>
        <v>0</v>
      </c>
      <c r="P7" s="175">
        <f>Public_2!P7*'BTU Conversion Factor'!$F$4</f>
        <v>0</v>
      </c>
      <c r="Q7" s="175">
        <f>Public_2!Q7*'BTU Conversion Factor'!$F$4</f>
        <v>0</v>
      </c>
      <c r="R7" s="175">
        <f>Public_2!R7*'BTU Conversion Factor'!$F$4</f>
        <v>0</v>
      </c>
      <c r="S7" s="175">
        <f>Public_2!S7*'BTU Conversion Factor'!$F$4</f>
        <v>0</v>
      </c>
      <c r="T7" s="175">
        <f>Public_2!T7*'BTU Conversion Factor'!$F$4</f>
        <v>0</v>
      </c>
      <c r="U7" s="175">
        <f>Public_2!U7*'BTU Conversion Factor'!$F$4</f>
        <v>0</v>
      </c>
      <c r="V7" s="175">
        <f>Public_2!V7*'BTU Conversion Factor'!$F$4</f>
        <v>0</v>
      </c>
      <c r="W7" s="175">
        <f>Public_2!W7*'BTU Conversion Factor'!$F$4</f>
        <v>0</v>
      </c>
      <c r="X7" s="175">
        <f>Public_2!X7*'BTU Conversion Factor'!$F$4</f>
        <v>0</v>
      </c>
      <c r="Y7" s="175">
        <f>Public_2!Y7*'BTU Conversion Factor'!$F$4</f>
        <v>0</v>
      </c>
      <c r="Z7" s="175">
        <f>Public_2!Z7*'BTU Conversion Factor'!$F$4</f>
        <v>0</v>
      </c>
      <c r="AA7" s="175">
        <f>Public_2!AA7*'BTU Conversion Factor'!$F$4</f>
        <v>0</v>
      </c>
      <c r="AB7" s="175">
        <f>Public_2!AB7*'BTU Conversion Factor'!$F$4</f>
        <v>0</v>
      </c>
      <c r="AC7" s="175">
        <f>Public_2!AC7*'BTU Conversion Factor'!$F$4</f>
        <v>0</v>
      </c>
      <c r="AD7" s="175">
        <f>Public_2!AD7*'BTU Conversion Factor'!$F$4</f>
        <v>0</v>
      </c>
      <c r="AE7" s="175">
        <f>Public_2!AE7*'BTU Conversion Factor'!$F$4</f>
        <v>0</v>
      </c>
      <c r="AF7" s="175">
        <f>Public_2!AF7*'BTU Conversion Factor'!$F$4</f>
        <v>0</v>
      </c>
      <c r="AG7" s="175">
        <f>Public_2!AG7*'BTU Conversion Factor'!$F$4</f>
        <v>0</v>
      </c>
      <c r="AH7" s="175">
        <f>Public_2!AH7*'BTU Conversion Factor'!$F$4</f>
        <v>0</v>
      </c>
      <c r="AI7" s="175">
        <f>Public_2!AI7*'BTU Conversion Factor'!$F$4</f>
        <v>0</v>
      </c>
      <c r="AJ7" s="175">
        <f>Public_2!AJ7*'BTU Conversion Factor'!$F$4</f>
        <v>0</v>
      </c>
      <c r="AK7" s="175">
        <f>Public_2!AK7*'BTU Conversion Factor'!$F$4</f>
        <v>0</v>
      </c>
      <c r="AL7" s="175">
        <f>Public_2!AL7*'BTU Conversion Factor'!$F$4</f>
        <v>0</v>
      </c>
      <c r="AM7" s="175">
        <f>Public_2!AM7*'BTU Conversion Factor'!$F$4</f>
        <v>0</v>
      </c>
      <c r="AN7" s="175">
        <f>Public_2!AN7*'BTU Conversion Factor'!$F$4</f>
        <v>0</v>
      </c>
      <c r="AO7" s="175">
        <f>Public_2!AO7*'BTU Conversion Factor'!$F$4</f>
        <v>0</v>
      </c>
      <c r="AP7" s="175">
        <f>Public_2!AP7*'BTU Conversion Factor'!$F$4</f>
        <v>0</v>
      </c>
      <c r="AQ7" s="175">
        <f>Public_2!AQ7*'BTU Conversion Factor'!$F$4</f>
        <v>0</v>
      </c>
      <c r="AR7" s="175">
        <f>Public_2!AR7*'BTU Conversion Factor'!$F$4</f>
        <v>0</v>
      </c>
      <c r="AS7" s="175">
        <f>Public_2!AS7*'BTU Conversion Factor'!$F$4</f>
        <v>0</v>
      </c>
      <c r="AT7" s="175">
        <f>Public_2!AT7*'BTU Conversion Factor'!$F$4</f>
        <v>0</v>
      </c>
      <c r="AU7" s="175">
        <f>Public_2!AU7*'BTU Conversion Factor'!$F$4</f>
        <v>0</v>
      </c>
    </row>
    <row r="8" spans="1:47">
      <c r="B8" s="60" t="s">
        <v>668</v>
      </c>
      <c r="C8" s="175">
        <f>Public_2!C8*'BTU Conversion Factor'!$F$4</f>
        <v>0</v>
      </c>
      <c r="D8" s="175">
        <f>Public_2!D8*'BTU Conversion Factor'!$F$4</f>
        <v>0</v>
      </c>
      <c r="E8" s="175">
        <f>Public_2!E8*'BTU Conversion Factor'!$F$4</f>
        <v>0</v>
      </c>
      <c r="F8" s="175">
        <f>Public_2!F8*'BTU Conversion Factor'!$F$4</f>
        <v>0</v>
      </c>
      <c r="G8" s="175">
        <f>Public_2!G8*'BTU Conversion Factor'!$F$4</f>
        <v>0</v>
      </c>
      <c r="H8" s="175">
        <f>Public_2!H8*'BTU Conversion Factor'!$F$4</f>
        <v>0</v>
      </c>
      <c r="I8" s="175">
        <f>Public_2!I8*'BTU Conversion Factor'!$F$4</f>
        <v>0</v>
      </c>
      <c r="J8" s="175">
        <f>Public_2!J8*'BTU Conversion Factor'!$F$4</f>
        <v>0</v>
      </c>
      <c r="K8" s="175">
        <f>Public_2!K8*'BTU Conversion Factor'!$F$4</f>
        <v>0</v>
      </c>
      <c r="L8" s="175">
        <f>Public_2!L8*'BTU Conversion Factor'!$F$4</f>
        <v>0</v>
      </c>
      <c r="M8" s="175">
        <f>Public_2!M8*'BTU Conversion Factor'!$F$4</f>
        <v>0</v>
      </c>
      <c r="N8" s="175">
        <f>Public_2!N8*'BTU Conversion Factor'!$F$4</f>
        <v>0</v>
      </c>
      <c r="O8" s="175">
        <f>Public_2!O8*'BTU Conversion Factor'!$F$4</f>
        <v>0</v>
      </c>
      <c r="P8" s="175">
        <f>Public_2!P8*'BTU Conversion Factor'!$F$4</f>
        <v>0</v>
      </c>
      <c r="Q8" s="175">
        <f>Public_2!Q8*'BTU Conversion Factor'!$F$4</f>
        <v>0</v>
      </c>
      <c r="R8" s="175">
        <f>Public_2!R8*'BTU Conversion Factor'!$F$4</f>
        <v>0</v>
      </c>
      <c r="S8" s="175">
        <f>Public_2!S8*'BTU Conversion Factor'!$F$4</f>
        <v>0</v>
      </c>
      <c r="T8" s="175">
        <f>Public_2!T8*'BTU Conversion Factor'!$F$4</f>
        <v>0</v>
      </c>
      <c r="U8" s="175">
        <f>Public_2!U8*'BTU Conversion Factor'!$F$4</f>
        <v>0</v>
      </c>
      <c r="V8" s="175">
        <f>Public_2!V8*'BTU Conversion Factor'!$F$4</f>
        <v>0</v>
      </c>
      <c r="W8" s="175">
        <f>Public_2!W8*'BTU Conversion Factor'!$F$4</f>
        <v>0</v>
      </c>
      <c r="X8" s="175">
        <f>Public_2!X8*'BTU Conversion Factor'!$F$4</f>
        <v>0</v>
      </c>
      <c r="Y8" s="175">
        <f>Public_2!Y8*'BTU Conversion Factor'!$F$4</f>
        <v>0</v>
      </c>
      <c r="Z8" s="175">
        <f>Public_2!Z8*'BTU Conversion Factor'!$F$4</f>
        <v>0</v>
      </c>
      <c r="AA8" s="175">
        <f>Public_2!AA8*'BTU Conversion Factor'!$F$4</f>
        <v>0</v>
      </c>
      <c r="AB8" s="175">
        <f>Public_2!AB8*'BTU Conversion Factor'!$F$4</f>
        <v>0</v>
      </c>
      <c r="AC8" s="175">
        <f>Public_2!AC8*'BTU Conversion Factor'!$F$4</f>
        <v>0</v>
      </c>
      <c r="AD8" s="175">
        <f>Public_2!AD8*'BTU Conversion Factor'!$F$4</f>
        <v>0</v>
      </c>
      <c r="AE8" s="175">
        <f>Public_2!AE8*'BTU Conversion Factor'!$F$4</f>
        <v>0</v>
      </c>
      <c r="AF8" s="175">
        <f>Public_2!AF8*'BTU Conversion Factor'!$F$4</f>
        <v>0</v>
      </c>
      <c r="AG8" s="175">
        <f>Public_2!AG8*'BTU Conversion Factor'!$F$4</f>
        <v>0</v>
      </c>
      <c r="AH8" s="175">
        <f>Public_2!AH8*'BTU Conversion Factor'!$F$4</f>
        <v>0</v>
      </c>
      <c r="AI8" s="175">
        <f>Public_2!AI8*'BTU Conversion Factor'!$F$4</f>
        <v>0</v>
      </c>
      <c r="AJ8" s="175">
        <f>Public_2!AJ8*'BTU Conversion Factor'!$F$4</f>
        <v>0</v>
      </c>
      <c r="AK8" s="175">
        <f>Public_2!AK8*'BTU Conversion Factor'!$F$4</f>
        <v>0</v>
      </c>
      <c r="AL8" s="175">
        <f>Public_2!AL8*'BTU Conversion Factor'!$F$4</f>
        <v>0</v>
      </c>
      <c r="AM8" s="175">
        <f>Public_2!AM8*'BTU Conversion Factor'!$F$4</f>
        <v>0</v>
      </c>
      <c r="AN8" s="175">
        <f>Public_2!AN8*'BTU Conversion Factor'!$F$4</f>
        <v>0</v>
      </c>
      <c r="AO8" s="175">
        <f>Public_2!AO8*'BTU Conversion Factor'!$F$4</f>
        <v>0</v>
      </c>
      <c r="AP8" s="175">
        <f>Public_2!AP8*'BTU Conversion Factor'!$F$4</f>
        <v>0</v>
      </c>
      <c r="AQ8" s="175">
        <f>Public_2!AQ8*'BTU Conversion Factor'!$F$4</f>
        <v>0</v>
      </c>
      <c r="AR8" s="175">
        <f>Public_2!AR8*'BTU Conversion Factor'!$F$4</f>
        <v>0</v>
      </c>
      <c r="AS8" s="175">
        <f>Public_2!AS8*'BTU Conversion Factor'!$F$4</f>
        <v>0</v>
      </c>
      <c r="AT8" s="175">
        <f>Public_2!AT8*'BTU Conversion Factor'!$F$4</f>
        <v>0</v>
      </c>
      <c r="AU8" s="175">
        <f>Public_2!AU8*'BTU Conversion Factor'!$F$4</f>
        <v>0</v>
      </c>
    </row>
    <row r="9" spans="1:47">
      <c r="B9" s="60" t="s">
        <v>669</v>
      </c>
      <c r="C9" s="175">
        <f>Public_2!C9*'BTU Conversion Factor'!$F$4</f>
        <v>0</v>
      </c>
      <c r="D9" s="175">
        <f>Public_2!D9*'BTU Conversion Factor'!$F$4</f>
        <v>0</v>
      </c>
      <c r="E9" s="175">
        <f>Public_2!E9*'BTU Conversion Factor'!$F$4</f>
        <v>0</v>
      </c>
      <c r="F9" s="175">
        <f>Public_2!F9*'BTU Conversion Factor'!$F$4</f>
        <v>0</v>
      </c>
      <c r="G9" s="175">
        <f>Public_2!G9*'BTU Conversion Factor'!$F$4</f>
        <v>0</v>
      </c>
      <c r="H9" s="175">
        <f>Public_2!H9*'BTU Conversion Factor'!$F$4</f>
        <v>0</v>
      </c>
      <c r="I9" s="175">
        <f>Public_2!I9*'BTU Conversion Factor'!$F$4</f>
        <v>0</v>
      </c>
      <c r="J9" s="175">
        <f>Public_2!J9*'BTU Conversion Factor'!$F$4</f>
        <v>0</v>
      </c>
      <c r="K9" s="175">
        <f>Public_2!K9*'BTU Conversion Factor'!$F$4</f>
        <v>0</v>
      </c>
      <c r="L9" s="175">
        <f>Public_2!L9*'BTU Conversion Factor'!$F$4</f>
        <v>0</v>
      </c>
      <c r="M9" s="175">
        <f>Public_2!M9*'BTU Conversion Factor'!$F$4</f>
        <v>0</v>
      </c>
      <c r="N9" s="175">
        <f>Public_2!N9*'BTU Conversion Factor'!$F$4</f>
        <v>0</v>
      </c>
      <c r="O9" s="175">
        <f>Public_2!O9*'BTU Conversion Factor'!$F$4</f>
        <v>0</v>
      </c>
      <c r="P9" s="175">
        <f>Public_2!P9*'BTU Conversion Factor'!$F$4</f>
        <v>0</v>
      </c>
      <c r="Q9" s="175">
        <f>Public_2!Q9*'BTU Conversion Factor'!$F$4</f>
        <v>0</v>
      </c>
      <c r="R9" s="175">
        <f>Public_2!R9*'BTU Conversion Factor'!$F$4</f>
        <v>0</v>
      </c>
      <c r="S9" s="175">
        <f>Public_2!S9*'BTU Conversion Factor'!$F$4</f>
        <v>0</v>
      </c>
      <c r="T9" s="175">
        <f>Public_2!T9*'BTU Conversion Factor'!$F$4</f>
        <v>0</v>
      </c>
      <c r="U9" s="175">
        <f>Public_2!U9*'BTU Conversion Factor'!$F$4</f>
        <v>0</v>
      </c>
      <c r="V9" s="175">
        <f>Public_2!V9*'BTU Conversion Factor'!$F$4</f>
        <v>0</v>
      </c>
      <c r="W9" s="175">
        <f>Public_2!W9*'BTU Conversion Factor'!$F$4</f>
        <v>0</v>
      </c>
      <c r="X9" s="175">
        <f>Public_2!X9*'BTU Conversion Factor'!$F$4</f>
        <v>0</v>
      </c>
      <c r="Y9" s="175">
        <f>Public_2!Y9*'BTU Conversion Factor'!$F$4</f>
        <v>0</v>
      </c>
      <c r="Z9" s="175">
        <f>Public_2!Z9*'BTU Conversion Factor'!$F$4</f>
        <v>0</v>
      </c>
      <c r="AA9" s="175">
        <f>Public_2!AA9*'BTU Conversion Factor'!$F$4</f>
        <v>0</v>
      </c>
      <c r="AB9" s="175">
        <f>Public_2!AB9*'BTU Conversion Factor'!$F$4</f>
        <v>0</v>
      </c>
      <c r="AC9" s="175">
        <f>Public_2!AC9*'BTU Conversion Factor'!$F$4</f>
        <v>0</v>
      </c>
      <c r="AD9" s="175">
        <f>Public_2!AD9*'BTU Conversion Factor'!$F$4</f>
        <v>0</v>
      </c>
      <c r="AE9" s="175">
        <f>Public_2!AE9*'BTU Conversion Factor'!$F$4</f>
        <v>0</v>
      </c>
      <c r="AF9" s="175">
        <f>Public_2!AF9*'BTU Conversion Factor'!$F$4</f>
        <v>0</v>
      </c>
      <c r="AG9" s="175">
        <f>Public_2!AG9*'BTU Conversion Factor'!$F$4</f>
        <v>0</v>
      </c>
      <c r="AH9" s="175">
        <f>Public_2!AH9*'BTU Conversion Factor'!$F$4</f>
        <v>0</v>
      </c>
      <c r="AI9" s="175">
        <f>Public_2!AI9*'BTU Conversion Factor'!$F$4</f>
        <v>0</v>
      </c>
      <c r="AJ9" s="175">
        <f>Public_2!AJ9*'BTU Conversion Factor'!$F$4</f>
        <v>0</v>
      </c>
      <c r="AK9" s="175">
        <f>Public_2!AK9*'BTU Conversion Factor'!$F$4</f>
        <v>0</v>
      </c>
      <c r="AL9" s="175">
        <f>Public_2!AL9*'BTU Conversion Factor'!$F$4</f>
        <v>0</v>
      </c>
      <c r="AM9" s="175">
        <f>Public_2!AM9*'BTU Conversion Factor'!$F$4</f>
        <v>0</v>
      </c>
      <c r="AN9" s="175">
        <f>Public_2!AN9*'BTU Conversion Factor'!$F$4</f>
        <v>0</v>
      </c>
      <c r="AO9" s="175">
        <f>Public_2!AO9*'BTU Conversion Factor'!$F$4</f>
        <v>0</v>
      </c>
      <c r="AP9" s="175">
        <f>Public_2!AP9*'BTU Conversion Factor'!$F$4</f>
        <v>0</v>
      </c>
      <c r="AQ9" s="175">
        <f>Public_2!AQ9*'BTU Conversion Factor'!$F$4</f>
        <v>0</v>
      </c>
      <c r="AR9" s="175">
        <f>Public_2!AR9*'BTU Conversion Factor'!$F$4</f>
        <v>0</v>
      </c>
      <c r="AS9" s="175">
        <f>Public_2!AS9*'BTU Conversion Factor'!$F$4</f>
        <v>0</v>
      </c>
      <c r="AT9" s="175">
        <f>Public_2!AT9*'BTU Conversion Factor'!$F$4</f>
        <v>0</v>
      </c>
      <c r="AU9" s="175">
        <f>Public_2!AU9*'BTU Conversion Factor'!$F$4</f>
        <v>0</v>
      </c>
    </row>
    <row r="10" spans="1:47">
      <c r="B10" s="60" t="s">
        <v>670</v>
      </c>
      <c r="C10" s="175">
        <f>Public_2!C10*'BTU Conversion Factor'!$F$4</f>
        <v>0</v>
      </c>
      <c r="D10" s="175">
        <f>Public_2!D10*'BTU Conversion Factor'!$F$4</f>
        <v>0</v>
      </c>
      <c r="E10" s="175">
        <f>Public_2!E10*'BTU Conversion Factor'!$F$4</f>
        <v>0</v>
      </c>
      <c r="F10" s="175">
        <f>Public_2!F10*'BTU Conversion Factor'!$F$4</f>
        <v>0</v>
      </c>
      <c r="G10" s="175">
        <f>Public_2!G10*'BTU Conversion Factor'!$F$4</f>
        <v>0</v>
      </c>
      <c r="H10" s="175">
        <f>Public_2!H10*'BTU Conversion Factor'!$F$4</f>
        <v>0</v>
      </c>
      <c r="I10" s="175">
        <f>Public_2!I10*'BTU Conversion Factor'!$F$4</f>
        <v>0</v>
      </c>
      <c r="J10" s="175">
        <f>Public_2!J10*'BTU Conversion Factor'!$F$4</f>
        <v>0</v>
      </c>
      <c r="K10" s="175">
        <f>Public_2!K10*'BTU Conversion Factor'!$F$4</f>
        <v>0</v>
      </c>
      <c r="L10" s="175">
        <f>Public_2!L10*'BTU Conversion Factor'!$F$4</f>
        <v>0</v>
      </c>
      <c r="M10" s="175">
        <f>Public_2!M10*'BTU Conversion Factor'!$F$4</f>
        <v>0</v>
      </c>
      <c r="N10" s="175">
        <f>Public_2!N10*'BTU Conversion Factor'!$F$4</f>
        <v>0</v>
      </c>
      <c r="O10" s="175">
        <f>Public_2!O10*'BTU Conversion Factor'!$F$4</f>
        <v>0</v>
      </c>
      <c r="P10" s="175">
        <f>Public_2!P10*'BTU Conversion Factor'!$F$4</f>
        <v>0</v>
      </c>
      <c r="Q10" s="175">
        <f>Public_2!Q10*'BTU Conversion Factor'!$F$4</f>
        <v>0</v>
      </c>
      <c r="R10" s="175">
        <f>Public_2!R10*'BTU Conversion Factor'!$F$4</f>
        <v>0</v>
      </c>
      <c r="S10" s="175">
        <f>Public_2!S10*'BTU Conversion Factor'!$F$4</f>
        <v>0</v>
      </c>
      <c r="T10" s="175">
        <f>Public_2!T10*'BTU Conversion Factor'!$F$4</f>
        <v>0</v>
      </c>
      <c r="U10" s="175">
        <f>Public_2!U10*'BTU Conversion Factor'!$F$4</f>
        <v>0</v>
      </c>
      <c r="V10" s="175">
        <f>Public_2!V10*'BTU Conversion Factor'!$F$4</f>
        <v>0</v>
      </c>
      <c r="W10" s="175">
        <f>Public_2!W10*'BTU Conversion Factor'!$F$4</f>
        <v>0</v>
      </c>
      <c r="X10" s="175">
        <f>Public_2!X10*'BTU Conversion Factor'!$F$4</f>
        <v>0</v>
      </c>
      <c r="Y10" s="175">
        <f>Public_2!Y10*'BTU Conversion Factor'!$F$4</f>
        <v>0</v>
      </c>
      <c r="Z10" s="175">
        <f>Public_2!Z10*'BTU Conversion Factor'!$F$4</f>
        <v>0</v>
      </c>
      <c r="AA10" s="175">
        <f>Public_2!AA10*'BTU Conversion Factor'!$F$4</f>
        <v>0</v>
      </c>
      <c r="AB10" s="175">
        <f>Public_2!AB10*'BTU Conversion Factor'!$F$4</f>
        <v>0</v>
      </c>
      <c r="AC10" s="175">
        <f>Public_2!AC10*'BTU Conversion Factor'!$F$4</f>
        <v>0</v>
      </c>
      <c r="AD10" s="175">
        <f>Public_2!AD10*'BTU Conversion Factor'!$F$4</f>
        <v>0</v>
      </c>
      <c r="AE10" s="175">
        <f>Public_2!AE10*'BTU Conversion Factor'!$F$4</f>
        <v>0</v>
      </c>
      <c r="AF10" s="175">
        <f>Public_2!AF10*'BTU Conversion Factor'!$F$4</f>
        <v>0</v>
      </c>
      <c r="AG10" s="175">
        <f>Public_2!AG10*'BTU Conversion Factor'!$F$4</f>
        <v>0</v>
      </c>
      <c r="AH10" s="175">
        <f>Public_2!AH10*'BTU Conversion Factor'!$F$4</f>
        <v>0</v>
      </c>
      <c r="AI10" s="175">
        <f>Public_2!AI10*'BTU Conversion Factor'!$F$4</f>
        <v>0</v>
      </c>
      <c r="AJ10" s="175">
        <f>Public_2!AJ10*'BTU Conversion Factor'!$F$4</f>
        <v>0</v>
      </c>
      <c r="AK10" s="175">
        <f>Public_2!AK10*'BTU Conversion Factor'!$F$4</f>
        <v>0</v>
      </c>
      <c r="AL10" s="175">
        <f>Public_2!AL10*'BTU Conversion Factor'!$F$4</f>
        <v>0</v>
      </c>
      <c r="AM10" s="175">
        <f>Public_2!AM10*'BTU Conversion Factor'!$F$4</f>
        <v>0</v>
      </c>
      <c r="AN10" s="175">
        <f>Public_2!AN10*'BTU Conversion Factor'!$F$4</f>
        <v>0</v>
      </c>
      <c r="AO10" s="175">
        <f>Public_2!AO10*'BTU Conversion Factor'!$F$4</f>
        <v>0</v>
      </c>
      <c r="AP10" s="175">
        <f>Public_2!AP10*'BTU Conversion Factor'!$F$4</f>
        <v>0</v>
      </c>
      <c r="AQ10" s="175">
        <f>Public_2!AQ10*'BTU Conversion Factor'!$F$4</f>
        <v>0</v>
      </c>
      <c r="AR10" s="175">
        <f>Public_2!AR10*'BTU Conversion Factor'!$F$4</f>
        <v>0</v>
      </c>
      <c r="AS10" s="175">
        <f>Public_2!AS10*'BTU Conversion Factor'!$F$4</f>
        <v>0</v>
      </c>
      <c r="AT10" s="175">
        <f>Public_2!AT10*'BTU Conversion Factor'!$F$4</f>
        <v>0</v>
      </c>
      <c r="AU10" s="175">
        <f>Public_2!AU10*'BTU Conversion Factor'!$F$4</f>
        <v>0</v>
      </c>
    </row>
    <row r="12" spans="1:47" s="64" customFormat="1">
      <c r="A12" s="124" t="s">
        <v>87</v>
      </c>
    </row>
    <row r="13" spans="1:47" s="60" customFormat="1">
      <c r="B13" s="60" t="s">
        <v>0</v>
      </c>
      <c r="C13" s="60">
        <v>2006</v>
      </c>
      <c r="D13" s="60">
        <v>2007</v>
      </c>
      <c r="E13" s="60">
        <v>2008</v>
      </c>
      <c r="F13" s="60">
        <v>2009</v>
      </c>
      <c r="G13" s="60">
        <v>2010</v>
      </c>
      <c r="H13" s="60">
        <v>2011</v>
      </c>
      <c r="I13" s="60">
        <v>2012</v>
      </c>
      <c r="J13" s="60">
        <v>2013</v>
      </c>
      <c r="K13" s="60">
        <v>2014</v>
      </c>
      <c r="L13" s="60">
        <v>2015</v>
      </c>
      <c r="M13" s="60">
        <v>2016</v>
      </c>
      <c r="N13" s="60">
        <v>2017</v>
      </c>
      <c r="O13" s="60">
        <v>2018</v>
      </c>
      <c r="P13" s="60">
        <v>2019</v>
      </c>
      <c r="Q13" s="60">
        <v>2020</v>
      </c>
      <c r="R13" s="60">
        <v>2021</v>
      </c>
      <c r="S13" s="60">
        <v>2022</v>
      </c>
      <c r="T13" s="60">
        <v>2023</v>
      </c>
      <c r="U13" s="60">
        <v>2024</v>
      </c>
      <c r="V13" s="60">
        <v>2025</v>
      </c>
      <c r="W13" s="60">
        <v>2026</v>
      </c>
      <c r="X13" s="60">
        <v>2027</v>
      </c>
      <c r="Y13" s="60">
        <v>2028</v>
      </c>
      <c r="Z13" s="60">
        <v>2029</v>
      </c>
      <c r="AA13" s="60">
        <v>2030</v>
      </c>
      <c r="AB13" s="60">
        <v>2031</v>
      </c>
      <c r="AC13" s="60">
        <v>2032</v>
      </c>
      <c r="AD13" s="60">
        <v>2033</v>
      </c>
      <c r="AE13" s="60">
        <v>2034</v>
      </c>
      <c r="AF13" s="60">
        <v>2035</v>
      </c>
      <c r="AG13" s="60">
        <v>2036</v>
      </c>
      <c r="AH13" s="60">
        <v>2037</v>
      </c>
      <c r="AI13" s="60">
        <v>2038</v>
      </c>
      <c r="AJ13" s="60">
        <v>2039</v>
      </c>
      <c r="AK13" s="60">
        <v>2040</v>
      </c>
      <c r="AL13" s="60">
        <v>2041</v>
      </c>
      <c r="AM13" s="60">
        <v>2042</v>
      </c>
      <c r="AN13" s="60">
        <v>2043</v>
      </c>
      <c r="AO13" s="60">
        <v>2044</v>
      </c>
      <c r="AP13" s="60">
        <v>2045</v>
      </c>
      <c r="AQ13" s="60">
        <v>2046</v>
      </c>
      <c r="AR13" s="60">
        <v>2047</v>
      </c>
      <c r="AS13" s="60">
        <v>2048</v>
      </c>
      <c r="AT13" s="60">
        <v>2049</v>
      </c>
      <c r="AU13" s="60">
        <v>2050</v>
      </c>
    </row>
    <row r="14" spans="1:47">
      <c r="B14" s="60" t="s">
        <v>665</v>
      </c>
      <c r="C14" s="175">
        <f>Public_2!C14*'BTU Conversion Factor'!$F$4</f>
        <v>5152157688401.7139</v>
      </c>
      <c r="D14" s="175">
        <f>Public_2!D14*'BTU Conversion Factor'!$F$4</f>
        <v>5092314316226.9844</v>
      </c>
      <c r="E14" s="175">
        <f>Public_2!E14*'BTU Conversion Factor'!$F$4</f>
        <v>4908563689516.0146</v>
      </c>
      <c r="F14" s="175">
        <f>Public_2!F14*'BTU Conversion Factor'!$F$4</f>
        <v>5255955565106.4248</v>
      </c>
      <c r="G14" s="175">
        <f>Public_2!G14*'BTU Conversion Factor'!$F$4</f>
        <v>5258056490209.3799</v>
      </c>
      <c r="H14" s="175">
        <f>Public_2!H14*'BTU Conversion Factor'!$F$4</f>
        <v>5285064875383.001</v>
      </c>
      <c r="I14" s="175">
        <f>Public_2!I14*'BTU Conversion Factor'!$F$4</f>
        <v>5403486939205.3516</v>
      </c>
      <c r="J14" s="175">
        <f>Public_2!J14*'BTU Conversion Factor'!$F$4</f>
        <v>4735808425672.9111</v>
      </c>
      <c r="K14" s="175">
        <f>Public_2!K14*'BTU Conversion Factor'!$F$4</f>
        <v>6047137756136.6738</v>
      </c>
      <c r="L14" s="175">
        <f>Public_2!L14*'BTU Conversion Factor'!$F$4</f>
        <v>5911846019846.5459</v>
      </c>
      <c r="M14" s="175">
        <f>Public_2!M14*'BTU Conversion Factor'!$F$4</f>
        <v>5835848195041.8164</v>
      </c>
      <c r="N14" s="175">
        <f>Public_2!N14*'BTU Conversion Factor'!$F$4</f>
        <v>5563288021164.7363</v>
      </c>
      <c r="O14" s="175">
        <f>Public_2!O14*'BTU Conversion Factor'!$F$4</f>
        <v>5766250255427.0527</v>
      </c>
      <c r="P14" s="175">
        <f>Public_2!P14*'BTU Conversion Factor'!$F$4</f>
        <v>5964975328694.8174</v>
      </c>
      <c r="Q14" s="175">
        <f>Public_2!Q14*'BTU Conversion Factor'!$F$4</f>
        <v>6168339568729.3301</v>
      </c>
      <c r="R14" s="175">
        <f>Public_2!R14*'BTU Conversion Factor'!$F$4</f>
        <v>6368867667464.1973</v>
      </c>
      <c r="S14" s="175">
        <f>Public_2!S14*'BTU Conversion Factor'!$F$4</f>
        <v>6569732116376.3408</v>
      </c>
      <c r="T14" s="175">
        <f>Public_2!T14*'BTU Conversion Factor'!$F$4</f>
        <v>6770238628686.9414</v>
      </c>
      <c r="U14" s="175">
        <f>Public_2!U14*'BTU Conversion Factor'!$F$4</f>
        <v>6967395303898.1699</v>
      </c>
      <c r="V14" s="175">
        <f>Public_2!V14*'BTU Conversion Factor'!$F$4</f>
        <v>7162647587341.7402</v>
      </c>
      <c r="W14" s="175">
        <f>Public_2!W14*'BTU Conversion Factor'!$F$4</f>
        <v>7354693011957.9766</v>
      </c>
      <c r="X14" s="175">
        <f>Public_2!X14*'BTU Conversion Factor'!$F$4</f>
        <v>7544830730120.7695</v>
      </c>
      <c r="Y14" s="175">
        <f>Public_2!Y14*'BTU Conversion Factor'!$F$4</f>
        <v>7736066536576.0791</v>
      </c>
      <c r="Z14" s="175">
        <f>Public_2!Z14*'BTU Conversion Factor'!$F$4</f>
        <v>7926870468126.4541</v>
      </c>
      <c r="AA14" s="175">
        <f>Public_2!AA14*'BTU Conversion Factor'!$F$4</f>
        <v>8115389983878.1328</v>
      </c>
      <c r="AB14" s="175">
        <f>Public_2!AB14*'BTU Conversion Factor'!$F$4</f>
        <v>8302548742237.8027</v>
      </c>
      <c r="AC14" s="175">
        <f>Public_2!AC14*'BTU Conversion Factor'!$F$4</f>
        <v>8488510683745.7939</v>
      </c>
      <c r="AD14" s="175">
        <f>Public_2!AD14*'BTU Conversion Factor'!$F$4</f>
        <v>8674001413189.3516</v>
      </c>
      <c r="AE14" s="175">
        <f>Public_2!AE14*'BTU Conversion Factor'!$F$4</f>
        <v>8856741309442.4023</v>
      </c>
      <c r="AF14" s="175">
        <f>Public_2!AF14*'BTU Conversion Factor'!$F$4</f>
        <v>9034971549825.4082</v>
      </c>
      <c r="AG14" s="175">
        <f>Public_2!AG14*'BTU Conversion Factor'!$F$4</f>
        <v>9209210209896.1641</v>
      </c>
      <c r="AH14" s="175">
        <f>Public_2!AH14*'BTU Conversion Factor'!$F$4</f>
        <v>9378996250423.6328</v>
      </c>
      <c r="AI14" s="175">
        <f>Public_2!AI14*'BTU Conversion Factor'!$F$4</f>
        <v>9543392303110.8828</v>
      </c>
      <c r="AJ14" s="175">
        <f>Public_2!AJ14*'BTU Conversion Factor'!$F$4</f>
        <v>9700951077987.5898</v>
      </c>
      <c r="AK14" s="175">
        <f>Public_2!AK14*'BTU Conversion Factor'!$F$4</f>
        <v>9852444742460.7656</v>
      </c>
      <c r="AL14" s="175">
        <f>Public_2!AL14*'BTU Conversion Factor'!$F$4</f>
        <v>9996887844726.3301</v>
      </c>
      <c r="AM14" s="175">
        <f>Public_2!AM14*'BTU Conversion Factor'!$F$4</f>
        <v>10134619500753.109</v>
      </c>
      <c r="AN14" s="175">
        <f>Public_2!AN14*'BTU Conversion Factor'!$F$4</f>
        <v>10267393346388.535</v>
      </c>
      <c r="AO14" s="175">
        <f>Public_2!AO14*'BTU Conversion Factor'!$F$4</f>
        <v>10394540815846.379</v>
      </c>
      <c r="AP14" s="175">
        <f>Public_2!AP14*'BTU Conversion Factor'!$F$4</f>
        <v>10514989567206.639</v>
      </c>
      <c r="AQ14" s="175">
        <f>Public_2!AQ14*'BTU Conversion Factor'!$F$4</f>
        <v>10629055796449.539</v>
      </c>
      <c r="AR14" s="175">
        <f>Public_2!AR14*'BTU Conversion Factor'!$F$4</f>
        <v>10735252871803.195</v>
      </c>
      <c r="AS14" s="175">
        <f>Public_2!AS14*'BTU Conversion Factor'!$F$4</f>
        <v>10835486102688.9</v>
      </c>
      <c r="AT14" s="175">
        <f>Public_2!AT14*'BTU Conversion Factor'!$F$4</f>
        <v>10928414269549.217</v>
      </c>
      <c r="AU14" s="175">
        <f>Public_2!AU14*'BTU Conversion Factor'!$F$4</f>
        <v>11014139753928.301</v>
      </c>
    </row>
    <row r="15" spans="1:47">
      <c r="B15" s="60" t="s">
        <v>666</v>
      </c>
      <c r="C15" s="175">
        <f>Public_2!C15*'BTU Conversion Factor'!$F$4</f>
        <v>0</v>
      </c>
      <c r="D15" s="175">
        <f>Public_2!D15*'BTU Conversion Factor'!$F$4</f>
        <v>0</v>
      </c>
      <c r="E15" s="175">
        <f>Public_2!E15*'BTU Conversion Factor'!$F$4</f>
        <v>0</v>
      </c>
      <c r="F15" s="175">
        <f>Public_2!F15*'BTU Conversion Factor'!$F$4</f>
        <v>0</v>
      </c>
      <c r="G15" s="175">
        <f>Public_2!G15*'BTU Conversion Factor'!$F$4</f>
        <v>0</v>
      </c>
      <c r="H15" s="175">
        <f>Public_2!H15*'BTU Conversion Factor'!$F$4</f>
        <v>0</v>
      </c>
      <c r="I15" s="175">
        <f>Public_2!I15*'BTU Conversion Factor'!$F$4</f>
        <v>0</v>
      </c>
      <c r="J15" s="175">
        <f>Public_2!J15*'BTU Conversion Factor'!$F$4</f>
        <v>0</v>
      </c>
      <c r="K15" s="175">
        <f>Public_2!K15*'BTU Conversion Factor'!$F$4</f>
        <v>0</v>
      </c>
      <c r="L15" s="175">
        <f>Public_2!L15*'BTU Conversion Factor'!$F$4</f>
        <v>0</v>
      </c>
      <c r="M15" s="175">
        <f>Public_2!M15*'BTU Conversion Factor'!$F$4</f>
        <v>0</v>
      </c>
      <c r="N15" s="175">
        <f>Public_2!N15*'BTU Conversion Factor'!$F$4</f>
        <v>0</v>
      </c>
      <c r="O15" s="175">
        <f>Public_2!O15*'BTU Conversion Factor'!$F$4</f>
        <v>0</v>
      </c>
      <c r="P15" s="175">
        <f>Public_2!P15*'BTU Conversion Factor'!$F$4</f>
        <v>0</v>
      </c>
      <c r="Q15" s="175">
        <f>Public_2!Q15*'BTU Conversion Factor'!$F$4</f>
        <v>0</v>
      </c>
      <c r="R15" s="175">
        <f>Public_2!R15*'BTU Conversion Factor'!$F$4</f>
        <v>0</v>
      </c>
      <c r="S15" s="175">
        <f>Public_2!S15*'BTU Conversion Factor'!$F$4</f>
        <v>0</v>
      </c>
      <c r="T15" s="175">
        <f>Public_2!T15*'BTU Conversion Factor'!$F$4</f>
        <v>0</v>
      </c>
      <c r="U15" s="175">
        <f>Public_2!U15*'BTU Conversion Factor'!$F$4</f>
        <v>0</v>
      </c>
      <c r="V15" s="175">
        <f>Public_2!V15*'BTU Conversion Factor'!$F$4</f>
        <v>0</v>
      </c>
      <c r="W15" s="175">
        <f>Public_2!W15*'BTU Conversion Factor'!$F$4</f>
        <v>0</v>
      </c>
      <c r="X15" s="175">
        <f>Public_2!X15*'BTU Conversion Factor'!$F$4</f>
        <v>0</v>
      </c>
      <c r="Y15" s="175">
        <f>Public_2!Y15*'BTU Conversion Factor'!$F$4</f>
        <v>0</v>
      </c>
      <c r="Z15" s="175">
        <f>Public_2!Z15*'BTU Conversion Factor'!$F$4</f>
        <v>0</v>
      </c>
      <c r="AA15" s="175">
        <f>Public_2!AA15*'BTU Conversion Factor'!$F$4</f>
        <v>0</v>
      </c>
      <c r="AB15" s="175">
        <f>Public_2!AB15*'BTU Conversion Factor'!$F$4</f>
        <v>0</v>
      </c>
      <c r="AC15" s="175">
        <f>Public_2!AC15*'BTU Conversion Factor'!$F$4</f>
        <v>0</v>
      </c>
      <c r="AD15" s="175">
        <f>Public_2!AD15*'BTU Conversion Factor'!$F$4</f>
        <v>0</v>
      </c>
      <c r="AE15" s="175">
        <f>Public_2!AE15*'BTU Conversion Factor'!$F$4</f>
        <v>0</v>
      </c>
      <c r="AF15" s="175">
        <f>Public_2!AF15*'BTU Conversion Factor'!$F$4</f>
        <v>0</v>
      </c>
      <c r="AG15" s="175">
        <f>Public_2!AG15*'BTU Conversion Factor'!$F$4</f>
        <v>0</v>
      </c>
      <c r="AH15" s="175">
        <f>Public_2!AH15*'BTU Conversion Factor'!$F$4</f>
        <v>0</v>
      </c>
      <c r="AI15" s="175">
        <f>Public_2!AI15*'BTU Conversion Factor'!$F$4</f>
        <v>0</v>
      </c>
      <c r="AJ15" s="175">
        <f>Public_2!AJ15*'BTU Conversion Factor'!$F$4</f>
        <v>0</v>
      </c>
      <c r="AK15" s="175">
        <f>Public_2!AK15*'BTU Conversion Factor'!$F$4</f>
        <v>0</v>
      </c>
      <c r="AL15" s="175">
        <f>Public_2!AL15*'BTU Conversion Factor'!$F$4</f>
        <v>0</v>
      </c>
      <c r="AM15" s="175">
        <f>Public_2!AM15*'BTU Conversion Factor'!$F$4</f>
        <v>0</v>
      </c>
      <c r="AN15" s="175">
        <f>Public_2!AN15*'BTU Conversion Factor'!$F$4</f>
        <v>0</v>
      </c>
      <c r="AO15" s="175">
        <f>Public_2!AO15*'BTU Conversion Factor'!$F$4</f>
        <v>0</v>
      </c>
      <c r="AP15" s="175">
        <f>Public_2!AP15*'BTU Conversion Factor'!$F$4</f>
        <v>0</v>
      </c>
      <c r="AQ15" s="175">
        <f>Public_2!AQ15*'BTU Conversion Factor'!$F$4</f>
        <v>0</v>
      </c>
      <c r="AR15" s="175">
        <f>Public_2!AR15*'BTU Conversion Factor'!$F$4</f>
        <v>0</v>
      </c>
      <c r="AS15" s="175">
        <f>Public_2!AS15*'BTU Conversion Factor'!$F$4</f>
        <v>0</v>
      </c>
      <c r="AT15" s="175">
        <f>Public_2!AT15*'BTU Conversion Factor'!$F$4</f>
        <v>0</v>
      </c>
      <c r="AU15" s="175">
        <f>Public_2!AU15*'BTU Conversion Factor'!$F$4</f>
        <v>0</v>
      </c>
    </row>
    <row r="16" spans="1:47">
      <c r="B16" s="60" t="s">
        <v>667</v>
      </c>
      <c r="C16" s="175">
        <f>Public_2!C16*'BTU Conversion Factor'!$F$4</f>
        <v>0</v>
      </c>
      <c r="D16" s="175">
        <f>Public_2!D16*'BTU Conversion Factor'!$F$4</f>
        <v>0</v>
      </c>
      <c r="E16" s="175">
        <f>Public_2!E16*'BTU Conversion Factor'!$F$4</f>
        <v>0</v>
      </c>
      <c r="F16" s="175">
        <f>Public_2!F16*'BTU Conversion Factor'!$F$4</f>
        <v>0</v>
      </c>
      <c r="G16" s="175">
        <f>Public_2!G16*'BTU Conversion Factor'!$F$4</f>
        <v>0</v>
      </c>
      <c r="H16" s="175">
        <f>Public_2!H16*'BTU Conversion Factor'!$F$4</f>
        <v>0</v>
      </c>
      <c r="I16" s="175">
        <f>Public_2!I16*'BTU Conversion Factor'!$F$4</f>
        <v>0</v>
      </c>
      <c r="J16" s="175">
        <f>Public_2!J16*'BTU Conversion Factor'!$F$4</f>
        <v>0</v>
      </c>
      <c r="K16" s="175">
        <f>Public_2!K16*'BTU Conversion Factor'!$F$4</f>
        <v>0</v>
      </c>
      <c r="L16" s="175">
        <f>Public_2!L16*'BTU Conversion Factor'!$F$4</f>
        <v>0</v>
      </c>
      <c r="M16" s="175">
        <f>Public_2!M16*'BTU Conversion Factor'!$F$4</f>
        <v>0</v>
      </c>
      <c r="N16" s="175">
        <f>Public_2!N16*'BTU Conversion Factor'!$F$4</f>
        <v>0</v>
      </c>
      <c r="O16" s="175">
        <f>Public_2!O16*'BTU Conversion Factor'!$F$4</f>
        <v>0</v>
      </c>
      <c r="P16" s="175">
        <f>Public_2!P16*'BTU Conversion Factor'!$F$4</f>
        <v>0</v>
      </c>
      <c r="Q16" s="175">
        <f>Public_2!Q16*'BTU Conversion Factor'!$F$4</f>
        <v>0</v>
      </c>
      <c r="R16" s="175">
        <f>Public_2!R16*'BTU Conversion Factor'!$F$4</f>
        <v>0</v>
      </c>
      <c r="S16" s="175">
        <f>Public_2!S16*'BTU Conversion Factor'!$F$4</f>
        <v>0</v>
      </c>
      <c r="T16" s="175">
        <f>Public_2!T16*'BTU Conversion Factor'!$F$4</f>
        <v>0</v>
      </c>
      <c r="U16" s="175">
        <f>Public_2!U16*'BTU Conversion Factor'!$F$4</f>
        <v>0</v>
      </c>
      <c r="V16" s="175">
        <f>Public_2!V16*'BTU Conversion Factor'!$F$4</f>
        <v>0</v>
      </c>
      <c r="W16" s="175">
        <f>Public_2!W16*'BTU Conversion Factor'!$F$4</f>
        <v>0</v>
      </c>
      <c r="X16" s="175">
        <f>Public_2!X16*'BTU Conversion Factor'!$F$4</f>
        <v>0</v>
      </c>
      <c r="Y16" s="175">
        <f>Public_2!Y16*'BTU Conversion Factor'!$F$4</f>
        <v>0</v>
      </c>
      <c r="Z16" s="175">
        <f>Public_2!Z16*'BTU Conversion Factor'!$F$4</f>
        <v>0</v>
      </c>
      <c r="AA16" s="175">
        <f>Public_2!AA16*'BTU Conversion Factor'!$F$4</f>
        <v>0</v>
      </c>
      <c r="AB16" s="175">
        <f>Public_2!AB16*'BTU Conversion Factor'!$F$4</f>
        <v>0</v>
      </c>
      <c r="AC16" s="175">
        <f>Public_2!AC16*'BTU Conversion Factor'!$F$4</f>
        <v>0</v>
      </c>
      <c r="AD16" s="175">
        <f>Public_2!AD16*'BTU Conversion Factor'!$F$4</f>
        <v>0</v>
      </c>
      <c r="AE16" s="175">
        <f>Public_2!AE16*'BTU Conversion Factor'!$F$4</f>
        <v>0</v>
      </c>
      <c r="AF16" s="175">
        <f>Public_2!AF16*'BTU Conversion Factor'!$F$4</f>
        <v>0</v>
      </c>
      <c r="AG16" s="175">
        <f>Public_2!AG16*'BTU Conversion Factor'!$F$4</f>
        <v>0</v>
      </c>
      <c r="AH16" s="175">
        <f>Public_2!AH16*'BTU Conversion Factor'!$F$4</f>
        <v>0</v>
      </c>
      <c r="AI16" s="175">
        <f>Public_2!AI16*'BTU Conversion Factor'!$F$4</f>
        <v>0</v>
      </c>
      <c r="AJ16" s="175">
        <f>Public_2!AJ16*'BTU Conversion Factor'!$F$4</f>
        <v>0</v>
      </c>
      <c r="AK16" s="175">
        <f>Public_2!AK16*'BTU Conversion Factor'!$F$4</f>
        <v>0</v>
      </c>
      <c r="AL16" s="175">
        <f>Public_2!AL16*'BTU Conversion Factor'!$F$4</f>
        <v>0</v>
      </c>
      <c r="AM16" s="175">
        <f>Public_2!AM16*'BTU Conversion Factor'!$F$4</f>
        <v>0</v>
      </c>
      <c r="AN16" s="175">
        <f>Public_2!AN16*'BTU Conversion Factor'!$F$4</f>
        <v>0</v>
      </c>
      <c r="AO16" s="175">
        <f>Public_2!AO16*'BTU Conversion Factor'!$F$4</f>
        <v>0</v>
      </c>
      <c r="AP16" s="175">
        <f>Public_2!AP16*'BTU Conversion Factor'!$F$4</f>
        <v>0</v>
      </c>
      <c r="AQ16" s="175">
        <f>Public_2!AQ16*'BTU Conversion Factor'!$F$4</f>
        <v>0</v>
      </c>
      <c r="AR16" s="175">
        <f>Public_2!AR16*'BTU Conversion Factor'!$F$4</f>
        <v>0</v>
      </c>
      <c r="AS16" s="175">
        <f>Public_2!AS16*'BTU Conversion Factor'!$F$4</f>
        <v>0</v>
      </c>
      <c r="AT16" s="175">
        <f>Public_2!AT16*'BTU Conversion Factor'!$F$4</f>
        <v>0</v>
      </c>
      <c r="AU16" s="175">
        <f>Public_2!AU16*'BTU Conversion Factor'!$F$4</f>
        <v>0</v>
      </c>
    </row>
    <row r="17" spans="1:47">
      <c r="B17" s="60" t="s">
        <v>668</v>
      </c>
      <c r="C17" s="175">
        <f>Public_2!C17*'BTU Conversion Factor'!$F$4</f>
        <v>0</v>
      </c>
      <c r="D17" s="175">
        <f>Public_2!D17*'BTU Conversion Factor'!$F$4</f>
        <v>0</v>
      </c>
      <c r="E17" s="175">
        <f>Public_2!E17*'BTU Conversion Factor'!$F$4</f>
        <v>0</v>
      </c>
      <c r="F17" s="175">
        <f>Public_2!F17*'BTU Conversion Factor'!$F$4</f>
        <v>0</v>
      </c>
      <c r="G17" s="175">
        <f>Public_2!G17*'BTU Conversion Factor'!$F$4</f>
        <v>0</v>
      </c>
      <c r="H17" s="175">
        <f>Public_2!H17*'BTU Conversion Factor'!$F$4</f>
        <v>0</v>
      </c>
      <c r="I17" s="175">
        <f>Public_2!I17*'BTU Conversion Factor'!$F$4</f>
        <v>0</v>
      </c>
      <c r="J17" s="175">
        <f>Public_2!J17*'BTU Conversion Factor'!$F$4</f>
        <v>0</v>
      </c>
      <c r="K17" s="175">
        <f>Public_2!K17*'BTU Conversion Factor'!$F$4</f>
        <v>0</v>
      </c>
      <c r="L17" s="175">
        <f>Public_2!L17*'BTU Conversion Factor'!$F$4</f>
        <v>0</v>
      </c>
      <c r="M17" s="175">
        <f>Public_2!M17*'BTU Conversion Factor'!$F$4</f>
        <v>0</v>
      </c>
      <c r="N17" s="175">
        <f>Public_2!N17*'BTU Conversion Factor'!$F$4</f>
        <v>0</v>
      </c>
      <c r="O17" s="175">
        <f>Public_2!O17*'BTU Conversion Factor'!$F$4</f>
        <v>0</v>
      </c>
      <c r="P17" s="175">
        <f>Public_2!P17*'BTU Conversion Factor'!$F$4</f>
        <v>0</v>
      </c>
      <c r="Q17" s="175">
        <f>Public_2!Q17*'BTU Conversion Factor'!$F$4</f>
        <v>0</v>
      </c>
      <c r="R17" s="175">
        <f>Public_2!R17*'BTU Conversion Factor'!$F$4</f>
        <v>0</v>
      </c>
      <c r="S17" s="175">
        <f>Public_2!S17*'BTU Conversion Factor'!$F$4</f>
        <v>0</v>
      </c>
      <c r="T17" s="175">
        <f>Public_2!T17*'BTU Conversion Factor'!$F$4</f>
        <v>0</v>
      </c>
      <c r="U17" s="175">
        <f>Public_2!U17*'BTU Conversion Factor'!$F$4</f>
        <v>0</v>
      </c>
      <c r="V17" s="175">
        <f>Public_2!V17*'BTU Conversion Factor'!$F$4</f>
        <v>0</v>
      </c>
      <c r="W17" s="175">
        <f>Public_2!W17*'BTU Conversion Factor'!$F$4</f>
        <v>0</v>
      </c>
      <c r="X17" s="175">
        <f>Public_2!X17*'BTU Conversion Factor'!$F$4</f>
        <v>0</v>
      </c>
      <c r="Y17" s="175">
        <f>Public_2!Y17*'BTU Conversion Factor'!$F$4</f>
        <v>0</v>
      </c>
      <c r="Z17" s="175">
        <f>Public_2!Z17*'BTU Conversion Factor'!$F$4</f>
        <v>0</v>
      </c>
      <c r="AA17" s="175">
        <f>Public_2!AA17*'BTU Conversion Factor'!$F$4</f>
        <v>0</v>
      </c>
      <c r="AB17" s="175">
        <f>Public_2!AB17*'BTU Conversion Factor'!$F$4</f>
        <v>0</v>
      </c>
      <c r="AC17" s="175">
        <f>Public_2!AC17*'BTU Conversion Factor'!$F$4</f>
        <v>0</v>
      </c>
      <c r="AD17" s="175">
        <f>Public_2!AD17*'BTU Conversion Factor'!$F$4</f>
        <v>0</v>
      </c>
      <c r="AE17" s="175">
        <f>Public_2!AE17*'BTU Conversion Factor'!$F$4</f>
        <v>0</v>
      </c>
      <c r="AF17" s="175">
        <f>Public_2!AF17*'BTU Conversion Factor'!$F$4</f>
        <v>0</v>
      </c>
      <c r="AG17" s="175">
        <f>Public_2!AG17*'BTU Conversion Factor'!$F$4</f>
        <v>0</v>
      </c>
      <c r="AH17" s="175">
        <f>Public_2!AH17*'BTU Conversion Factor'!$F$4</f>
        <v>0</v>
      </c>
      <c r="AI17" s="175">
        <f>Public_2!AI17*'BTU Conversion Factor'!$F$4</f>
        <v>0</v>
      </c>
      <c r="AJ17" s="175">
        <f>Public_2!AJ17*'BTU Conversion Factor'!$F$4</f>
        <v>0</v>
      </c>
      <c r="AK17" s="175">
        <f>Public_2!AK17*'BTU Conversion Factor'!$F$4</f>
        <v>0</v>
      </c>
      <c r="AL17" s="175">
        <f>Public_2!AL17*'BTU Conversion Factor'!$F$4</f>
        <v>0</v>
      </c>
      <c r="AM17" s="175">
        <f>Public_2!AM17*'BTU Conversion Factor'!$F$4</f>
        <v>0</v>
      </c>
      <c r="AN17" s="175">
        <f>Public_2!AN17*'BTU Conversion Factor'!$F$4</f>
        <v>0</v>
      </c>
      <c r="AO17" s="175">
        <f>Public_2!AO17*'BTU Conversion Factor'!$F$4</f>
        <v>0</v>
      </c>
      <c r="AP17" s="175">
        <f>Public_2!AP17*'BTU Conversion Factor'!$F$4</f>
        <v>0</v>
      </c>
      <c r="AQ17" s="175">
        <f>Public_2!AQ17*'BTU Conversion Factor'!$F$4</f>
        <v>0</v>
      </c>
      <c r="AR17" s="175">
        <f>Public_2!AR17*'BTU Conversion Factor'!$F$4</f>
        <v>0</v>
      </c>
      <c r="AS17" s="175">
        <f>Public_2!AS17*'BTU Conversion Factor'!$F$4</f>
        <v>0</v>
      </c>
      <c r="AT17" s="175">
        <f>Public_2!AT17*'BTU Conversion Factor'!$F$4</f>
        <v>0</v>
      </c>
      <c r="AU17" s="175">
        <f>Public_2!AU17*'BTU Conversion Factor'!$F$4</f>
        <v>0</v>
      </c>
    </row>
    <row r="18" spans="1:47">
      <c r="B18" s="60" t="s">
        <v>669</v>
      </c>
      <c r="C18" s="175">
        <f>Public_2!C18*'BTU Conversion Factor'!$F$4</f>
        <v>0</v>
      </c>
      <c r="D18" s="175">
        <f>Public_2!D18*'BTU Conversion Factor'!$F$4</f>
        <v>0</v>
      </c>
      <c r="E18" s="175">
        <f>Public_2!E18*'BTU Conversion Factor'!$F$4</f>
        <v>0</v>
      </c>
      <c r="F18" s="175">
        <f>Public_2!F18*'BTU Conversion Factor'!$F$4</f>
        <v>0</v>
      </c>
      <c r="G18" s="175">
        <f>Public_2!G18*'BTU Conversion Factor'!$F$4</f>
        <v>0</v>
      </c>
      <c r="H18" s="175">
        <f>Public_2!H18*'BTU Conversion Factor'!$F$4</f>
        <v>0</v>
      </c>
      <c r="I18" s="175">
        <f>Public_2!I18*'BTU Conversion Factor'!$F$4</f>
        <v>0</v>
      </c>
      <c r="J18" s="175">
        <f>Public_2!J18*'BTU Conversion Factor'!$F$4</f>
        <v>0</v>
      </c>
      <c r="K18" s="175">
        <f>Public_2!K18*'BTU Conversion Factor'!$F$4</f>
        <v>0</v>
      </c>
      <c r="L18" s="175">
        <f>Public_2!L18*'BTU Conversion Factor'!$F$4</f>
        <v>0</v>
      </c>
      <c r="M18" s="175">
        <f>Public_2!M18*'BTU Conversion Factor'!$F$4</f>
        <v>0</v>
      </c>
      <c r="N18" s="175">
        <f>Public_2!N18*'BTU Conversion Factor'!$F$4</f>
        <v>0</v>
      </c>
      <c r="O18" s="175">
        <f>Public_2!O18*'BTU Conversion Factor'!$F$4</f>
        <v>0</v>
      </c>
      <c r="P18" s="175">
        <f>Public_2!P18*'BTU Conversion Factor'!$F$4</f>
        <v>0</v>
      </c>
      <c r="Q18" s="175">
        <f>Public_2!Q18*'BTU Conversion Factor'!$F$4</f>
        <v>0</v>
      </c>
      <c r="R18" s="175">
        <f>Public_2!R18*'BTU Conversion Factor'!$F$4</f>
        <v>0</v>
      </c>
      <c r="S18" s="175">
        <f>Public_2!S18*'BTU Conversion Factor'!$F$4</f>
        <v>0</v>
      </c>
      <c r="T18" s="175">
        <f>Public_2!T18*'BTU Conversion Factor'!$F$4</f>
        <v>0</v>
      </c>
      <c r="U18" s="175">
        <f>Public_2!U18*'BTU Conversion Factor'!$F$4</f>
        <v>0</v>
      </c>
      <c r="V18" s="175">
        <f>Public_2!V18*'BTU Conversion Factor'!$F$4</f>
        <v>0</v>
      </c>
      <c r="W18" s="175">
        <f>Public_2!W18*'BTU Conversion Factor'!$F$4</f>
        <v>0</v>
      </c>
      <c r="X18" s="175">
        <f>Public_2!X18*'BTU Conversion Factor'!$F$4</f>
        <v>0</v>
      </c>
      <c r="Y18" s="175">
        <f>Public_2!Y18*'BTU Conversion Factor'!$F$4</f>
        <v>0</v>
      </c>
      <c r="Z18" s="175">
        <f>Public_2!Z18*'BTU Conversion Factor'!$F$4</f>
        <v>0</v>
      </c>
      <c r="AA18" s="175">
        <f>Public_2!AA18*'BTU Conversion Factor'!$F$4</f>
        <v>0</v>
      </c>
      <c r="AB18" s="175">
        <f>Public_2!AB18*'BTU Conversion Factor'!$F$4</f>
        <v>0</v>
      </c>
      <c r="AC18" s="175">
        <f>Public_2!AC18*'BTU Conversion Factor'!$F$4</f>
        <v>0</v>
      </c>
      <c r="AD18" s="175">
        <f>Public_2!AD18*'BTU Conversion Factor'!$F$4</f>
        <v>0</v>
      </c>
      <c r="AE18" s="175">
        <f>Public_2!AE18*'BTU Conversion Factor'!$F$4</f>
        <v>0</v>
      </c>
      <c r="AF18" s="175">
        <f>Public_2!AF18*'BTU Conversion Factor'!$F$4</f>
        <v>0</v>
      </c>
      <c r="AG18" s="175">
        <f>Public_2!AG18*'BTU Conversion Factor'!$F$4</f>
        <v>0</v>
      </c>
      <c r="AH18" s="175">
        <f>Public_2!AH18*'BTU Conversion Factor'!$F$4</f>
        <v>0</v>
      </c>
      <c r="AI18" s="175">
        <f>Public_2!AI18*'BTU Conversion Factor'!$F$4</f>
        <v>0</v>
      </c>
      <c r="AJ18" s="175">
        <f>Public_2!AJ18*'BTU Conversion Factor'!$F$4</f>
        <v>0</v>
      </c>
      <c r="AK18" s="175">
        <f>Public_2!AK18*'BTU Conversion Factor'!$F$4</f>
        <v>0</v>
      </c>
      <c r="AL18" s="175">
        <f>Public_2!AL18*'BTU Conversion Factor'!$F$4</f>
        <v>0</v>
      </c>
      <c r="AM18" s="175">
        <f>Public_2!AM18*'BTU Conversion Factor'!$F$4</f>
        <v>0</v>
      </c>
      <c r="AN18" s="175">
        <f>Public_2!AN18*'BTU Conversion Factor'!$F$4</f>
        <v>0</v>
      </c>
      <c r="AO18" s="175">
        <f>Public_2!AO18*'BTU Conversion Factor'!$F$4</f>
        <v>0</v>
      </c>
      <c r="AP18" s="175">
        <f>Public_2!AP18*'BTU Conversion Factor'!$F$4</f>
        <v>0</v>
      </c>
      <c r="AQ18" s="175">
        <f>Public_2!AQ18*'BTU Conversion Factor'!$F$4</f>
        <v>0</v>
      </c>
      <c r="AR18" s="175">
        <f>Public_2!AR18*'BTU Conversion Factor'!$F$4</f>
        <v>0</v>
      </c>
      <c r="AS18" s="175">
        <f>Public_2!AS18*'BTU Conversion Factor'!$F$4</f>
        <v>0</v>
      </c>
      <c r="AT18" s="175">
        <f>Public_2!AT18*'BTU Conversion Factor'!$F$4</f>
        <v>0</v>
      </c>
      <c r="AU18" s="175">
        <f>Public_2!AU18*'BTU Conversion Factor'!$F$4</f>
        <v>0</v>
      </c>
    </row>
    <row r="19" spans="1:47">
      <c r="B19" s="60" t="s">
        <v>670</v>
      </c>
      <c r="C19" s="175">
        <f>Public_2!C19*'BTU Conversion Factor'!$F$4</f>
        <v>0</v>
      </c>
      <c r="D19" s="175">
        <f>Public_2!D19*'BTU Conversion Factor'!$F$4</f>
        <v>0</v>
      </c>
      <c r="E19" s="175">
        <f>Public_2!E19*'BTU Conversion Factor'!$F$4</f>
        <v>0</v>
      </c>
      <c r="F19" s="175">
        <f>Public_2!F19*'BTU Conversion Factor'!$F$4</f>
        <v>0</v>
      </c>
      <c r="G19" s="175">
        <f>Public_2!G19*'BTU Conversion Factor'!$F$4</f>
        <v>0</v>
      </c>
      <c r="H19" s="175">
        <f>Public_2!H19*'BTU Conversion Factor'!$F$4</f>
        <v>0</v>
      </c>
      <c r="I19" s="175">
        <f>Public_2!I19*'BTU Conversion Factor'!$F$4</f>
        <v>0</v>
      </c>
      <c r="J19" s="175">
        <f>Public_2!J19*'BTU Conversion Factor'!$F$4</f>
        <v>0</v>
      </c>
      <c r="K19" s="175">
        <f>Public_2!K19*'BTU Conversion Factor'!$F$4</f>
        <v>0</v>
      </c>
      <c r="L19" s="175">
        <f>Public_2!L19*'BTU Conversion Factor'!$F$4</f>
        <v>0</v>
      </c>
      <c r="M19" s="175">
        <f>Public_2!M19*'BTU Conversion Factor'!$F$4</f>
        <v>0</v>
      </c>
      <c r="N19" s="175">
        <f>Public_2!N19*'BTU Conversion Factor'!$F$4</f>
        <v>0</v>
      </c>
      <c r="O19" s="175">
        <f>Public_2!O19*'BTU Conversion Factor'!$F$4</f>
        <v>0</v>
      </c>
      <c r="P19" s="175">
        <f>Public_2!P19*'BTU Conversion Factor'!$F$4</f>
        <v>0</v>
      </c>
      <c r="Q19" s="175">
        <f>Public_2!Q19*'BTU Conversion Factor'!$F$4</f>
        <v>0</v>
      </c>
      <c r="R19" s="175">
        <f>Public_2!R19*'BTU Conversion Factor'!$F$4</f>
        <v>0</v>
      </c>
      <c r="S19" s="175">
        <f>Public_2!S19*'BTU Conversion Factor'!$F$4</f>
        <v>0</v>
      </c>
      <c r="T19" s="175">
        <f>Public_2!T19*'BTU Conversion Factor'!$F$4</f>
        <v>0</v>
      </c>
      <c r="U19" s="175">
        <f>Public_2!U19*'BTU Conversion Factor'!$F$4</f>
        <v>0</v>
      </c>
      <c r="V19" s="175">
        <f>Public_2!V19*'BTU Conversion Factor'!$F$4</f>
        <v>0</v>
      </c>
      <c r="W19" s="175">
        <f>Public_2!W19*'BTU Conversion Factor'!$F$4</f>
        <v>0</v>
      </c>
      <c r="X19" s="175">
        <f>Public_2!X19*'BTU Conversion Factor'!$F$4</f>
        <v>0</v>
      </c>
      <c r="Y19" s="175">
        <f>Public_2!Y19*'BTU Conversion Factor'!$F$4</f>
        <v>0</v>
      </c>
      <c r="Z19" s="175">
        <f>Public_2!Z19*'BTU Conversion Factor'!$F$4</f>
        <v>0</v>
      </c>
      <c r="AA19" s="175">
        <f>Public_2!AA19*'BTU Conversion Factor'!$F$4</f>
        <v>0</v>
      </c>
      <c r="AB19" s="175">
        <f>Public_2!AB19*'BTU Conversion Factor'!$F$4</f>
        <v>0</v>
      </c>
      <c r="AC19" s="175">
        <f>Public_2!AC19*'BTU Conversion Factor'!$F$4</f>
        <v>0</v>
      </c>
      <c r="AD19" s="175">
        <f>Public_2!AD19*'BTU Conversion Factor'!$F$4</f>
        <v>0</v>
      </c>
      <c r="AE19" s="175">
        <f>Public_2!AE19*'BTU Conversion Factor'!$F$4</f>
        <v>0</v>
      </c>
      <c r="AF19" s="175">
        <f>Public_2!AF19*'BTU Conversion Factor'!$F$4</f>
        <v>0</v>
      </c>
      <c r="AG19" s="175">
        <f>Public_2!AG19*'BTU Conversion Factor'!$F$4</f>
        <v>0</v>
      </c>
      <c r="AH19" s="175">
        <f>Public_2!AH19*'BTU Conversion Factor'!$F$4</f>
        <v>0</v>
      </c>
      <c r="AI19" s="175">
        <f>Public_2!AI19*'BTU Conversion Factor'!$F$4</f>
        <v>0</v>
      </c>
      <c r="AJ19" s="175">
        <f>Public_2!AJ19*'BTU Conversion Factor'!$F$4</f>
        <v>0</v>
      </c>
      <c r="AK19" s="175">
        <f>Public_2!AK19*'BTU Conversion Factor'!$F$4</f>
        <v>0</v>
      </c>
      <c r="AL19" s="175">
        <f>Public_2!AL19*'BTU Conversion Factor'!$F$4</f>
        <v>0</v>
      </c>
      <c r="AM19" s="175">
        <f>Public_2!AM19*'BTU Conversion Factor'!$F$4</f>
        <v>0</v>
      </c>
      <c r="AN19" s="175">
        <f>Public_2!AN19*'BTU Conversion Factor'!$F$4</f>
        <v>0</v>
      </c>
      <c r="AO19" s="175">
        <f>Public_2!AO19*'BTU Conversion Factor'!$F$4</f>
        <v>0</v>
      </c>
      <c r="AP19" s="175">
        <f>Public_2!AP19*'BTU Conversion Factor'!$F$4</f>
        <v>0</v>
      </c>
      <c r="AQ19" s="175">
        <f>Public_2!AQ19*'BTU Conversion Factor'!$F$4</f>
        <v>0</v>
      </c>
      <c r="AR19" s="175">
        <f>Public_2!AR19*'BTU Conversion Factor'!$F$4</f>
        <v>0</v>
      </c>
      <c r="AS19" s="175">
        <f>Public_2!AS19*'BTU Conversion Factor'!$F$4</f>
        <v>0</v>
      </c>
      <c r="AT19" s="175">
        <f>Public_2!AT19*'BTU Conversion Factor'!$F$4</f>
        <v>0</v>
      </c>
      <c r="AU19" s="175">
        <f>Public_2!AU19*'BTU Conversion Factor'!$F$4</f>
        <v>0</v>
      </c>
    </row>
    <row r="21" spans="1:47" s="64" customFormat="1">
      <c r="A21" s="124" t="s">
        <v>88</v>
      </c>
    </row>
    <row r="22" spans="1:47" s="60" customFormat="1">
      <c r="B22" s="60" t="s">
        <v>1</v>
      </c>
      <c r="C22" s="60">
        <v>2006</v>
      </c>
      <c r="D22" s="60">
        <v>2007</v>
      </c>
      <c r="E22" s="60">
        <v>2008</v>
      </c>
      <c r="F22" s="60">
        <v>2009</v>
      </c>
      <c r="G22" s="60">
        <v>2010</v>
      </c>
      <c r="H22" s="60">
        <v>2011</v>
      </c>
      <c r="I22" s="60">
        <v>2012</v>
      </c>
      <c r="J22" s="60">
        <v>2013</v>
      </c>
      <c r="K22" s="60">
        <v>2014</v>
      </c>
      <c r="L22" s="60">
        <v>2015</v>
      </c>
      <c r="M22" s="60">
        <v>2016</v>
      </c>
      <c r="N22" s="60">
        <v>2017</v>
      </c>
      <c r="O22" s="60">
        <v>2018</v>
      </c>
      <c r="P22" s="60">
        <v>2019</v>
      </c>
      <c r="Q22" s="60">
        <v>2020</v>
      </c>
      <c r="R22" s="60">
        <v>2021</v>
      </c>
      <c r="S22" s="60">
        <v>2022</v>
      </c>
      <c r="T22" s="60">
        <v>2023</v>
      </c>
      <c r="U22" s="60">
        <v>2024</v>
      </c>
      <c r="V22" s="60">
        <v>2025</v>
      </c>
      <c r="W22" s="60">
        <v>2026</v>
      </c>
      <c r="X22" s="60">
        <v>2027</v>
      </c>
      <c r="Y22" s="60">
        <v>2028</v>
      </c>
      <c r="Z22" s="60">
        <v>2029</v>
      </c>
      <c r="AA22" s="60">
        <v>2030</v>
      </c>
      <c r="AB22" s="60">
        <v>2031</v>
      </c>
      <c r="AC22" s="60">
        <v>2032</v>
      </c>
      <c r="AD22" s="60">
        <v>2033</v>
      </c>
      <c r="AE22" s="60">
        <v>2034</v>
      </c>
      <c r="AF22" s="60">
        <v>2035</v>
      </c>
      <c r="AG22" s="60">
        <v>2036</v>
      </c>
      <c r="AH22" s="60">
        <v>2037</v>
      </c>
      <c r="AI22" s="60">
        <v>2038</v>
      </c>
      <c r="AJ22" s="60">
        <v>2039</v>
      </c>
      <c r="AK22" s="60">
        <v>2040</v>
      </c>
      <c r="AL22" s="60">
        <v>2041</v>
      </c>
      <c r="AM22" s="60">
        <v>2042</v>
      </c>
      <c r="AN22" s="60">
        <v>2043</v>
      </c>
      <c r="AO22" s="60">
        <v>2044</v>
      </c>
      <c r="AP22" s="60">
        <v>2045</v>
      </c>
      <c r="AQ22" s="60">
        <v>2046</v>
      </c>
      <c r="AR22" s="60">
        <v>2047</v>
      </c>
      <c r="AS22" s="60">
        <v>2048</v>
      </c>
      <c r="AT22" s="60">
        <v>2049</v>
      </c>
      <c r="AU22" s="60">
        <v>2050</v>
      </c>
    </row>
    <row r="23" spans="1:47">
      <c r="B23" s="60" t="s">
        <v>665</v>
      </c>
      <c r="C23" s="103">
        <f>Public_2!C23*'BTU Conversion Factor'!$F$4</f>
        <v>0</v>
      </c>
      <c r="D23" s="103">
        <f>Public_2!D23*'BTU Conversion Factor'!$F$4</f>
        <v>0</v>
      </c>
      <c r="E23" s="103">
        <f>Public_2!E23*'BTU Conversion Factor'!$F$4</f>
        <v>0</v>
      </c>
      <c r="F23" s="103">
        <f>Public_2!F23*'BTU Conversion Factor'!$F$4</f>
        <v>0</v>
      </c>
      <c r="G23" s="103">
        <f>Public_2!G23*'BTU Conversion Factor'!$F$4</f>
        <v>0</v>
      </c>
      <c r="H23" s="103">
        <f>Public_2!H23*'BTU Conversion Factor'!$F$4</f>
        <v>0</v>
      </c>
      <c r="I23" s="103">
        <f>Public_2!I23*'BTU Conversion Factor'!$F$4</f>
        <v>0</v>
      </c>
      <c r="J23" s="103">
        <f>Public_2!J23*'BTU Conversion Factor'!$F$4</f>
        <v>0</v>
      </c>
      <c r="K23" s="103">
        <f>Public_2!K23*'BTU Conversion Factor'!$F$4</f>
        <v>0</v>
      </c>
      <c r="L23" s="103">
        <f>Public_2!L23*'BTU Conversion Factor'!$F$4</f>
        <v>0</v>
      </c>
      <c r="M23" s="103">
        <f>Public_2!M23*'BTU Conversion Factor'!$F$4</f>
        <v>0</v>
      </c>
      <c r="N23" s="103">
        <f>Public_2!N23*'BTU Conversion Factor'!$F$4</f>
        <v>0</v>
      </c>
      <c r="O23" s="103">
        <f>Public_2!O23*'BTU Conversion Factor'!$F$4</f>
        <v>0</v>
      </c>
      <c r="P23" s="103">
        <f>Public_2!P23*'BTU Conversion Factor'!$F$4</f>
        <v>0</v>
      </c>
      <c r="Q23" s="103">
        <f>Public_2!Q23*'BTU Conversion Factor'!$F$4</f>
        <v>0</v>
      </c>
      <c r="R23" s="103">
        <f>Public_2!R23*'BTU Conversion Factor'!$F$4</f>
        <v>0</v>
      </c>
      <c r="S23" s="103">
        <f>Public_2!S23*'BTU Conversion Factor'!$F$4</f>
        <v>0</v>
      </c>
      <c r="T23" s="103">
        <f>Public_2!T23*'BTU Conversion Factor'!$F$4</f>
        <v>0</v>
      </c>
      <c r="U23" s="103">
        <f>Public_2!U23*'BTU Conversion Factor'!$F$4</f>
        <v>0</v>
      </c>
      <c r="V23" s="103">
        <f>Public_2!V23*'BTU Conversion Factor'!$F$4</f>
        <v>0</v>
      </c>
      <c r="W23" s="103">
        <f>Public_2!W23*'BTU Conversion Factor'!$F$4</f>
        <v>0</v>
      </c>
      <c r="X23" s="103">
        <f>Public_2!X23*'BTU Conversion Factor'!$F$4</f>
        <v>0</v>
      </c>
      <c r="Y23" s="103">
        <f>Public_2!Y23*'BTU Conversion Factor'!$F$4</f>
        <v>0</v>
      </c>
      <c r="Z23" s="103">
        <f>Public_2!Z23*'BTU Conversion Factor'!$F$4</f>
        <v>0</v>
      </c>
      <c r="AA23" s="103">
        <f>Public_2!AA23*'BTU Conversion Factor'!$F$4</f>
        <v>0</v>
      </c>
      <c r="AB23" s="103">
        <f>Public_2!AB23*'BTU Conversion Factor'!$F$4</f>
        <v>0</v>
      </c>
      <c r="AC23" s="103">
        <f>Public_2!AC23*'BTU Conversion Factor'!$F$4</f>
        <v>0</v>
      </c>
      <c r="AD23" s="103">
        <f>Public_2!AD23*'BTU Conversion Factor'!$F$4</f>
        <v>0</v>
      </c>
      <c r="AE23" s="103">
        <f>Public_2!AE23*'BTU Conversion Factor'!$F$4</f>
        <v>0</v>
      </c>
      <c r="AF23" s="103">
        <f>Public_2!AF23*'BTU Conversion Factor'!$F$4</f>
        <v>0</v>
      </c>
      <c r="AG23" s="103">
        <f>Public_2!AG23*'BTU Conversion Factor'!$F$4</f>
        <v>0</v>
      </c>
      <c r="AH23" s="103">
        <f>Public_2!AH23*'BTU Conversion Factor'!$F$4</f>
        <v>0</v>
      </c>
      <c r="AI23" s="103">
        <f>Public_2!AI23*'BTU Conversion Factor'!$F$4</f>
        <v>0</v>
      </c>
      <c r="AJ23" s="103">
        <f>Public_2!AJ23*'BTU Conversion Factor'!$F$4</f>
        <v>0</v>
      </c>
      <c r="AK23" s="103">
        <f>Public_2!AK23*'BTU Conversion Factor'!$F$4</f>
        <v>0</v>
      </c>
      <c r="AL23" s="103">
        <f>Public_2!AL23*'BTU Conversion Factor'!$F$4</f>
        <v>0</v>
      </c>
      <c r="AM23" s="103">
        <f>Public_2!AM23*'BTU Conversion Factor'!$F$4</f>
        <v>0</v>
      </c>
      <c r="AN23" s="103">
        <f>Public_2!AN23*'BTU Conversion Factor'!$F$4</f>
        <v>0</v>
      </c>
      <c r="AO23" s="103">
        <f>Public_2!AO23*'BTU Conversion Factor'!$F$4</f>
        <v>0</v>
      </c>
      <c r="AP23" s="103">
        <f>Public_2!AP23*'BTU Conversion Factor'!$F$4</f>
        <v>0</v>
      </c>
      <c r="AQ23" s="103">
        <f>Public_2!AQ23*'BTU Conversion Factor'!$F$4</f>
        <v>0</v>
      </c>
      <c r="AR23" s="103">
        <f>Public_2!AR23*'BTU Conversion Factor'!$F$4</f>
        <v>0</v>
      </c>
      <c r="AS23" s="103">
        <f>Public_2!AS23*'BTU Conversion Factor'!$F$4</f>
        <v>0</v>
      </c>
      <c r="AT23" s="103">
        <f>Public_2!AT23*'BTU Conversion Factor'!$F$4</f>
        <v>0</v>
      </c>
      <c r="AU23" s="103">
        <f>Public_2!AU23*'BTU Conversion Factor'!$F$4</f>
        <v>0</v>
      </c>
    </row>
    <row r="24" spans="1:47">
      <c r="B24" s="60" t="s">
        <v>666</v>
      </c>
      <c r="C24" s="103">
        <f>Public_2!C24*'BTU Conversion Factor'!$F$4</f>
        <v>0</v>
      </c>
      <c r="D24" s="103">
        <f>Public_2!D24*'BTU Conversion Factor'!$F$4</f>
        <v>0</v>
      </c>
      <c r="E24" s="103">
        <f>Public_2!E24*'BTU Conversion Factor'!$F$4</f>
        <v>0</v>
      </c>
      <c r="F24" s="103">
        <f>Public_2!F24*'BTU Conversion Factor'!$F$4</f>
        <v>0</v>
      </c>
      <c r="G24" s="103">
        <f>Public_2!G24*'BTU Conversion Factor'!$F$4</f>
        <v>0</v>
      </c>
      <c r="H24" s="103">
        <f>Public_2!H24*'BTU Conversion Factor'!$F$4</f>
        <v>0</v>
      </c>
      <c r="I24" s="103">
        <f>Public_2!I24*'BTU Conversion Factor'!$F$4</f>
        <v>0</v>
      </c>
      <c r="J24" s="103">
        <f>Public_2!J24*'BTU Conversion Factor'!$F$4</f>
        <v>0</v>
      </c>
      <c r="K24" s="103">
        <f>Public_2!K24*'BTU Conversion Factor'!$F$4</f>
        <v>0</v>
      </c>
      <c r="L24" s="103">
        <f>Public_2!L24*'BTU Conversion Factor'!$F$4</f>
        <v>0</v>
      </c>
      <c r="M24" s="103">
        <f>Public_2!M24*'BTU Conversion Factor'!$F$4</f>
        <v>0</v>
      </c>
      <c r="N24" s="103">
        <f>Public_2!N24*'BTU Conversion Factor'!$F$4</f>
        <v>0</v>
      </c>
      <c r="O24" s="103">
        <f>Public_2!O24*'BTU Conversion Factor'!$F$4</f>
        <v>0</v>
      </c>
      <c r="P24" s="103">
        <f>Public_2!P24*'BTU Conversion Factor'!$F$4</f>
        <v>0</v>
      </c>
      <c r="Q24" s="103">
        <f>Public_2!Q24*'BTU Conversion Factor'!$F$4</f>
        <v>0</v>
      </c>
      <c r="R24" s="103">
        <f>Public_2!R24*'BTU Conversion Factor'!$F$4</f>
        <v>0</v>
      </c>
      <c r="S24" s="103">
        <f>Public_2!S24*'BTU Conversion Factor'!$F$4</f>
        <v>0</v>
      </c>
      <c r="T24" s="103">
        <f>Public_2!T24*'BTU Conversion Factor'!$F$4</f>
        <v>0</v>
      </c>
      <c r="U24" s="103">
        <f>Public_2!U24*'BTU Conversion Factor'!$F$4</f>
        <v>0</v>
      </c>
      <c r="V24" s="103">
        <f>Public_2!V24*'BTU Conversion Factor'!$F$4</f>
        <v>0</v>
      </c>
      <c r="W24" s="103">
        <f>Public_2!W24*'BTU Conversion Factor'!$F$4</f>
        <v>0</v>
      </c>
      <c r="X24" s="103">
        <f>Public_2!X24*'BTU Conversion Factor'!$F$4</f>
        <v>0</v>
      </c>
      <c r="Y24" s="103">
        <f>Public_2!Y24*'BTU Conversion Factor'!$F$4</f>
        <v>0</v>
      </c>
      <c r="Z24" s="103">
        <f>Public_2!Z24*'BTU Conversion Factor'!$F$4</f>
        <v>0</v>
      </c>
      <c r="AA24" s="103">
        <f>Public_2!AA24*'BTU Conversion Factor'!$F$4</f>
        <v>0</v>
      </c>
      <c r="AB24" s="103">
        <f>Public_2!AB24*'BTU Conversion Factor'!$F$4</f>
        <v>0</v>
      </c>
      <c r="AC24" s="103">
        <f>Public_2!AC24*'BTU Conversion Factor'!$F$4</f>
        <v>0</v>
      </c>
      <c r="AD24" s="103">
        <f>Public_2!AD24*'BTU Conversion Factor'!$F$4</f>
        <v>0</v>
      </c>
      <c r="AE24" s="103">
        <f>Public_2!AE24*'BTU Conversion Factor'!$F$4</f>
        <v>0</v>
      </c>
      <c r="AF24" s="103">
        <f>Public_2!AF24*'BTU Conversion Factor'!$F$4</f>
        <v>0</v>
      </c>
      <c r="AG24" s="103">
        <f>Public_2!AG24*'BTU Conversion Factor'!$F$4</f>
        <v>0</v>
      </c>
      <c r="AH24" s="103">
        <f>Public_2!AH24*'BTU Conversion Factor'!$F$4</f>
        <v>0</v>
      </c>
      <c r="AI24" s="103">
        <f>Public_2!AI24*'BTU Conversion Factor'!$F$4</f>
        <v>0</v>
      </c>
      <c r="AJ24" s="103">
        <f>Public_2!AJ24*'BTU Conversion Factor'!$F$4</f>
        <v>0</v>
      </c>
      <c r="AK24" s="103">
        <f>Public_2!AK24*'BTU Conversion Factor'!$F$4</f>
        <v>0</v>
      </c>
      <c r="AL24" s="103">
        <f>Public_2!AL24*'BTU Conversion Factor'!$F$4</f>
        <v>0</v>
      </c>
      <c r="AM24" s="103">
        <f>Public_2!AM24*'BTU Conversion Factor'!$F$4</f>
        <v>0</v>
      </c>
      <c r="AN24" s="103">
        <f>Public_2!AN24*'BTU Conversion Factor'!$F$4</f>
        <v>0</v>
      </c>
      <c r="AO24" s="103">
        <f>Public_2!AO24*'BTU Conversion Factor'!$F$4</f>
        <v>0</v>
      </c>
      <c r="AP24" s="103">
        <f>Public_2!AP24*'BTU Conversion Factor'!$F$4</f>
        <v>0</v>
      </c>
      <c r="AQ24" s="103">
        <f>Public_2!AQ24*'BTU Conversion Factor'!$F$4</f>
        <v>0</v>
      </c>
      <c r="AR24" s="103">
        <f>Public_2!AR24*'BTU Conversion Factor'!$F$4</f>
        <v>0</v>
      </c>
      <c r="AS24" s="103">
        <f>Public_2!AS24*'BTU Conversion Factor'!$F$4</f>
        <v>0</v>
      </c>
      <c r="AT24" s="103">
        <f>Public_2!AT24*'BTU Conversion Factor'!$F$4</f>
        <v>0</v>
      </c>
      <c r="AU24" s="103">
        <f>Public_2!AU24*'BTU Conversion Factor'!$F$4</f>
        <v>0</v>
      </c>
    </row>
    <row r="25" spans="1:47">
      <c r="B25" s="60" t="s">
        <v>667</v>
      </c>
      <c r="C25" s="103">
        <f>Public_2!C25*'BTU Conversion Factor'!$F$4</f>
        <v>0</v>
      </c>
      <c r="D25" s="103">
        <f>Public_2!D25*'BTU Conversion Factor'!$F$4</f>
        <v>0</v>
      </c>
      <c r="E25" s="103">
        <f>Public_2!E25*'BTU Conversion Factor'!$F$4</f>
        <v>0</v>
      </c>
      <c r="F25" s="103">
        <f>Public_2!F25*'BTU Conversion Factor'!$F$4</f>
        <v>0</v>
      </c>
      <c r="G25" s="103">
        <f>Public_2!G25*'BTU Conversion Factor'!$F$4</f>
        <v>0</v>
      </c>
      <c r="H25" s="103">
        <f>Public_2!H25*'BTU Conversion Factor'!$F$4</f>
        <v>0</v>
      </c>
      <c r="I25" s="103">
        <f>Public_2!I25*'BTU Conversion Factor'!$F$4</f>
        <v>0</v>
      </c>
      <c r="J25" s="103">
        <f>Public_2!J25*'BTU Conversion Factor'!$F$4</f>
        <v>0</v>
      </c>
      <c r="K25" s="103">
        <f>Public_2!K25*'BTU Conversion Factor'!$F$4</f>
        <v>0</v>
      </c>
      <c r="L25" s="103">
        <f>Public_2!L25*'BTU Conversion Factor'!$F$4</f>
        <v>0</v>
      </c>
      <c r="M25" s="103">
        <f>Public_2!M25*'BTU Conversion Factor'!$F$4</f>
        <v>0</v>
      </c>
      <c r="N25" s="103">
        <f>Public_2!N25*'BTU Conversion Factor'!$F$4</f>
        <v>0</v>
      </c>
      <c r="O25" s="103">
        <f>Public_2!O25*'BTU Conversion Factor'!$F$4</f>
        <v>0</v>
      </c>
      <c r="P25" s="103">
        <f>Public_2!P25*'BTU Conversion Factor'!$F$4</f>
        <v>0</v>
      </c>
      <c r="Q25" s="103">
        <f>Public_2!Q25*'BTU Conversion Factor'!$F$4</f>
        <v>0</v>
      </c>
      <c r="R25" s="103">
        <f>Public_2!R25*'BTU Conversion Factor'!$F$4</f>
        <v>0</v>
      </c>
      <c r="S25" s="103">
        <f>Public_2!S25*'BTU Conversion Factor'!$F$4</f>
        <v>0</v>
      </c>
      <c r="T25" s="103">
        <f>Public_2!T25*'BTU Conversion Factor'!$F$4</f>
        <v>0</v>
      </c>
      <c r="U25" s="103">
        <f>Public_2!U25*'BTU Conversion Factor'!$F$4</f>
        <v>0</v>
      </c>
      <c r="V25" s="103">
        <f>Public_2!V25*'BTU Conversion Factor'!$F$4</f>
        <v>0</v>
      </c>
      <c r="W25" s="103">
        <f>Public_2!W25*'BTU Conversion Factor'!$F$4</f>
        <v>0</v>
      </c>
      <c r="X25" s="103">
        <f>Public_2!X25*'BTU Conversion Factor'!$F$4</f>
        <v>0</v>
      </c>
      <c r="Y25" s="103">
        <f>Public_2!Y25*'BTU Conversion Factor'!$F$4</f>
        <v>0</v>
      </c>
      <c r="Z25" s="103">
        <f>Public_2!Z25*'BTU Conversion Factor'!$F$4</f>
        <v>0</v>
      </c>
      <c r="AA25" s="103">
        <f>Public_2!AA25*'BTU Conversion Factor'!$F$4</f>
        <v>0</v>
      </c>
      <c r="AB25" s="103">
        <f>Public_2!AB25*'BTU Conversion Factor'!$F$4</f>
        <v>0</v>
      </c>
      <c r="AC25" s="103">
        <f>Public_2!AC25*'BTU Conversion Factor'!$F$4</f>
        <v>0</v>
      </c>
      <c r="AD25" s="103">
        <f>Public_2!AD25*'BTU Conversion Factor'!$F$4</f>
        <v>0</v>
      </c>
      <c r="AE25" s="103">
        <f>Public_2!AE25*'BTU Conversion Factor'!$F$4</f>
        <v>0</v>
      </c>
      <c r="AF25" s="103">
        <f>Public_2!AF25*'BTU Conversion Factor'!$F$4</f>
        <v>0</v>
      </c>
      <c r="AG25" s="103">
        <f>Public_2!AG25*'BTU Conversion Factor'!$F$4</f>
        <v>0</v>
      </c>
      <c r="AH25" s="103">
        <f>Public_2!AH25*'BTU Conversion Factor'!$F$4</f>
        <v>0</v>
      </c>
      <c r="AI25" s="103">
        <f>Public_2!AI25*'BTU Conversion Factor'!$F$4</f>
        <v>0</v>
      </c>
      <c r="AJ25" s="103">
        <f>Public_2!AJ25*'BTU Conversion Factor'!$F$4</f>
        <v>0</v>
      </c>
      <c r="AK25" s="103">
        <f>Public_2!AK25*'BTU Conversion Factor'!$F$4</f>
        <v>0</v>
      </c>
      <c r="AL25" s="103">
        <f>Public_2!AL25*'BTU Conversion Factor'!$F$4</f>
        <v>0</v>
      </c>
      <c r="AM25" s="103">
        <f>Public_2!AM25*'BTU Conversion Factor'!$F$4</f>
        <v>0</v>
      </c>
      <c r="AN25" s="103">
        <f>Public_2!AN25*'BTU Conversion Factor'!$F$4</f>
        <v>0</v>
      </c>
      <c r="AO25" s="103">
        <f>Public_2!AO25*'BTU Conversion Factor'!$F$4</f>
        <v>0</v>
      </c>
      <c r="AP25" s="103">
        <f>Public_2!AP25*'BTU Conversion Factor'!$F$4</f>
        <v>0</v>
      </c>
      <c r="AQ25" s="103">
        <f>Public_2!AQ25*'BTU Conversion Factor'!$F$4</f>
        <v>0</v>
      </c>
      <c r="AR25" s="103">
        <f>Public_2!AR25*'BTU Conversion Factor'!$F$4</f>
        <v>0</v>
      </c>
      <c r="AS25" s="103">
        <f>Public_2!AS25*'BTU Conversion Factor'!$F$4</f>
        <v>0</v>
      </c>
      <c r="AT25" s="103">
        <f>Public_2!AT25*'BTU Conversion Factor'!$F$4</f>
        <v>0</v>
      </c>
      <c r="AU25" s="103">
        <f>Public_2!AU25*'BTU Conversion Factor'!$F$4</f>
        <v>0</v>
      </c>
    </row>
    <row r="26" spans="1:47">
      <c r="B26" s="60" t="s">
        <v>668</v>
      </c>
      <c r="C26" s="103">
        <f>Public_2!C26*'BTU Conversion Factor'!$F$4</f>
        <v>0</v>
      </c>
      <c r="D26" s="103">
        <f>Public_2!D26*'BTU Conversion Factor'!$F$4</f>
        <v>0</v>
      </c>
      <c r="E26" s="103">
        <f>Public_2!E26*'BTU Conversion Factor'!$F$4</f>
        <v>0</v>
      </c>
      <c r="F26" s="103">
        <f>Public_2!F26*'BTU Conversion Factor'!$F$4</f>
        <v>0</v>
      </c>
      <c r="G26" s="103">
        <f>Public_2!G26*'BTU Conversion Factor'!$F$4</f>
        <v>0</v>
      </c>
      <c r="H26" s="103">
        <f>Public_2!H26*'BTU Conversion Factor'!$F$4</f>
        <v>0</v>
      </c>
      <c r="I26" s="103">
        <f>Public_2!I26*'BTU Conversion Factor'!$F$4</f>
        <v>0</v>
      </c>
      <c r="J26" s="103">
        <f>Public_2!J26*'BTU Conversion Factor'!$F$4</f>
        <v>0</v>
      </c>
      <c r="K26" s="103">
        <f>Public_2!K26*'BTU Conversion Factor'!$F$4</f>
        <v>0</v>
      </c>
      <c r="L26" s="103">
        <f>Public_2!L26*'BTU Conversion Factor'!$F$4</f>
        <v>0</v>
      </c>
      <c r="M26" s="103">
        <f>Public_2!M26*'BTU Conversion Factor'!$F$4</f>
        <v>0</v>
      </c>
      <c r="N26" s="103">
        <f>Public_2!N26*'BTU Conversion Factor'!$F$4</f>
        <v>0</v>
      </c>
      <c r="O26" s="103">
        <f>Public_2!O26*'BTU Conversion Factor'!$F$4</f>
        <v>0</v>
      </c>
      <c r="P26" s="103">
        <f>Public_2!P26*'BTU Conversion Factor'!$F$4</f>
        <v>0</v>
      </c>
      <c r="Q26" s="103">
        <f>Public_2!Q26*'BTU Conversion Factor'!$F$4</f>
        <v>0</v>
      </c>
      <c r="R26" s="103">
        <f>Public_2!R26*'BTU Conversion Factor'!$F$4</f>
        <v>0</v>
      </c>
      <c r="S26" s="103">
        <f>Public_2!S26*'BTU Conversion Factor'!$F$4</f>
        <v>0</v>
      </c>
      <c r="T26" s="103">
        <f>Public_2!T26*'BTU Conversion Factor'!$F$4</f>
        <v>0</v>
      </c>
      <c r="U26" s="103">
        <f>Public_2!U26*'BTU Conversion Factor'!$F$4</f>
        <v>0</v>
      </c>
      <c r="V26" s="103">
        <f>Public_2!V26*'BTU Conversion Factor'!$F$4</f>
        <v>0</v>
      </c>
      <c r="W26" s="103">
        <f>Public_2!W26*'BTU Conversion Factor'!$F$4</f>
        <v>0</v>
      </c>
      <c r="X26" s="103">
        <f>Public_2!X26*'BTU Conversion Factor'!$F$4</f>
        <v>0</v>
      </c>
      <c r="Y26" s="103">
        <f>Public_2!Y26*'BTU Conversion Factor'!$F$4</f>
        <v>0</v>
      </c>
      <c r="Z26" s="103">
        <f>Public_2!Z26*'BTU Conversion Factor'!$F$4</f>
        <v>0</v>
      </c>
      <c r="AA26" s="103">
        <f>Public_2!AA26*'BTU Conversion Factor'!$F$4</f>
        <v>0</v>
      </c>
      <c r="AB26" s="103">
        <f>Public_2!AB26*'BTU Conversion Factor'!$F$4</f>
        <v>0</v>
      </c>
      <c r="AC26" s="103">
        <f>Public_2!AC26*'BTU Conversion Factor'!$F$4</f>
        <v>0</v>
      </c>
      <c r="AD26" s="103">
        <f>Public_2!AD26*'BTU Conversion Factor'!$F$4</f>
        <v>0</v>
      </c>
      <c r="AE26" s="103">
        <f>Public_2!AE26*'BTU Conversion Factor'!$F$4</f>
        <v>0</v>
      </c>
      <c r="AF26" s="103">
        <f>Public_2!AF26*'BTU Conversion Factor'!$F$4</f>
        <v>0</v>
      </c>
      <c r="AG26" s="103">
        <f>Public_2!AG26*'BTU Conversion Factor'!$F$4</f>
        <v>0</v>
      </c>
      <c r="AH26" s="103">
        <f>Public_2!AH26*'BTU Conversion Factor'!$F$4</f>
        <v>0</v>
      </c>
      <c r="AI26" s="103">
        <f>Public_2!AI26*'BTU Conversion Factor'!$F$4</f>
        <v>0</v>
      </c>
      <c r="AJ26" s="103">
        <f>Public_2!AJ26*'BTU Conversion Factor'!$F$4</f>
        <v>0</v>
      </c>
      <c r="AK26" s="103">
        <f>Public_2!AK26*'BTU Conversion Factor'!$F$4</f>
        <v>0</v>
      </c>
      <c r="AL26" s="103">
        <f>Public_2!AL26*'BTU Conversion Factor'!$F$4</f>
        <v>0</v>
      </c>
      <c r="AM26" s="103">
        <f>Public_2!AM26*'BTU Conversion Factor'!$F$4</f>
        <v>0</v>
      </c>
      <c r="AN26" s="103">
        <f>Public_2!AN26*'BTU Conversion Factor'!$F$4</f>
        <v>0</v>
      </c>
      <c r="AO26" s="103">
        <f>Public_2!AO26*'BTU Conversion Factor'!$F$4</f>
        <v>0</v>
      </c>
      <c r="AP26" s="103">
        <f>Public_2!AP26*'BTU Conversion Factor'!$F$4</f>
        <v>0</v>
      </c>
      <c r="AQ26" s="103">
        <f>Public_2!AQ26*'BTU Conversion Factor'!$F$4</f>
        <v>0</v>
      </c>
      <c r="AR26" s="103">
        <f>Public_2!AR26*'BTU Conversion Factor'!$F$4</f>
        <v>0</v>
      </c>
      <c r="AS26" s="103">
        <f>Public_2!AS26*'BTU Conversion Factor'!$F$4</f>
        <v>0</v>
      </c>
      <c r="AT26" s="103">
        <f>Public_2!AT26*'BTU Conversion Factor'!$F$4</f>
        <v>0</v>
      </c>
      <c r="AU26" s="103">
        <f>Public_2!AU26*'BTU Conversion Factor'!$F$4</f>
        <v>0</v>
      </c>
    </row>
    <row r="27" spans="1:47">
      <c r="B27" s="60" t="s">
        <v>669</v>
      </c>
      <c r="C27" s="103">
        <f>Public_2!C27*'BTU Conversion Factor'!$F$4</f>
        <v>0</v>
      </c>
      <c r="D27" s="103">
        <f>Public_2!D27*'BTU Conversion Factor'!$F$4</f>
        <v>0</v>
      </c>
      <c r="E27" s="103">
        <f>Public_2!E27*'BTU Conversion Factor'!$F$4</f>
        <v>0</v>
      </c>
      <c r="F27" s="103">
        <f>Public_2!F27*'BTU Conversion Factor'!$F$4</f>
        <v>0</v>
      </c>
      <c r="G27" s="103">
        <f>Public_2!G27*'BTU Conversion Factor'!$F$4</f>
        <v>0</v>
      </c>
      <c r="H27" s="103">
        <f>Public_2!H27*'BTU Conversion Factor'!$F$4</f>
        <v>0</v>
      </c>
      <c r="I27" s="103">
        <f>Public_2!I27*'BTU Conversion Factor'!$F$4</f>
        <v>0</v>
      </c>
      <c r="J27" s="103">
        <f>Public_2!J27*'BTU Conversion Factor'!$F$4</f>
        <v>0</v>
      </c>
      <c r="K27" s="103">
        <f>Public_2!K27*'BTU Conversion Factor'!$F$4</f>
        <v>0</v>
      </c>
      <c r="L27" s="103">
        <f>Public_2!L27*'BTU Conversion Factor'!$F$4</f>
        <v>0</v>
      </c>
      <c r="M27" s="103">
        <f>Public_2!M27*'BTU Conversion Factor'!$F$4</f>
        <v>0</v>
      </c>
      <c r="N27" s="103">
        <f>Public_2!N27*'BTU Conversion Factor'!$F$4</f>
        <v>0</v>
      </c>
      <c r="O27" s="103">
        <f>Public_2!O27*'BTU Conversion Factor'!$F$4</f>
        <v>0</v>
      </c>
      <c r="P27" s="103">
        <f>Public_2!P27*'BTU Conversion Factor'!$F$4</f>
        <v>0</v>
      </c>
      <c r="Q27" s="103">
        <f>Public_2!Q27*'BTU Conversion Factor'!$F$4</f>
        <v>0</v>
      </c>
      <c r="R27" s="103">
        <f>Public_2!R27*'BTU Conversion Factor'!$F$4</f>
        <v>0</v>
      </c>
      <c r="S27" s="103">
        <f>Public_2!S27*'BTU Conversion Factor'!$F$4</f>
        <v>0</v>
      </c>
      <c r="T27" s="103">
        <f>Public_2!T27*'BTU Conversion Factor'!$F$4</f>
        <v>0</v>
      </c>
      <c r="U27" s="103">
        <f>Public_2!U27*'BTU Conversion Factor'!$F$4</f>
        <v>0</v>
      </c>
      <c r="V27" s="103">
        <f>Public_2!V27*'BTU Conversion Factor'!$F$4</f>
        <v>0</v>
      </c>
      <c r="W27" s="103">
        <f>Public_2!W27*'BTU Conversion Factor'!$F$4</f>
        <v>0</v>
      </c>
      <c r="X27" s="103">
        <f>Public_2!X27*'BTU Conversion Factor'!$F$4</f>
        <v>0</v>
      </c>
      <c r="Y27" s="103">
        <f>Public_2!Y27*'BTU Conversion Factor'!$F$4</f>
        <v>0</v>
      </c>
      <c r="Z27" s="103">
        <f>Public_2!Z27*'BTU Conversion Factor'!$F$4</f>
        <v>0</v>
      </c>
      <c r="AA27" s="103">
        <f>Public_2!AA27*'BTU Conversion Factor'!$F$4</f>
        <v>0</v>
      </c>
      <c r="AB27" s="103">
        <f>Public_2!AB27*'BTU Conversion Factor'!$F$4</f>
        <v>0</v>
      </c>
      <c r="AC27" s="103">
        <f>Public_2!AC27*'BTU Conversion Factor'!$F$4</f>
        <v>0</v>
      </c>
      <c r="AD27" s="103">
        <f>Public_2!AD27*'BTU Conversion Factor'!$F$4</f>
        <v>0</v>
      </c>
      <c r="AE27" s="103">
        <f>Public_2!AE27*'BTU Conversion Factor'!$F$4</f>
        <v>0</v>
      </c>
      <c r="AF27" s="103">
        <f>Public_2!AF27*'BTU Conversion Factor'!$F$4</f>
        <v>0</v>
      </c>
      <c r="AG27" s="103">
        <f>Public_2!AG27*'BTU Conversion Factor'!$F$4</f>
        <v>0</v>
      </c>
      <c r="AH27" s="103">
        <f>Public_2!AH27*'BTU Conversion Factor'!$F$4</f>
        <v>0</v>
      </c>
      <c r="AI27" s="103">
        <f>Public_2!AI27*'BTU Conversion Factor'!$F$4</f>
        <v>0</v>
      </c>
      <c r="AJ27" s="103">
        <f>Public_2!AJ27*'BTU Conversion Factor'!$F$4</f>
        <v>0</v>
      </c>
      <c r="AK27" s="103">
        <f>Public_2!AK27*'BTU Conversion Factor'!$F$4</f>
        <v>0</v>
      </c>
      <c r="AL27" s="103">
        <f>Public_2!AL27*'BTU Conversion Factor'!$F$4</f>
        <v>0</v>
      </c>
      <c r="AM27" s="103">
        <f>Public_2!AM27*'BTU Conversion Factor'!$F$4</f>
        <v>0</v>
      </c>
      <c r="AN27" s="103">
        <f>Public_2!AN27*'BTU Conversion Factor'!$F$4</f>
        <v>0</v>
      </c>
      <c r="AO27" s="103">
        <f>Public_2!AO27*'BTU Conversion Factor'!$F$4</f>
        <v>0</v>
      </c>
      <c r="AP27" s="103">
        <f>Public_2!AP27*'BTU Conversion Factor'!$F$4</f>
        <v>0</v>
      </c>
      <c r="AQ27" s="103">
        <f>Public_2!AQ27*'BTU Conversion Factor'!$F$4</f>
        <v>0</v>
      </c>
      <c r="AR27" s="103">
        <f>Public_2!AR27*'BTU Conversion Factor'!$F$4</f>
        <v>0</v>
      </c>
      <c r="AS27" s="103">
        <f>Public_2!AS27*'BTU Conversion Factor'!$F$4</f>
        <v>0</v>
      </c>
      <c r="AT27" s="103">
        <f>Public_2!AT27*'BTU Conversion Factor'!$F$4</f>
        <v>0</v>
      </c>
      <c r="AU27" s="103">
        <f>Public_2!AU27*'BTU Conversion Factor'!$F$4</f>
        <v>0</v>
      </c>
    </row>
    <row r="28" spans="1:47">
      <c r="B28" s="60" t="s">
        <v>670</v>
      </c>
      <c r="C28" s="103">
        <f>Public_2!C28*'BTU Conversion Factor'!$F$4</f>
        <v>0</v>
      </c>
      <c r="D28" s="103">
        <f>Public_2!D28*'BTU Conversion Factor'!$F$4</f>
        <v>0</v>
      </c>
      <c r="E28" s="103">
        <f>Public_2!E28*'BTU Conversion Factor'!$F$4</f>
        <v>0</v>
      </c>
      <c r="F28" s="103">
        <f>Public_2!F28*'BTU Conversion Factor'!$F$4</f>
        <v>0</v>
      </c>
      <c r="G28" s="103">
        <f>Public_2!G28*'BTU Conversion Factor'!$F$4</f>
        <v>0</v>
      </c>
      <c r="H28" s="103">
        <f>Public_2!H28*'BTU Conversion Factor'!$F$4</f>
        <v>0</v>
      </c>
      <c r="I28" s="103">
        <f>Public_2!I28*'BTU Conversion Factor'!$F$4</f>
        <v>0</v>
      </c>
      <c r="J28" s="103">
        <f>Public_2!J28*'BTU Conversion Factor'!$F$4</f>
        <v>0</v>
      </c>
      <c r="K28" s="103">
        <f>Public_2!K28*'BTU Conversion Factor'!$F$4</f>
        <v>0</v>
      </c>
      <c r="L28" s="103">
        <f>Public_2!L28*'BTU Conversion Factor'!$F$4</f>
        <v>0</v>
      </c>
      <c r="M28" s="103">
        <f>Public_2!M28*'BTU Conversion Factor'!$F$4</f>
        <v>0</v>
      </c>
      <c r="N28" s="103">
        <f>Public_2!N28*'BTU Conversion Factor'!$F$4</f>
        <v>0</v>
      </c>
      <c r="O28" s="103">
        <f>Public_2!O28*'BTU Conversion Factor'!$F$4</f>
        <v>0</v>
      </c>
      <c r="P28" s="103">
        <f>Public_2!P28*'BTU Conversion Factor'!$F$4</f>
        <v>0</v>
      </c>
      <c r="Q28" s="103">
        <f>Public_2!Q28*'BTU Conversion Factor'!$F$4</f>
        <v>0</v>
      </c>
      <c r="R28" s="103">
        <f>Public_2!R28*'BTU Conversion Factor'!$F$4</f>
        <v>0</v>
      </c>
      <c r="S28" s="103">
        <f>Public_2!S28*'BTU Conversion Factor'!$F$4</f>
        <v>0</v>
      </c>
      <c r="T28" s="103">
        <f>Public_2!T28*'BTU Conversion Factor'!$F$4</f>
        <v>0</v>
      </c>
      <c r="U28" s="103">
        <f>Public_2!U28*'BTU Conversion Factor'!$F$4</f>
        <v>0</v>
      </c>
      <c r="V28" s="103">
        <f>Public_2!V28*'BTU Conversion Factor'!$F$4</f>
        <v>0</v>
      </c>
      <c r="W28" s="103">
        <f>Public_2!W28*'BTU Conversion Factor'!$F$4</f>
        <v>0</v>
      </c>
      <c r="X28" s="103">
        <f>Public_2!X28*'BTU Conversion Factor'!$F$4</f>
        <v>0</v>
      </c>
      <c r="Y28" s="103">
        <f>Public_2!Y28*'BTU Conversion Factor'!$F$4</f>
        <v>0</v>
      </c>
      <c r="Z28" s="103">
        <f>Public_2!Z28*'BTU Conversion Factor'!$F$4</f>
        <v>0</v>
      </c>
      <c r="AA28" s="103">
        <f>Public_2!AA28*'BTU Conversion Factor'!$F$4</f>
        <v>0</v>
      </c>
      <c r="AB28" s="103">
        <f>Public_2!AB28*'BTU Conversion Factor'!$F$4</f>
        <v>0</v>
      </c>
      <c r="AC28" s="103">
        <f>Public_2!AC28*'BTU Conversion Factor'!$F$4</f>
        <v>0</v>
      </c>
      <c r="AD28" s="103">
        <f>Public_2!AD28*'BTU Conversion Factor'!$F$4</f>
        <v>0</v>
      </c>
      <c r="AE28" s="103">
        <f>Public_2!AE28*'BTU Conversion Factor'!$F$4</f>
        <v>0</v>
      </c>
      <c r="AF28" s="103">
        <f>Public_2!AF28*'BTU Conversion Factor'!$F$4</f>
        <v>0</v>
      </c>
      <c r="AG28" s="103">
        <f>Public_2!AG28*'BTU Conversion Factor'!$F$4</f>
        <v>0</v>
      </c>
      <c r="AH28" s="103">
        <f>Public_2!AH28*'BTU Conversion Factor'!$F$4</f>
        <v>0</v>
      </c>
      <c r="AI28" s="103">
        <f>Public_2!AI28*'BTU Conversion Factor'!$F$4</f>
        <v>0</v>
      </c>
      <c r="AJ28" s="103">
        <f>Public_2!AJ28*'BTU Conversion Factor'!$F$4</f>
        <v>0</v>
      </c>
      <c r="AK28" s="103">
        <f>Public_2!AK28*'BTU Conversion Factor'!$F$4</f>
        <v>0</v>
      </c>
      <c r="AL28" s="103">
        <f>Public_2!AL28*'BTU Conversion Factor'!$F$4</f>
        <v>0</v>
      </c>
      <c r="AM28" s="103">
        <f>Public_2!AM28*'BTU Conversion Factor'!$F$4</f>
        <v>0</v>
      </c>
      <c r="AN28" s="103">
        <f>Public_2!AN28*'BTU Conversion Factor'!$F$4</f>
        <v>0</v>
      </c>
      <c r="AO28" s="103">
        <f>Public_2!AO28*'BTU Conversion Factor'!$F$4</f>
        <v>0</v>
      </c>
      <c r="AP28" s="103">
        <f>Public_2!AP28*'BTU Conversion Factor'!$F$4</f>
        <v>0</v>
      </c>
      <c r="AQ28" s="103">
        <f>Public_2!AQ28*'BTU Conversion Factor'!$F$4</f>
        <v>0</v>
      </c>
      <c r="AR28" s="103">
        <f>Public_2!AR28*'BTU Conversion Factor'!$F$4</f>
        <v>0</v>
      </c>
      <c r="AS28" s="103">
        <f>Public_2!AS28*'BTU Conversion Factor'!$F$4</f>
        <v>0</v>
      </c>
      <c r="AT28" s="103">
        <f>Public_2!AT28*'BTU Conversion Factor'!$F$4</f>
        <v>0</v>
      </c>
      <c r="AU28" s="103">
        <f>Public_2!AU28*'BTU Conversion Factor'!$F$4</f>
        <v>0</v>
      </c>
    </row>
    <row r="30" spans="1:47" s="64" customFormat="1">
      <c r="A30" s="124" t="s">
        <v>89</v>
      </c>
    </row>
    <row r="31" spans="1:47" s="60" customFormat="1">
      <c r="B31" s="60" t="s">
        <v>0</v>
      </c>
      <c r="C31" s="60">
        <v>2006</v>
      </c>
      <c r="D31" s="60">
        <v>2007</v>
      </c>
      <c r="E31" s="60">
        <v>2008</v>
      </c>
      <c r="F31" s="60">
        <v>2009</v>
      </c>
      <c r="G31" s="60">
        <v>2010</v>
      </c>
      <c r="H31" s="60">
        <v>2011</v>
      </c>
      <c r="I31" s="60">
        <v>2012</v>
      </c>
      <c r="J31" s="60">
        <v>2013</v>
      </c>
      <c r="K31" s="60">
        <v>2014</v>
      </c>
      <c r="L31" s="60">
        <v>2015</v>
      </c>
      <c r="M31" s="60">
        <v>2016</v>
      </c>
      <c r="N31" s="60">
        <v>2017</v>
      </c>
      <c r="O31" s="60">
        <v>2018</v>
      </c>
      <c r="P31" s="60">
        <v>2019</v>
      </c>
      <c r="Q31" s="60">
        <v>2020</v>
      </c>
      <c r="R31" s="60">
        <v>2021</v>
      </c>
      <c r="S31" s="60">
        <v>2022</v>
      </c>
      <c r="T31" s="60">
        <v>2023</v>
      </c>
      <c r="U31" s="60">
        <v>2024</v>
      </c>
      <c r="V31" s="60">
        <v>2025</v>
      </c>
      <c r="W31" s="60">
        <v>2026</v>
      </c>
      <c r="X31" s="60">
        <v>2027</v>
      </c>
      <c r="Y31" s="60">
        <v>2028</v>
      </c>
      <c r="Z31" s="60">
        <v>2029</v>
      </c>
      <c r="AA31" s="60">
        <v>2030</v>
      </c>
      <c r="AB31" s="60">
        <v>2031</v>
      </c>
      <c r="AC31" s="60">
        <v>2032</v>
      </c>
      <c r="AD31" s="60">
        <v>2033</v>
      </c>
      <c r="AE31" s="60">
        <v>2034</v>
      </c>
      <c r="AF31" s="60">
        <v>2035</v>
      </c>
      <c r="AG31" s="60">
        <v>2036</v>
      </c>
      <c r="AH31" s="60">
        <v>2037</v>
      </c>
      <c r="AI31" s="60">
        <v>2038</v>
      </c>
      <c r="AJ31" s="60">
        <v>2039</v>
      </c>
      <c r="AK31" s="60">
        <v>2040</v>
      </c>
      <c r="AL31" s="60">
        <v>2041</v>
      </c>
      <c r="AM31" s="60">
        <v>2042</v>
      </c>
      <c r="AN31" s="60">
        <v>2043</v>
      </c>
      <c r="AO31" s="60">
        <v>2044</v>
      </c>
      <c r="AP31" s="60">
        <v>2045</v>
      </c>
      <c r="AQ31" s="60">
        <v>2046</v>
      </c>
      <c r="AR31" s="60">
        <v>2047</v>
      </c>
      <c r="AS31" s="60">
        <v>2048</v>
      </c>
      <c r="AT31" s="60">
        <v>2049</v>
      </c>
      <c r="AU31" s="60">
        <v>2050</v>
      </c>
    </row>
    <row r="32" spans="1:47">
      <c r="B32" s="60" t="s">
        <v>665</v>
      </c>
      <c r="C32" s="175">
        <f>Public_2!C32*'BTU Conversion Factor'!$F$4</f>
        <v>7727207336100.6924</v>
      </c>
      <c r="D32" s="175">
        <f>Public_2!D32*'BTU Conversion Factor'!$F$4</f>
        <v>8179715843030.7324</v>
      </c>
      <c r="E32" s="175">
        <f>Public_2!E32*'BTU Conversion Factor'!$F$4</f>
        <v>8434690707170.8184</v>
      </c>
      <c r="F32" s="175">
        <f>Public_2!F32*'BTU Conversion Factor'!$F$4</f>
        <v>8730056705828.3486</v>
      </c>
      <c r="G32" s="175">
        <f>Public_2!G32*'BTU Conversion Factor'!$F$4</f>
        <v>8534269379938.29</v>
      </c>
      <c r="H32" s="175">
        <f>Public_2!H32*'BTU Conversion Factor'!$F$4</f>
        <v>8513789235844.7012</v>
      </c>
      <c r="I32" s="175">
        <f>Public_2!I32*'BTU Conversion Factor'!$F$4</f>
        <v>8718860836598.7334</v>
      </c>
      <c r="J32" s="175">
        <f>Public_2!J32*'BTU Conversion Factor'!$F$4</f>
        <v>8754070120183.2607</v>
      </c>
      <c r="K32" s="175">
        <f>Public_2!K32*'BTU Conversion Factor'!$F$4</f>
        <v>8842502993056.9473</v>
      </c>
      <c r="L32" s="175">
        <f>Public_2!L32*'BTU Conversion Factor'!$F$4</f>
        <v>8657221441074.168</v>
      </c>
      <c r="M32" s="175">
        <f>Public_2!M32*'BTU Conversion Factor'!$F$4</f>
        <v>8836667863515.0234</v>
      </c>
      <c r="N32" s="175">
        <f>Public_2!N32*'BTU Conversion Factor'!$F$4</f>
        <v>9662038481849.2188</v>
      </c>
      <c r="O32" s="175">
        <f>Public_2!O32*'BTU Conversion Factor'!$F$4</f>
        <v>9723476934338.123</v>
      </c>
      <c r="P32" s="175">
        <f>Public_2!P32*'BTU Conversion Factor'!$F$4</f>
        <v>9772067152427.7754</v>
      </c>
      <c r="Q32" s="175">
        <f>Public_2!Q32*'BTU Conversion Factor'!$F$4</f>
        <v>9822944941745.6816</v>
      </c>
      <c r="R32" s="175">
        <f>Public_2!R32*'BTU Conversion Factor'!$F$4</f>
        <v>9864278053447.4473</v>
      </c>
      <c r="S32" s="175">
        <f>Public_2!S32*'BTU Conversion Factor'!$F$4</f>
        <v>9901551291573.9863</v>
      </c>
      <c r="T32" s="175">
        <f>Public_2!T32*'BTU Conversion Factor'!$F$4</f>
        <v>9934008051845.8633</v>
      </c>
      <c r="U32" s="175">
        <f>Public_2!U32*'BTU Conversion Factor'!$F$4</f>
        <v>9957691251641.8672</v>
      </c>
      <c r="V32" s="175">
        <f>Public_2!V32*'BTU Conversion Factor'!$F$4</f>
        <v>9975233569750.6836</v>
      </c>
      <c r="W32" s="175">
        <f>Public_2!W32*'BTU Conversion Factor'!$F$4</f>
        <v>9985283264687.1563</v>
      </c>
      <c r="X32" s="175">
        <f>Public_2!X32*'BTU Conversion Factor'!$F$4</f>
        <v>9990074549388.7441</v>
      </c>
      <c r="Y32" s="175">
        <f>Public_2!Y32*'BTU Conversion Factor'!$F$4</f>
        <v>9993837940120.832</v>
      </c>
      <c r="Z32" s="175">
        <f>Public_2!Z32*'BTU Conversion Factor'!$F$4</f>
        <v>9994685327552.2422</v>
      </c>
      <c r="AA32" s="175">
        <f>Public_2!AA32*'BTU Conversion Factor'!$F$4</f>
        <v>9990510756336.9922</v>
      </c>
      <c r="AB32" s="175">
        <f>Public_2!AB32*'BTU Conversion Factor'!$F$4</f>
        <v>9982745762970.4629</v>
      </c>
      <c r="AC32" s="175">
        <f>Public_2!AC32*'BTU Conversion Factor'!$F$4</f>
        <v>9971803696004.4746</v>
      </c>
      <c r="AD32" s="175">
        <f>Public_2!AD32*'BTU Conversion Factor'!$F$4</f>
        <v>9958709331132.6113</v>
      </c>
      <c r="AE32" s="175">
        <f>Public_2!AE32*'BTU Conversion Factor'!$F$4</f>
        <v>9941026139717.416</v>
      </c>
      <c r="AF32" s="175">
        <f>Public_2!AF32*'BTU Conversion Factor'!$F$4</f>
        <v>9917106754441.9023</v>
      </c>
      <c r="AG32" s="175">
        <f>Public_2!AG32*'BTU Conversion Factor'!$F$4</f>
        <v>9887897502074.1152</v>
      </c>
      <c r="AH32" s="175">
        <f>Public_2!AH32*'BTU Conversion Factor'!$F$4</f>
        <v>9853241847058.4707</v>
      </c>
      <c r="AI32" s="175">
        <f>Public_2!AI32*'BTU Conversion Factor'!$F$4</f>
        <v>9812512998545.4727</v>
      </c>
      <c r="AJ32" s="175">
        <f>Public_2!AJ32*'BTU Conversion Factor'!$F$4</f>
        <v>9764630034625.7676</v>
      </c>
      <c r="AK32" s="175">
        <f>Public_2!AK32*'BTU Conversion Factor'!$F$4</f>
        <v>9710796687991.3887</v>
      </c>
      <c r="AL32" s="175">
        <f>Public_2!AL32*'BTU Conversion Factor'!$F$4</f>
        <v>9650429383630.9004</v>
      </c>
      <c r="AM32" s="175">
        <f>Public_2!AM32*'BTU Conversion Factor'!$F$4</f>
        <v>9584251766476.2969</v>
      </c>
      <c r="AN32" s="175">
        <f>Public_2!AN32*'BTU Conversion Factor'!$F$4</f>
        <v>9514247728623.5957</v>
      </c>
      <c r="AO32" s="175">
        <f>Public_2!AO32*'BTU Conversion Factor'!$F$4</f>
        <v>9440050155269.957</v>
      </c>
      <c r="AP32" s="175">
        <f>Public_2!AP32*'BTU Conversion Factor'!$F$4</f>
        <v>9360966139335.0293</v>
      </c>
      <c r="AQ32" s="175">
        <f>Public_2!AQ32*'BTU Conversion Factor'!$F$4</f>
        <v>9277574066257.1172</v>
      </c>
      <c r="AR32" s="175">
        <f>Public_2!AR32*'BTU Conversion Factor'!$F$4</f>
        <v>9188870363924.6563</v>
      </c>
      <c r="AS32" s="175">
        <f>Public_2!AS32*'BTU Conversion Factor'!$F$4</f>
        <v>9096781442146.8203</v>
      </c>
      <c r="AT32" s="175">
        <f>Public_2!AT32*'BTU Conversion Factor'!$F$4</f>
        <v>9000419995832.418</v>
      </c>
      <c r="AU32" s="175">
        <f>Public_2!AU32*'BTU Conversion Factor'!$F$4</f>
        <v>8900136459447.6074</v>
      </c>
    </row>
    <row r="33" spans="1:47">
      <c r="B33" s="60" t="s">
        <v>666</v>
      </c>
      <c r="C33" s="175">
        <f>Public_2!C33*'BTU Conversion Factor'!$F$4</f>
        <v>0</v>
      </c>
      <c r="D33" s="175">
        <f>Public_2!D33*'BTU Conversion Factor'!$F$4</f>
        <v>0</v>
      </c>
      <c r="E33" s="175">
        <f>Public_2!E33*'BTU Conversion Factor'!$F$4</f>
        <v>0</v>
      </c>
      <c r="F33" s="175">
        <f>Public_2!F33*'BTU Conversion Factor'!$F$4</f>
        <v>0</v>
      </c>
      <c r="G33" s="175">
        <f>Public_2!G33*'BTU Conversion Factor'!$F$4</f>
        <v>0</v>
      </c>
      <c r="H33" s="175">
        <f>Public_2!H33*'BTU Conversion Factor'!$F$4</f>
        <v>0</v>
      </c>
      <c r="I33" s="175">
        <f>Public_2!I33*'BTU Conversion Factor'!$F$4</f>
        <v>0</v>
      </c>
      <c r="J33" s="175">
        <f>Public_2!J33*'BTU Conversion Factor'!$F$4</f>
        <v>0</v>
      </c>
      <c r="K33" s="175">
        <f>Public_2!K33*'BTU Conversion Factor'!$F$4</f>
        <v>0</v>
      </c>
      <c r="L33" s="175">
        <f>Public_2!L33*'BTU Conversion Factor'!$F$4</f>
        <v>0</v>
      </c>
      <c r="M33" s="175">
        <f>Public_2!M33*'BTU Conversion Factor'!$F$4</f>
        <v>0</v>
      </c>
      <c r="N33" s="175">
        <f>Public_2!N33*'BTU Conversion Factor'!$F$4</f>
        <v>0</v>
      </c>
      <c r="O33" s="175">
        <f>Public_2!O33*'BTU Conversion Factor'!$F$4</f>
        <v>0</v>
      </c>
      <c r="P33" s="175">
        <f>Public_2!P33*'BTU Conversion Factor'!$F$4</f>
        <v>0</v>
      </c>
      <c r="Q33" s="175">
        <f>Public_2!Q33*'BTU Conversion Factor'!$F$4</f>
        <v>0</v>
      </c>
      <c r="R33" s="175">
        <f>Public_2!R33*'BTU Conversion Factor'!$F$4</f>
        <v>0</v>
      </c>
      <c r="S33" s="175">
        <f>Public_2!S33*'BTU Conversion Factor'!$F$4</f>
        <v>0</v>
      </c>
      <c r="T33" s="175">
        <f>Public_2!T33*'BTU Conversion Factor'!$F$4</f>
        <v>0</v>
      </c>
      <c r="U33" s="175">
        <f>Public_2!U33*'BTU Conversion Factor'!$F$4</f>
        <v>0</v>
      </c>
      <c r="V33" s="175">
        <f>Public_2!V33*'BTU Conversion Factor'!$F$4</f>
        <v>0</v>
      </c>
      <c r="W33" s="175">
        <f>Public_2!W33*'BTU Conversion Factor'!$F$4</f>
        <v>0</v>
      </c>
      <c r="X33" s="175">
        <f>Public_2!X33*'BTU Conversion Factor'!$F$4</f>
        <v>0</v>
      </c>
      <c r="Y33" s="175">
        <f>Public_2!Y33*'BTU Conversion Factor'!$F$4</f>
        <v>0</v>
      </c>
      <c r="Z33" s="175">
        <f>Public_2!Z33*'BTU Conversion Factor'!$F$4</f>
        <v>0</v>
      </c>
      <c r="AA33" s="175">
        <f>Public_2!AA33*'BTU Conversion Factor'!$F$4</f>
        <v>0</v>
      </c>
      <c r="AB33" s="175">
        <f>Public_2!AB33*'BTU Conversion Factor'!$F$4</f>
        <v>0</v>
      </c>
      <c r="AC33" s="175">
        <f>Public_2!AC33*'BTU Conversion Factor'!$F$4</f>
        <v>0</v>
      </c>
      <c r="AD33" s="175">
        <f>Public_2!AD33*'BTU Conversion Factor'!$F$4</f>
        <v>0</v>
      </c>
      <c r="AE33" s="175">
        <f>Public_2!AE33*'BTU Conversion Factor'!$F$4</f>
        <v>0</v>
      </c>
      <c r="AF33" s="175">
        <f>Public_2!AF33*'BTU Conversion Factor'!$F$4</f>
        <v>0</v>
      </c>
      <c r="AG33" s="175">
        <f>Public_2!AG33*'BTU Conversion Factor'!$F$4</f>
        <v>0</v>
      </c>
      <c r="AH33" s="175">
        <f>Public_2!AH33*'BTU Conversion Factor'!$F$4</f>
        <v>0</v>
      </c>
      <c r="AI33" s="175">
        <f>Public_2!AI33*'BTU Conversion Factor'!$F$4</f>
        <v>0</v>
      </c>
      <c r="AJ33" s="175">
        <f>Public_2!AJ33*'BTU Conversion Factor'!$F$4</f>
        <v>0</v>
      </c>
      <c r="AK33" s="175">
        <f>Public_2!AK33*'BTU Conversion Factor'!$F$4</f>
        <v>0</v>
      </c>
      <c r="AL33" s="175">
        <f>Public_2!AL33*'BTU Conversion Factor'!$F$4</f>
        <v>0</v>
      </c>
      <c r="AM33" s="175">
        <f>Public_2!AM33*'BTU Conversion Factor'!$F$4</f>
        <v>0</v>
      </c>
      <c r="AN33" s="175">
        <f>Public_2!AN33*'BTU Conversion Factor'!$F$4</f>
        <v>0</v>
      </c>
      <c r="AO33" s="175">
        <f>Public_2!AO33*'BTU Conversion Factor'!$F$4</f>
        <v>0</v>
      </c>
      <c r="AP33" s="175">
        <f>Public_2!AP33*'BTU Conversion Factor'!$F$4</f>
        <v>0</v>
      </c>
      <c r="AQ33" s="175">
        <f>Public_2!AQ33*'BTU Conversion Factor'!$F$4</f>
        <v>0</v>
      </c>
      <c r="AR33" s="175">
        <f>Public_2!AR33*'BTU Conversion Factor'!$F$4</f>
        <v>0</v>
      </c>
      <c r="AS33" s="175">
        <f>Public_2!AS33*'BTU Conversion Factor'!$F$4</f>
        <v>0</v>
      </c>
      <c r="AT33" s="175">
        <f>Public_2!AT33*'BTU Conversion Factor'!$F$4</f>
        <v>0</v>
      </c>
      <c r="AU33" s="175">
        <f>Public_2!AU33*'BTU Conversion Factor'!$F$4</f>
        <v>0</v>
      </c>
    </row>
    <row r="34" spans="1:47">
      <c r="B34" s="60" t="s">
        <v>667</v>
      </c>
      <c r="C34" s="175">
        <f>Public_2!C34*'BTU Conversion Factor'!$F$4</f>
        <v>8006226146333.335</v>
      </c>
      <c r="D34" s="175">
        <f>Public_2!D34*'BTU Conversion Factor'!$F$4</f>
        <v>7838639630932.4873</v>
      </c>
      <c r="E34" s="175">
        <f>Public_2!E34*'BTU Conversion Factor'!$F$4</f>
        <v>7944485715048.6904</v>
      </c>
      <c r="F34" s="175">
        <f>Public_2!F34*'BTU Conversion Factor'!$F$4</f>
        <v>7869851861726.9365</v>
      </c>
      <c r="G34" s="175">
        <f>Public_2!G34*'BTU Conversion Factor'!$F$4</f>
        <v>8172790052955.7676</v>
      </c>
      <c r="H34" s="175">
        <f>Public_2!H34*'BTU Conversion Factor'!$F$4</f>
        <v>7881935731341.2285</v>
      </c>
      <c r="I34" s="175">
        <f>Public_2!I34*'BTU Conversion Factor'!$F$4</f>
        <v>7805950186156.2686</v>
      </c>
      <c r="J34" s="175">
        <f>Public_2!J34*'BTU Conversion Factor'!$F$4</f>
        <v>7887764639017.2432</v>
      </c>
      <c r="K34" s="175">
        <f>Public_2!K34*'BTU Conversion Factor'!$F$4</f>
        <v>7765668273783.5645</v>
      </c>
      <c r="L34" s="175">
        <f>Public_2!L34*'BTU Conversion Factor'!$F$4</f>
        <v>7587500996340.6221</v>
      </c>
      <c r="M34" s="175">
        <f>Public_2!M34*'BTU Conversion Factor'!$F$4</f>
        <v>7676150858519.5068</v>
      </c>
      <c r="N34" s="175">
        <f>Public_2!N34*'BTU Conversion Factor'!$F$4</f>
        <v>7677761263097.5098</v>
      </c>
      <c r="O34" s="175">
        <f>Public_2!O34*'BTU Conversion Factor'!$F$4</f>
        <v>7650159001199.249</v>
      </c>
      <c r="P34" s="175">
        <f>Public_2!P34*'BTU Conversion Factor'!$F$4</f>
        <v>7610904466346.2354</v>
      </c>
      <c r="Q34" s="175">
        <f>Public_2!Q34*'BTU Conversion Factor'!$F$4</f>
        <v>7571951449792.7471</v>
      </c>
      <c r="R34" s="175">
        <f>Public_2!R34*'BTU Conversion Factor'!$F$4</f>
        <v>7524199728016.5488</v>
      </c>
      <c r="S34" s="175">
        <f>Public_2!S34*'BTU Conversion Factor'!$F$4</f>
        <v>7472001099187.5439</v>
      </c>
      <c r="T34" s="175">
        <f>Public_2!T34*'BTU Conversion Factor'!$F$4</f>
        <v>7414872262387.084</v>
      </c>
      <c r="U34" s="175">
        <f>Public_2!U34*'BTU Conversion Factor'!$F$4</f>
        <v>7349994136023.8242</v>
      </c>
      <c r="V34" s="175">
        <f>Public_2!V34*'BTU Conversion Factor'!$F$4</f>
        <v>7279490825141.6143</v>
      </c>
      <c r="W34" s="175">
        <f>Public_2!W34*'BTU Conversion Factor'!$F$4</f>
        <v>7202527214462.1553</v>
      </c>
      <c r="X34" s="175">
        <f>Public_2!X34*'BTU Conversion Factor'!$F$4</f>
        <v>7120872866825.875</v>
      </c>
      <c r="Y34" s="175">
        <f>Public_2!Y34*'BTU Conversion Factor'!$F$4</f>
        <v>7037629556189.9512</v>
      </c>
      <c r="Z34" s="175">
        <f>Public_2!Z34*'BTU Conversion Factor'!$F$4</f>
        <v>6951498862396.4043</v>
      </c>
      <c r="AA34" s="175">
        <f>Public_2!AA34*'BTU Conversion Factor'!$F$4</f>
        <v>6861099176199.6279</v>
      </c>
      <c r="AB34" s="175">
        <f>Public_2!AB34*'BTU Conversion Factor'!$F$4</f>
        <v>6767522702693.4863</v>
      </c>
      <c r="AC34" s="175">
        <f>Public_2!AC34*'BTU Conversion Factor'!$F$4</f>
        <v>6671131670800.0811</v>
      </c>
      <c r="AD34" s="175">
        <f>Public_2!AD34*'BTU Conversion Factor'!$F$4</f>
        <v>6572678570228.2617</v>
      </c>
      <c r="AE34" s="175">
        <f>Public_2!AE34*'BTU Conversion Factor'!$F$4</f>
        <v>6470627096533.0625</v>
      </c>
      <c r="AF34" s="175">
        <f>Public_2!AF34*'BTU Conversion Factor'!$F$4</f>
        <v>6364037763223.2617</v>
      </c>
      <c r="AG34" s="175">
        <f>Public_2!AG34*'BTU Conversion Factor'!$F$4</f>
        <v>6253674789165.6035</v>
      </c>
      <c r="AH34" s="175">
        <f>Public_2!AH34*'BTU Conversion Factor'!$F$4</f>
        <v>6139582966665.3945</v>
      </c>
      <c r="AI34" s="175">
        <f>Public_2!AI34*'BTU Conversion Factor'!$F$4</f>
        <v>6021527170567.1641</v>
      </c>
      <c r="AJ34" s="175">
        <f>Public_2!AJ34*'BTU Conversion Factor'!$F$4</f>
        <v>5899024731288.6396</v>
      </c>
      <c r="AK34" s="175">
        <f>Public_2!AK34*'BTU Conversion Factor'!$F$4</f>
        <v>5772996139039.207</v>
      </c>
      <c r="AL34" s="175">
        <f>Public_2!AL34*'BTU Conversion Factor'!$F$4</f>
        <v>5643273912309.2832</v>
      </c>
      <c r="AM34" s="175">
        <f>Public_2!AM34*'BTU Conversion Factor'!$F$4</f>
        <v>5510468492287.752</v>
      </c>
      <c r="AN34" s="175">
        <f>Public_2!AN34*'BTU Conversion Factor'!$F$4</f>
        <v>5375877540530.2666</v>
      </c>
      <c r="AO34" s="175">
        <f>Public_2!AO34*'BTU Conversion Factor'!$F$4</f>
        <v>5239417900620.2373</v>
      </c>
      <c r="AP34" s="175">
        <f>Public_2!AP34*'BTU Conversion Factor'!$F$4</f>
        <v>5100846147808.2197</v>
      </c>
      <c r="AQ34" s="175">
        <f>Public_2!AQ34*'BTU Conversion Factor'!$F$4</f>
        <v>4960629607985.8213</v>
      </c>
      <c r="AR34" s="175">
        <f>Public_2!AR34*'BTU Conversion Factor'!$F$4</f>
        <v>4818385385126.6816</v>
      </c>
      <c r="AS34" s="175">
        <f>Public_2!AS34*'BTU Conversion Factor'!$F$4</f>
        <v>4675281187311.6309</v>
      </c>
      <c r="AT34" s="175">
        <f>Public_2!AT34*'BTU Conversion Factor'!$F$4</f>
        <v>4530990724209.6084</v>
      </c>
      <c r="AU34" s="175">
        <f>Public_2!AU34*'BTU Conversion Factor'!$F$4</f>
        <v>4385837856828.7471</v>
      </c>
    </row>
    <row r="35" spans="1:47">
      <c r="B35" s="60" t="s">
        <v>668</v>
      </c>
      <c r="C35" s="175">
        <f>Public_2!C35*'BTU Conversion Factor'!$F$4</f>
        <v>0</v>
      </c>
      <c r="D35" s="175">
        <f>Public_2!D35*'BTU Conversion Factor'!$F$4</f>
        <v>0</v>
      </c>
      <c r="E35" s="175">
        <f>Public_2!E35*'BTU Conversion Factor'!$F$4</f>
        <v>0</v>
      </c>
      <c r="F35" s="175">
        <f>Public_2!F35*'BTU Conversion Factor'!$F$4</f>
        <v>0</v>
      </c>
      <c r="G35" s="175">
        <f>Public_2!G35*'BTU Conversion Factor'!$F$4</f>
        <v>0</v>
      </c>
      <c r="H35" s="175">
        <f>Public_2!H35*'BTU Conversion Factor'!$F$4</f>
        <v>0</v>
      </c>
      <c r="I35" s="175">
        <f>Public_2!I35*'BTU Conversion Factor'!$F$4</f>
        <v>0</v>
      </c>
      <c r="J35" s="175">
        <f>Public_2!J35*'BTU Conversion Factor'!$F$4</f>
        <v>0</v>
      </c>
      <c r="K35" s="175">
        <f>Public_2!K35*'BTU Conversion Factor'!$F$4</f>
        <v>0</v>
      </c>
      <c r="L35" s="175">
        <f>Public_2!L35*'BTU Conversion Factor'!$F$4</f>
        <v>0</v>
      </c>
      <c r="M35" s="175">
        <f>Public_2!M35*'BTU Conversion Factor'!$F$4</f>
        <v>0</v>
      </c>
      <c r="N35" s="175">
        <f>Public_2!N35*'BTU Conversion Factor'!$F$4</f>
        <v>0</v>
      </c>
      <c r="O35" s="175">
        <f>Public_2!O35*'BTU Conversion Factor'!$F$4</f>
        <v>0</v>
      </c>
      <c r="P35" s="175">
        <f>Public_2!P35*'BTU Conversion Factor'!$F$4</f>
        <v>0</v>
      </c>
      <c r="Q35" s="175">
        <f>Public_2!Q35*'BTU Conversion Factor'!$F$4</f>
        <v>0</v>
      </c>
      <c r="R35" s="175">
        <f>Public_2!R35*'BTU Conversion Factor'!$F$4</f>
        <v>0</v>
      </c>
      <c r="S35" s="175">
        <f>Public_2!S35*'BTU Conversion Factor'!$F$4</f>
        <v>0</v>
      </c>
      <c r="T35" s="175">
        <f>Public_2!T35*'BTU Conversion Factor'!$F$4</f>
        <v>0</v>
      </c>
      <c r="U35" s="175">
        <f>Public_2!U35*'BTU Conversion Factor'!$F$4</f>
        <v>0</v>
      </c>
      <c r="V35" s="175">
        <f>Public_2!V35*'BTU Conversion Factor'!$F$4</f>
        <v>0</v>
      </c>
      <c r="W35" s="175">
        <f>Public_2!W35*'BTU Conversion Factor'!$F$4</f>
        <v>0</v>
      </c>
      <c r="X35" s="175">
        <f>Public_2!X35*'BTU Conversion Factor'!$F$4</f>
        <v>0</v>
      </c>
      <c r="Y35" s="175">
        <f>Public_2!Y35*'BTU Conversion Factor'!$F$4</f>
        <v>0</v>
      </c>
      <c r="Z35" s="175">
        <f>Public_2!Z35*'BTU Conversion Factor'!$F$4</f>
        <v>0</v>
      </c>
      <c r="AA35" s="175">
        <f>Public_2!AA35*'BTU Conversion Factor'!$F$4</f>
        <v>0</v>
      </c>
      <c r="AB35" s="175">
        <f>Public_2!AB35*'BTU Conversion Factor'!$F$4</f>
        <v>0</v>
      </c>
      <c r="AC35" s="175">
        <f>Public_2!AC35*'BTU Conversion Factor'!$F$4</f>
        <v>0</v>
      </c>
      <c r="AD35" s="175">
        <f>Public_2!AD35*'BTU Conversion Factor'!$F$4</f>
        <v>0</v>
      </c>
      <c r="AE35" s="175">
        <f>Public_2!AE35*'BTU Conversion Factor'!$F$4</f>
        <v>0</v>
      </c>
      <c r="AF35" s="175">
        <f>Public_2!AF35*'BTU Conversion Factor'!$F$4</f>
        <v>0</v>
      </c>
      <c r="AG35" s="175">
        <f>Public_2!AG35*'BTU Conversion Factor'!$F$4</f>
        <v>0</v>
      </c>
      <c r="AH35" s="175">
        <f>Public_2!AH35*'BTU Conversion Factor'!$F$4</f>
        <v>0</v>
      </c>
      <c r="AI35" s="175">
        <f>Public_2!AI35*'BTU Conversion Factor'!$F$4</f>
        <v>0</v>
      </c>
      <c r="AJ35" s="175">
        <f>Public_2!AJ35*'BTU Conversion Factor'!$F$4</f>
        <v>0</v>
      </c>
      <c r="AK35" s="175">
        <f>Public_2!AK35*'BTU Conversion Factor'!$F$4</f>
        <v>0</v>
      </c>
      <c r="AL35" s="175">
        <f>Public_2!AL35*'BTU Conversion Factor'!$F$4</f>
        <v>0</v>
      </c>
      <c r="AM35" s="175">
        <f>Public_2!AM35*'BTU Conversion Factor'!$F$4</f>
        <v>0</v>
      </c>
      <c r="AN35" s="175">
        <f>Public_2!AN35*'BTU Conversion Factor'!$F$4</f>
        <v>0</v>
      </c>
      <c r="AO35" s="175">
        <f>Public_2!AO35*'BTU Conversion Factor'!$F$4</f>
        <v>0</v>
      </c>
      <c r="AP35" s="175">
        <f>Public_2!AP35*'BTU Conversion Factor'!$F$4</f>
        <v>0</v>
      </c>
      <c r="AQ35" s="175">
        <f>Public_2!AQ35*'BTU Conversion Factor'!$F$4</f>
        <v>0</v>
      </c>
      <c r="AR35" s="175">
        <f>Public_2!AR35*'BTU Conversion Factor'!$F$4</f>
        <v>0</v>
      </c>
      <c r="AS35" s="175">
        <f>Public_2!AS35*'BTU Conversion Factor'!$F$4</f>
        <v>0</v>
      </c>
      <c r="AT35" s="175">
        <f>Public_2!AT35*'BTU Conversion Factor'!$F$4</f>
        <v>0</v>
      </c>
      <c r="AU35" s="175">
        <f>Public_2!AU35*'BTU Conversion Factor'!$F$4</f>
        <v>0</v>
      </c>
    </row>
    <row r="36" spans="1:47">
      <c r="B36" s="60" t="s">
        <v>669</v>
      </c>
      <c r="C36" s="175">
        <f>Public_2!C36*'BTU Conversion Factor'!$F$4</f>
        <v>0</v>
      </c>
      <c r="D36" s="175">
        <f>Public_2!D36*'BTU Conversion Factor'!$F$4</f>
        <v>0</v>
      </c>
      <c r="E36" s="175">
        <f>Public_2!E36*'BTU Conversion Factor'!$F$4</f>
        <v>0</v>
      </c>
      <c r="F36" s="175">
        <f>Public_2!F36*'BTU Conversion Factor'!$F$4</f>
        <v>0</v>
      </c>
      <c r="G36" s="175">
        <f>Public_2!G36*'BTU Conversion Factor'!$F$4</f>
        <v>0</v>
      </c>
      <c r="H36" s="175">
        <f>Public_2!H36*'BTU Conversion Factor'!$F$4</f>
        <v>0</v>
      </c>
      <c r="I36" s="175">
        <f>Public_2!I36*'BTU Conversion Factor'!$F$4</f>
        <v>0</v>
      </c>
      <c r="J36" s="175">
        <f>Public_2!J36*'BTU Conversion Factor'!$F$4</f>
        <v>0</v>
      </c>
      <c r="K36" s="175">
        <f>Public_2!K36*'BTU Conversion Factor'!$F$4</f>
        <v>0</v>
      </c>
      <c r="L36" s="175">
        <f>Public_2!L36*'BTU Conversion Factor'!$F$4</f>
        <v>0</v>
      </c>
      <c r="M36" s="175">
        <f>Public_2!M36*'BTU Conversion Factor'!$F$4</f>
        <v>0</v>
      </c>
      <c r="N36" s="175">
        <f>Public_2!N36*'BTU Conversion Factor'!$F$4</f>
        <v>0</v>
      </c>
      <c r="O36" s="175">
        <f>Public_2!O36*'BTU Conversion Factor'!$F$4</f>
        <v>0</v>
      </c>
      <c r="P36" s="175">
        <f>Public_2!P36*'BTU Conversion Factor'!$F$4</f>
        <v>0</v>
      </c>
      <c r="Q36" s="175">
        <f>Public_2!Q36*'BTU Conversion Factor'!$F$4</f>
        <v>0</v>
      </c>
      <c r="R36" s="175">
        <f>Public_2!R36*'BTU Conversion Factor'!$F$4</f>
        <v>0</v>
      </c>
      <c r="S36" s="175">
        <f>Public_2!S36*'BTU Conversion Factor'!$F$4</f>
        <v>0</v>
      </c>
      <c r="T36" s="175">
        <f>Public_2!T36*'BTU Conversion Factor'!$F$4</f>
        <v>0</v>
      </c>
      <c r="U36" s="175">
        <f>Public_2!U36*'BTU Conversion Factor'!$F$4</f>
        <v>0</v>
      </c>
      <c r="V36" s="175">
        <f>Public_2!V36*'BTU Conversion Factor'!$F$4</f>
        <v>0</v>
      </c>
      <c r="W36" s="175">
        <f>Public_2!W36*'BTU Conversion Factor'!$F$4</f>
        <v>0</v>
      </c>
      <c r="X36" s="175">
        <f>Public_2!X36*'BTU Conversion Factor'!$F$4</f>
        <v>0</v>
      </c>
      <c r="Y36" s="175">
        <f>Public_2!Y36*'BTU Conversion Factor'!$F$4</f>
        <v>0</v>
      </c>
      <c r="Z36" s="175">
        <f>Public_2!Z36*'BTU Conversion Factor'!$F$4</f>
        <v>0</v>
      </c>
      <c r="AA36" s="175">
        <f>Public_2!AA36*'BTU Conversion Factor'!$F$4</f>
        <v>0</v>
      </c>
      <c r="AB36" s="175">
        <f>Public_2!AB36*'BTU Conversion Factor'!$F$4</f>
        <v>0</v>
      </c>
      <c r="AC36" s="175">
        <f>Public_2!AC36*'BTU Conversion Factor'!$F$4</f>
        <v>0</v>
      </c>
      <c r="AD36" s="175">
        <f>Public_2!AD36*'BTU Conversion Factor'!$F$4</f>
        <v>0</v>
      </c>
      <c r="AE36" s="175">
        <f>Public_2!AE36*'BTU Conversion Factor'!$F$4</f>
        <v>0</v>
      </c>
      <c r="AF36" s="175">
        <f>Public_2!AF36*'BTU Conversion Factor'!$F$4</f>
        <v>0</v>
      </c>
      <c r="AG36" s="175">
        <f>Public_2!AG36*'BTU Conversion Factor'!$F$4</f>
        <v>0</v>
      </c>
      <c r="AH36" s="175">
        <f>Public_2!AH36*'BTU Conversion Factor'!$F$4</f>
        <v>0</v>
      </c>
      <c r="AI36" s="175">
        <f>Public_2!AI36*'BTU Conversion Factor'!$F$4</f>
        <v>0</v>
      </c>
      <c r="AJ36" s="175">
        <f>Public_2!AJ36*'BTU Conversion Factor'!$F$4</f>
        <v>0</v>
      </c>
      <c r="AK36" s="175">
        <f>Public_2!AK36*'BTU Conversion Factor'!$F$4</f>
        <v>0</v>
      </c>
      <c r="AL36" s="175">
        <f>Public_2!AL36*'BTU Conversion Factor'!$F$4</f>
        <v>0</v>
      </c>
      <c r="AM36" s="175">
        <f>Public_2!AM36*'BTU Conversion Factor'!$F$4</f>
        <v>0</v>
      </c>
      <c r="AN36" s="175">
        <f>Public_2!AN36*'BTU Conversion Factor'!$F$4</f>
        <v>0</v>
      </c>
      <c r="AO36" s="175">
        <f>Public_2!AO36*'BTU Conversion Factor'!$F$4</f>
        <v>0</v>
      </c>
      <c r="AP36" s="175">
        <f>Public_2!AP36*'BTU Conversion Factor'!$F$4</f>
        <v>0</v>
      </c>
      <c r="AQ36" s="175">
        <f>Public_2!AQ36*'BTU Conversion Factor'!$F$4</f>
        <v>0</v>
      </c>
      <c r="AR36" s="175">
        <f>Public_2!AR36*'BTU Conversion Factor'!$F$4</f>
        <v>0</v>
      </c>
      <c r="AS36" s="175">
        <f>Public_2!AS36*'BTU Conversion Factor'!$F$4</f>
        <v>0</v>
      </c>
      <c r="AT36" s="175">
        <f>Public_2!AT36*'BTU Conversion Factor'!$F$4</f>
        <v>0</v>
      </c>
      <c r="AU36" s="175">
        <f>Public_2!AU36*'BTU Conversion Factor'!$F$4</f>
        <v>0</v>
      </c>
    </row>
    <row r="37" spans="1:47">
      <c r="B37" s="60" t="s">
        <v>670</v>
      </c>
      <c r="C37" s="175">
        <f>Public_2!C37*'BTU Conversion Factor'!$F$4</f>
        <v>0</v>
      </c>
      <c r="D37" s="175">
        <f>Public_2!D37*'BTU Conversion Factor'!$F$4</f>
        <v>0</v>
      </c>
      <c r="E37" s="175">
        <f>Public_2!E37*'BTU Conversion Factor'!$F$4</f>
        <v>0</v>
      </c>
      <c r="F37" s="175">
        <f>Public_2!F37*'BTU Conversion Factor'!$F$4</f>
        <v>0</v>
      </c>
      <c r="G37" s="175">
        <f>Public_2!G37*'BTU Conversion Factor'!$F$4</f>
        <v>0</v>
      </c>
      <c r="H37" s="175">
        <f>Public_2!H37*'BTU Conversion Factor'!$F$4</f>
        <v>0</v>
      </c>
      <c r="I37" s="175">
        <f>Public_2!I37*'BTU Conversion Factor'!$F$4</f>
        <v>0</v>
      </c>
      <c r="J37" s="175">
        <f>Public_2!J37*'BTU Conversion Factor'!$F$4</f>
        <v>0</v>
      </c>
      <c r="K37" s="175">
        <f>Public_2!K37*'BTU Conversion Factor'!$F$4</f>
        <v>0</v>
      </c>
      <c r="L37" s="175">
        <f>Public_2!L37*'BTU Conversion Factor'!$F$4</f>
        <v>0</v>
      </c>
      <c r="M37" s="175">
        <f>Public_2!M37*'BTU Conversion Factor'!$F$4</f>
        <v>0</v>
      </c>
      <c r="N37" s="175">
        <f>Public_2!N37*'BTU Conversion Factor'!$F$4</f>
        <v>0</v>
      </c>
      <c r="O37" s="175">
        <f>Public_2!O37*'BTU Conversion Factor'!$F$4</f>
        <v>0</v>
      </c>
      <c r="P37" s="175">
        <f>Public_2!P37*'BTU Conversion Factor'!$F$4</f>
        <v>0</v>
      </c>
      <c r="Q37" s="175">
        <f>Public_2!Q37*'BTU Conversion Factor'!$F$4</f>
        <v>0</v>
      </c>
      <c r="R37" s="175">
        <f>Public_2!R37*'BTU Conversion Factor'!$F$4</f>
        <v>0</v>
      </c>
      <c r="S37" s="175">
        <f>Public_2!S37*'BTU Conversion Factor'!$F$4</f>
        <v>0</v>
      </c>
      <c r="T37" s="175">
        <f>Public_2!T37*'BTU Conversion Factor'!$F$4</f>
        <v>0</v>
      </c>
      <c r="U37" s="175">
        <f>Public_2!U37*'BTU Conversion Factor'!$F$4</f>
        <v>0</v>
      </c>
      <c r="V37" s="175">
        <f>Public_2!V37*'BTU Conversion Factor'!$F$4</f>
        <v>0</v>
      </c>
      <c r="W37" s="175">
        <f>Public_2!W37*'BTU Conversion Factor'!$F$4</f>
        <v>0</v>
      </c>
      <c r="X37" s="175">
        <f>Public_2!X37*'BTU Conversion Factor'!$F$4</f>
        <v>0</v>
      </c>
      <c r="Y37" s="175">
        <f>Public_2!Y37*'BTU Conversion Factor'!$F$4</f>
        <v>0</v>
      </c>
      <c r="Z37" s="175">
        <f>Public_2!Z37*'BTU Conversion Factor'!$F$4</f>
        <v>0</v>
      </c>
      <c r="AA37" s="175">
        <f>Public_2!AA37*'BTU Conversion Factor'!$F$4</f>
        <v>0</v>
      </c>
      <c r="AB37" s="175">
        <f>Public_2!AB37*'BTU Conversion Factor'!$F$4</f>
        <v>0</v>
      </c>
      <c r="AC37" s="175">
        <f>Public_2!AC37*'BTU Conversion Factor'!$F$4</f>
        <v>0</v>
      </c>
      <c r="AD37" s="175">
        <f>Public_2!AD37*'BTU Conversion Factor'!$F$4</f>
        <v>0</v>
      </c>
      <c r="AE37" s="175">
        <f>Public_2!AE37*'BTU Conversion Factor'!$F$4</f>
        <v>0</v>
      </c>
      <c r="AF37" s="175">
        <f>Public_2!AF37*'BTU Conversion Factor'!$F$4</f>
        <v>0</v>
      </c>
      <c r="AG37" s="175">
        <f>Public_2!AG37*'BTU Conversion Factor'!$F$4</f>
        <v>0</v>
      </c>
      <c r="AH37" s="175">
        <f>Public_2!AH37*'BTU Conversion Factor'!$F$4</f>
        <v>0</v>
      </c>
      <c r="AI37" s="175">
        <f>Public_2!AI37*'BTU Conversion Factor'!$F$4</f>
        <v>0</v>
      </c>
      <c r="AJ37" s="175">
        <f>Public_2!AJ37*'BTU Conversion Factor'!$F$4</f>
        <v>0</v>
      </c>
      <c r="AK37" s="175">
        <f>Public_2!AK37*'BTU Conversion Factor'!$F$4</f>
        <v>0</v>
      </c>
      <c r="AL37" s="175">
        <f>Public_2!AL37*'BTU Conversion Factor'!$F$4</f>
        <v>0</v>
      </c>
      <c r="AM37" s="175">
        <f>Public_2!AM37*'BTU Conversion Factor'!$F$4</f>
        <v>0</v>
      </c>
      <c r="AN37" s="175">
        <f>Public_2!AN37*'BTU Conversion Factor'!$F$4</f>
        <v>0</v>
      </c>
      <c r="AO37" s="175">
        <f>Public_2!AO37*'BTU Conversion Factor'!$F$4</f>
        <v>0</v>
      </c>
      <c r="AP37" s="175">
        <f>Public_2!AP37*'BTU Conversion Factor'!$F$4</f>
        <v>0</v>
      </c>
      <c r="AQ37" s="175">
        <f>Public_2!AQ37*'BTU Conversion Factor'!$F$4</f>
        <v>0</v>
      </c>
      <c r="AR37" s="175">
        <f>Public_2!AR37*'BTU Conversion Factor'!$F$4</f>
        <v>0</v>
      </c>
      <c r="AS37" s="175">
        <f>Public_2!AS37*'BTU Conversion Factor'!$F$4</f>
        <v>0</v>
      </c>
      <c r="AT37" s="175">
        <f>Public_2!AT37*'BTU Conversion Factor'!$F$4</f>
        <v>0</v>
      </c>
      <c r="AU37" s="175">
        <f>Public_2!AU37*'BTU Conversion Factor'!$F$4</f>
        <v>0</v>
      </c>
    </row>
    <row r="39" spans="1:47" s="64" customFormat="1">
      <c r="A39" s="124" t="s">
        <v>33</v>
      </c>
    </row>
    <row r="40" spans="1:47" s="60" customFormat="1">
      <c r="B40" s="60" t="s">
        <v>0</v>
      </c>
      <c r="C40" s="60">
        <v>2006</v>
      </c>
      <c r="D40" s="60">
        <v>2007</v>
      </c>
      <c r="E40" s="60">
        <v>2008</v>
      </c>
      <c r="F40" s="60">
        <v>2009</v>
      </c>
      <c r="G40" s="60">
        <v>2010</v>
      </c>
      <c r="H40" s="60">
        <v>2011</v>
      </c>
      <c r="I40" s="60">
        <v>2012</v>
      </c>
      <c r="J40" s="60">
        <v>2013</v>
      </c>
      <c r="K40" s="60">
        <v>2014</v>
      </c>
      <c r="L40" s="60">
        <v>2015</v>
      </c>
      <c r="M40" s="60">
        <v>2016</v>
      </c>
      <c r="N40" s="60">
        <v>2017</v>
      </c>
      <c r="O40" s="60">
        <v>2018</v>
      </c>
      <c r="P40" s="60">
        <v>2019</v>
      </c>
      <c r="Q40" s="60">
        <v>2020</v>
      </c>
      <c r="R40" s="60">
        <v>2021</v>
      </c>
      <c r="S40" s="60">
        <v>2022</v>
      </c>
      <c r="T40" s="60">
        <v>2023</v>
      </c>
      <c r="U40" s="60">
        <v>2024</v>
      </c>
      <c r="V40" s="60">
        <v>2025</v>
      </c>
      <c r="W40" s="60">
        <v>2026</v>
      </c>
      <c r="X40" s="60">
        <v>2027</v>
      </c>
      <c r="Y40" s="60">
        <v>2028</v>
      </c>
      <c r="Z40" s="60">
        <v>2029</v>
      </c>
      <c r="AA40" s="60">
        <v>2030</v>
      </c>
      <c r="AB40" s="60">
        <v>2031</v>
      </c>
      <c r="AC40" s="60">
        <v>2032</v>
      </c>
      <c r="AD40" s="60">
        <v>2033</v>
      </c>
      <c r="AE40" s="60">
        <v>2034</v>
      </c>
      <c r="AF40" s="60">
        <v>2035</v>
      </c>
      <c r="AG40" s="60">
        <v>2036</v>
      </c>
      <c r="AH40" s="60">
        <v>2037</v>
      </c>
      <c r="AI40" s="60">
        <v>2038</v>
      </c>
      <c r="AJ40" s="60">
        <v>2039</v>
      </c>
      <c r="AK40" s="60">
        <v>2040</v>
      </c>
      <c r="AL40" s="60">
        <v>2041</v>
      </c>
      <c r="AM40" s="60">
        <v>2042</v>
      </c>
      <c r="AN40" s="60">
        <v>2043</v>
      </c>
      <c r="AO40" s="60">
        <v>2044</v>
      </c>
      <c r="AP40" s="60">
        <v>2045</v>
      </c>
      <c r="AQ40" s="60">
        <v>2046</v>
      </c>
      <c r="AR40" s="60">
        <v>2047</v>
      </c>
      <c r="AS40" s="60">
        <v>2048</v>
      </c>
      <c r="AT40" s="60">
        <v>2049</v>
      </c>
      <c r="AU40" s="60">
        <v>2050</v>
      </c>
    </row>
    <row r="41" spans="1:47">
      <c r="B41" s="60" t="s">
        <v>665</v>
      </c>
      <c r="C41" s="175">
        <f>Public_2!C41*'BTU Conversion Factor'!$F$4</f>
        <v>929364441195.91443</v>
      </c>
      <c r="D41" s="175">
        <f>Public_2!D41*'BTU Conversion Factor'!$F$4</f>
        <v>967570501753.38428</v>
      </c>
      <c r="E41" s="175">
        <f>Public_2!E41*'BTU Conversion Factor'!$F$4</f>
        <v>979479727126.33459</v>
      </c>
      <c r="F41" s="175">
        <f>Public_2!F41*'BTU Conversion Factor'!$F$4</f>
        <v>1126791179350.6624</v>
      </c>
      <c r="G41" s="175">
        <f>Public_2!G41*'BTU Conversion Factor'!$F$4</f>
        <v>1245409694383.2498</v>
      </c>
      <c r="H41" s="175">
        <f>Public_2!H41*'BTU Conversion Factor'!$F$4</f>
        <v>1424498247722.98</v>
      </c>
      <c r="I41" s="175">
        <f>Public_2!I41*'BTU Conversion Factor'!$F$4</f>
        <v>1710254101543.9016</v>
      </c>
      <c r="J41" s="175">
        <f>Public_2!J41*'BTU Conversion Factor'!$F$4</f>
        <v>1801610137954.9226</v>
      </c>
      <c r="K41" s="175">
        <f>Public_2!K41*'BTU Conversion Factor'!$F$4</f>
        <v>1782161768965.8313</v>
      </c>
      <c r="L41" s="175">
        <f>Public_2!L41*'BTU Conversion Factor'!$F$4</f>
        <v>1729792934578.0049</v>
      </c>
      <c r="M41" s="175">
        <f>Public_2!M41*'BTU Conversion Factor'!$F$4</f>
        <v>1784327164748.2261</v>
      </c>
      <c r="N41" s="175">
        <f>Public_2!N41*'BTU Conversion Factor'!$F$4</f>
        <v>1861038746950.4436</v>
      </c>
      <c r="O41" s="175">
        <f>Public_2!O41*'BTU Conversion Factor'!$F$4</f>
        <v>1891535500741.9475</v>
      </c>
      <c r="P41" s="175">
        <f>Public_2!P41*'BTU Conversion Factor'!$F$4</f>
        <v>1919908776179.0916</v>
      </c>
      <c r="Q41" s="175">
        <f>Public_2!Q41*'BTU Conversion Factor'!$F$4</f>
        <v>1949091876231.1172</v>
      </c>
      <c r="R41" s="175">
        <f>Public_2!R41*'BTU Conversion Factor'!$F$4</f>
        <v>1976731962614.8572</v>
      </c>
      <c r="S41" s="175">
        <f>Public_2!S41*'BTU Conversion Factor'!$F$4</f>
        <v>2003887069654.3884</v>
      </c>
      <c r="T41" s="175">
        <f>Public_2!T41*'BTU Conversion Factor'!$F$4</f>
        <v>2030382647736.6338</v>
      </c>
      <c r="U41" s="175">
        <f>Public_2!U41*'BTU Conversion Factor'!$F$4</f>
        <v>2055377050550.668</v>
      </c>
      <c r="V41" s="175">
        <f>Public_2!V41*'BTU Conversion Factor'!$F$4</f>
        <v>2079369515519.9783</v>
      </c>
      <c r="W41" s="175">
        <f>Public_2!W41*'BTU Conversion Factor'!$F$4</f>
        <v>2102041306834.637</v>
      </c>
      <c r="X41" s="175">
        <f>Public_2!X41*'BTU Conversion Factor'!$F$4</f>
        <v>2123824173097.3735</v>
      </c>
      <c r="Y41" s="175">
        <f>Public_2!Y41*'BTU Conversion Factor'!$F$4</f>
        <v>2145596416454.938</v>
      </c>
      <c r="Z41" s="175">
        <f>Public_2!Z41*'BTU Conversion Factor'!$F$4</f>
        <v>2166945048517.0283</v>
      </c>
      <c r="AA41" s="175">
        <f>Public_2!AA41*'BTU Conversion Factor'!$F$4</f>
        <v>2187393175094.0344</v>
      </c>
      <c r="AB41" s="175">
        <f>Public_2!AB41*'BTU Conversion Factor'!$F$4</f>
        <v>2207227591827.334</v>
      </c>
      <c r="AC41" s="175">
        <f>Public_2!AC41*'BTU Conversion Factor'!$F$4</f>
        <v>2226519665324.522</v>
      </c>
      <c r="AD41" s="175">
        <f>Public_2!AD41*'BTU Conversion Factor'!$F$4</f>
        <v>2245481868134.0591</v>
      </c>
      <c r="AE41" s="175">
        <f>Public_2!AE41*'BTU Conversion Factor'!$F$4</f>
        <v>2263547285773.2017</v>
      </c>
      <c r="AF41" s="175">
        <f>Public_2!AF41*'BTU Conversion Factor'!$F$4</f>
        <v>2280308407348.1558</v>
      </c>
      <c r="AG41" s="175">
        <f>Public_2!AG41*'BTU Conversion Factor'!$F$4</f>
        <v>2295944529587.0005</v>
      </c>
      <c r="AH41" s="175">
        <f>Public_2!AH41*'BTU Conversion Factor'!$F$4</f>
        <v>2310384217392.6553</v>
      </c>
      <c r="AI41" s="175">
        <f>Public_2!AI41*'BTU Conversion Factor'!$F$4</f>
        <v>2323442578193.459</v>
      </c>
      <c r="AJ41" s="175">
        <f>Public_2!AJ41*'BTU Conversion Factor'!$F$4</f>
        <v>2334819596922.0576</v>
      </c>
      <c r="AK41" s="175">
        <f>Public_2!AK41*'BTU Conversion Factor'!$F$4</f>
        <v>2344755948030.0337</v>
      </c>
      <c r="AL41" s="175">
        <f>Public_2!AL41*'BTU Conversion Factor'!$F$4</f>
        <v>2353066952817.6392</v>
      </c>
      <c r="AM41" s="175">
        <f>Public_2!AM41*'BTU Conversion Factor'!$F$4</f>
        <v>2359883383771.7305</v>
      </c>
      <c r="AN41" s="175">
        <f>Public_2!AN41*'BTU Conversion Factor'!$F$4</f>
        <v>2365655433929.6123</v>
      </c>
      <c r="AO41" s="175">
        <f>Public_2!AO41*'BTU Conversion Factor'!$F$4</f>
        <v>2370261521533.1733</v>
      </c>
      <c r="AP41" s="175">
        <f>Public_2!AP41*'BTU Conversion Factor'!$F$4</f>
        <v>2373493253805.313</v>
      </c>
      <c r="AQ41" s="175">
        <f>Public_2!AQ41*'BTU Conversion Factor'!$F$4</f>
        <v>2375460186940.1611</v>
      </c>
      <c r="AR41" s="175">
        <f>Public_2!AR41*'BTU Conversion Factor'!$F$4</f>
        <v>2375867895521.3989</v>
      </c>
      <c r="AS41" s="175">
        <f>Public_2!AS41*'BTU Conversion Factor'!$F$4</f>
        <v>2375176068248.9736</v>
      </c>
      <c r="AT41" s="175">
        <f>Public_2!AT41*'BTU Conversion Factor'!$F$4</f>
        <v>2373121412000.7378</v>
      </c>
      <c r="AU41" s="175">
        <f>Public_2!AU41*'BTU Conversion Factor'!$F$4</f>
        <v>2369760394002.6548</v>
      </c>
    </row>
    <row r="42" spans="1:47">
      <c r="B42" s="60" t="s">
        <v>666</v>
      </c>
      <c r="C42" s="175">
        <f>Public_2!C42*'BTU Conversion Factor'!$F$4</f>
        <v>0</v>
      </c>
      <c r="D42" s="175">
        <f>Public_2!D42*'BTU Conversion Factor'!$F$4</f>
        <v>0</v>
      </c>
      <c r="E42" s="175">
        <f>Public_2!E42*'BTU Conversion Factor'!$F$4</f>
        <v>0</v>
      </c>
      <c r="F42" s="175">
        <f>Public_2!F42*'BTU Conversion Factor'!$F$4</f>
        <v>0</v>
      </c>
      <c r="G42" s="175">
        <f>Public_2!G42*'BTU Conversion Factor'!$F$4</f>
        <v>0</v>
      </c>
      <c r="H42" s="175">
        <f>Public_2!H42*'BTU Conversion Factor'!$F$4</f>
        <v>0</v>
      </c>
      <c r="I42" s="175">
        <f>Public_2!I42*'BTU Conversion Factor'!$F$4</f>
        <v>0</v>
      </c>
      <c r="J42" s="175">
        <f>Public_2!J42*'BTU Conversion Factor'!$F$4</f>
        <v>0</v>
      </c>
      <c r="K42" s="175">
        <f>Public_2!K42*'BTU Conversion Factor'!$F$4</f>
        <v>0</v>
      </c>
      <c r="L42" s="175">
        <f>Public_2!L42*'BTU Conversion Factor'!$F$4</f>
        <v>0</v>
      </c>
      <c r="M42" s="175">
        <f>Public_2!M42*'BTU Conversion Factor'!$F$4</f>
        <v>0</v>
      </c>
      <c r="N42" s="175">
        <f>Public_2!N42*'BTU Conversion Factor'!$F$4</f>
        <v>0</v>
      </c>
      <c r="O42" s="175">
        <f>Public_2!O42*'BTU Conversion Factor'!$F$4</f>
        <v>0</v>
      </c>
      <c r="P42" s="175">
        <f>Public_2!P42*'BTU Conversion Factor'!$F$4</f>
        <v>0</v>
      </c>
      <c r="Q42" s="175">
        <f>Public_2!Q42*'BTU Conversion Factor'!$F$4</f>
        <v>0</v>
      </c>
      <c r="R42" s="175">
        <f>Public_2!R42*'BTU Conversion Factor'!$F$4</f>
        <v>0</v>
      </c>
      <c r="S42" s="175">
        <f>Public_2!S42*'BTU Conversion Factor'!$F$4</f>
        <v>0</v>
      </c>
      <c r="T42" s="175">
        <f>Public_2!T42*'BTU Conversion Factor'!$F$4</f>
        <v>0</v>
      </c>
      <c r="U42" s="175">
        <f>Public_2!U42*'BTU Conversion Factor'!$F$4</f>
        <v>0</v>
      </c>
      <c r="V42" s="175">
        <f>Public_2!V42*'BTU Conversion Factor'!$F$4</f>
        <v>0</v>
      </c>
      <c r="W42" s="175">
        <f>Public_2!W42*'BTU Conversion Factor'!$F$4</f>
        <v>0</v>
      </c>
      <c r="X42" s="175">
        <f>Public_2!X42*'BTU Conversion Factor'!$F$4</f>
        <v>0</v>
      </c>
      <c r="Y42" s="175">
        <f>Public_2!Y42*'BTU Conversion Factor'!$F$4</f>
        <v>0</v>
      </c>
      <c r="Z42" s="175">
        <f>Public_2!Z42*'BTU Conversion Factor'!$F$4</f>
        <v>0</v>
      </c>
      <c r="AA42" s="175">
        <f>Public_2!AA42*'BTU Conversion Factor'!$F$4</f>
        <v>0</v>
      </c>
      <c r="AB42" s="175">
        <f>Public_2!AB42*'BTU Conversion Factor'!$F$4</f>
        <v>0</v>
      </c>
      <c r="AC42" s="175">
        <f>Public_2!AC42*'BTU Conversion Factor'!$F$4</f>
        <v>0</v>
      </c>
      <c r="AD42" s="175">
        <f>Public_2!AD42*'BTU Conversion Factor'!$F$4</f>
        <v>0</v>
      </c>
      <c r="AE42" s="175">
        <f>Public_2!AE42*'BTU Conversion Factor'!$F$4</f>
        <v>0</v>
      </c>
      <c r="AF42" s="175">
        <f>Public_2!AF42*'BTU Conversion Factor'!$F$4</f>
        <v>0</v>
      </c>
      <c r="AG42" s="175">
        <f>Public_2!AG42*'BTU Conversion Factor'!$F$4</f>
        <v>0</v>
      </c>
      <c r="AH42" s="175">
        <f>Public_2!AH42*'BTU Conversion Factor'!$F$4</f>
        <v>0</v>
      </c>
      <c r="AI42" s="175">
        <f>Public_2!AI42*'BTU Conversion Factor'!$F$4</f>
        <v>0</v>
      </c>
      <c r="AJ42" s="175">
        <f>Public_2!AJ42*'BTU Conversion Factor'!$F$4</f>
        <v>0</v>
      </c>
      <c r="AK42" s="175">
        <f>Public_2!AK42*'BTU Conversion Factor'!$F$4</f>
        <v>0</v>
      </c>
      <c r="AL42" s="175">
        <f>Public_2!AL42*'BTU Conversion Factor'!$F$4</f>
        <v>0</v>
      </c>
      <c r="AM42" s="175">
        <f>Public_2!AM42*'BTU Conversion Factor'!$F$4</f>
        <v>0</v>
      </c>
      <c r="AN42" s="175">
        <f>Public_2!AN42*'BTU Conversion Factor'!$F$4</f>
        <v>0</v>
      </c>
      <c r="AO42" s="175">
        <f>Public_2!AO42*'BTU Conversion Factor'!$F$4</f>
        <v>0</v>
      </c>
      <c r="AP42" s="175">
        <f>Public_2!AP42*'BTU Conversion Factor'!$F$4</f>
        <v>0</v>
      </c>
      <c r="AQ42" s="175">
        <f>Public_2!AQ42*'BTU Conversion Factor'!$F$4</f>
        <v>0</v>
      </c>
      <c r="AR42" s="175">
        <f>Public_2!AR42*'BTU Conversion Factor'!$F$4</f>
        <v>0</v>
      </c>
      <c r="AS42" s="175">
        <f>Public_2!AS42*'BTU Conversion Factor'!$F$4</f>
        <v>0</v>
      </c>
      <c r="AT42" s="175">
        <f>Public_2!AT42*'BTU Conversion Factor'!$F$4</f>
        <v>0</v>
      </c>
      <c r="AU42" s="175">
        <f>Public_2!AU42*'BTU Conversion Factor'!$F$4</f>
        <v>0</v>
      </c>
    </row>
    <row r="43" spans="1:47">
      <c r="B43" s="60" t="s">
        <v>667</v>
      </c>
      <c r="C43" s="175">
        <f>Public_2!C43*'BTU Conversion Factor'!$F$4</f>
        <v>36974566562.500008</v>
      </c>
      <c r="D43" s="175">
        <f>Public_2!D43*'BTU Conversion Factor'!$F$4</f>
        <v>38573559067.514069</v>
      </c>
      <c r="E43" s="175">
        <f>Public_2!E43*'BTU Conversion Factor'!$F$4</f>
        <v>42387980420.94519</v>
      </c>
      <c r="F43" s="175">
        <f>Public_2!F43*'BTU Conversion Factor'!$F$4</f>
        <v>36468266273.062737</v>
      </c>
      <c r="G43" s="175">
        <f>Public_2!G43*'BTU Conversion Factor'!$F$4</f>
        <v>33148611044.233494</v>
      </c>
      <c r="H43" s="175">
        <f>Public_2!H43*'BTU Conversion Factor'!$F$4</f>
        <v>28023948658.771133</v>
      </c>
      <c r="I43" s="175">
        <f>Public_2!I43*'BTU Conversion Factor'!$F$4</f>
        <v>23711877843.731071</v>
      </c>
      <c r="J43" s="175">
        <f>Public_2!J43*'BTU Conversion Factor'!$F$4</f>
        <v>24215405154.576069</v>
      </c>
      <c r="K43" s="175">
        <f>Public_2!K43*'BTU Conversion Factor'!$F$4</f>
        <v>23765178844.589096</v>
      </c>
      <c r="L43" s="175">
        <f>Public_2!L43*'BTU Conversion Factor'!$F$4</f>
        <v>22290423659.378593</v>
      </c>
      <c r="M43" s="175">
        <f>Public_2!M43*'BTU Conversion Factor'!$F$4</f>
        <v>23713780841.889114</v>
      </c>
      <c r="N43" s="175">
        <f>Public_2!N43*'BTU Conversion Factor'!$F$4</f>
        <v>23268106063.072052</v>
      </c>
      <c r="O43" s="175">
        <f>Public_2!O43*'BTU Conversion Factor'!$F$4</f>
        <v>23162514917.518345</v>
      </c>
      <c r="P43" s="175">
        <f>Public_2!P43*'BTU Conversion Factor'!$F$4</f>
        <v>23021835855.111641</v>
      </c>
      <c r="Q43" s="175">
        <f>Public_2!Q43*'BTU Conversion Factor'!$F$4</f>
        <v>22882293257.000172</v>
      </c>
      <c r="R43" s="175">
        <f>Public_2!R43*'BTU Conversion Factor'!$F$4</f>
        <v>22716409923.095005</v>
      </c>
      <c r="S43" s="175">
        <f>Public_2!S43*'BTU Conversion Factor'!$F$4</f>
        <v>22537387642.521473</v>
      </c>
      <c r="T43" s="175">
        <f>Public_2!T43*'BTU Conversion Factor'!$F$4</f>
        <v>22343808304.091751</v>
      </c>
      <c r="U43" s="175">
        <f>Public_2!U43*'BTU Conversion Factor'!$F$4</f>
        <v>22127227450.297344</v>
      </c>
      <c r="V43" s="175">
        <f>Public_2!V43*'BTU Conversion Factor'!$F$4</f>
        <v>21894100295.958294</v>
      </c>
      <c r="W43" s="175">
        <f>Public_2!W43*'BTU Conversion Factor'!$F$4</f>
        <v>21641965901.0387</v>
      </c>
      <c r="X43" s="175">
        <f>Public_2!X43*'BTU Conversion Factor'!$F$4</f>
        <v>21376191903.887718</v>
      </c>
      <c r="Y43" s="175">
        <f>Public_2!Y43*'BTU Conversion Factor'!$F$4</f>
        <v>21106120995.662529</v>
      </c>
      <c r="Z43" s="175">
        <f>Public_2!Z43*'BTU Conversion Factor'!$F$4</f>
        <v>20827876554.298008</v>
      </c>
      <c r="AA43" s="175">
        <f>Public_2!AA43*'BTU Conversion Factor'!$F$4</f>
        <v>20537347841.550022</v>
      </c>
      <c r="AB43" s="175">
        <f>Public_2!AB43*'BTU Conversion Factor'!$F$4</f>
        <v>20237837748.517372</v>
      </c>
      <c r="AC43" s="175">
        <f>Public_2!AC43*'BTU Conversion Factor'!$F$4</f>
        <v>19930455784.348324</v>
      </c>
      <c r="AD43" s="175">
        <f>Public_2!AD43*'BTU Conversion Factor'!$F$4</f>
        <v>19617472114.11467</v>
      </c>
      <c r="AE43" s="175">
        <f>Public_2!AE43*'BTU Conversion Factor'!$F$4</f>
        <v>19294323471.199039</v>
      </c>
      <c r="AF43" s="175">
        <f>Public_2!AF43*'BTU Conversion Factor'!$F$4</f>
        <v>18958242110.601574</v>
      </c>
      <c r="AG43" s="175">
        <f>Public_2!AG43*'BTU Conversion Factor'!$F$4</f>
        <v>18611541455.444782</v>
      </c>
      <c r="AH43" s="175">
        <f>Public_2!AH43*'BTU Conversion Factor'!$F$4</f>
        <v>18254387142.404648</v>
      </c>
      <c r="AI43" s="175">
        <f>Public_2!AI43*'BTU Conversion Factor'!$F$4</f>
        <v>17886112837.933777</v>
      </c>
      <c r="AJ43" s="175">
        <f>Public_2!AJ43*'BTU Conversion Factor'!$F$4</f>
        <v>17505320318.494125</v>
      </c>
      <c r="AK43" s="175">
        <f>Public_2!AK43*'BTU Conversion Factor'!$F$4</f>
        <v>17114776741.076378</v>
      </c>
      <c r="AL43" s="175">
        <f>Public_2!AL43*'BTU Conversion Factor'!$F$4</f>
        <v>16714016394.145506</v>
      </c>
      <c r="AM43" s="175">
        <f>Public_2!AM43*'BTU Conversion Factor'!$F$4</f>
        <v>16304877275.563562</v>
      </c>
      <c r="AN43" s="175">
        <f>Public_2!AN43*'BTU Conversion Factor'!$F$4</f>
        <v>15891221820.752621</v>
      </c>
      <c r="AO43" s="175">
        <f>Public_2!AO43*'BTU Conversion Factor'!$F$4</f>
        <v>15472819809.364653</v>
      </c>
      <c r="AP43" s="175">
        <f>Public_2!AP43*'BTU Conversion Factor'!$F$4</f>
        <v>15048969136.813742</v>
      </c>
      <c r="AQ43" s="175">
        <f>Public_2!AQ43*'BTU Conversion Factor'!$F$4</f>
        <v>14621065371.966713</v>
      </c>
      <c r="AR43" s="175">
        <f>Public_2!AR43*'BTU Conversion Factor'!$F$4</f>
        <v>14187995199.116833</v>
      </c>
      <c r="AS43" s="175">
        <f>Public_2!AS43*'BTU Conversion Factor'!$F$4</f>
        <v>13753211085.1385</v>
      </c>
      <c r="AT43" s="175">
        <f>Public_2!AT43*'BTU Conversion Factor'!$F$4</f>
        <v>13315761512.561281</v>
      </c>
      <c r="AU43" s="175">
        <f>Public_2!AU43*'BTU Conversion Factor'!$F$4</f>
        <v>12876607519.103783</v>
      </c>
    </row>
    <row r="44" spans="1:47">
      <c r="B44" s="60" t="s">
        <v>668</v>
      </c>
      <c r="C44" s="175">
        <f>Public_2!C44*'BTU Conversion Factor'!$F$4</f>
        <v>0</v>
      </c>
      <c r="D44" s="175">
        <f>Public_2!D44*'BTU Conversion Factor'!$F$4</f>
        <v>0</v>
      </c>
      <c r="E44" s="175">
        <f>Public_2!E44*'BTU Conversion Factor'!$F$4</f>
        <v>0</v>
      </c>
      <c r="F44" s="175">
        <f>Public_2!F44*'BTU Conversion Factor'!$F$4</f>
        <v>0</v>
      </c>
      <c r="G44" s="175">
        <f>Public_2!G44*'BTU Conversion Factor'!$F$4</f>
        <v>0</v>
      </c>
      <c r="H44" s="175">
        <f>Public_2!H44*'BTU Conversion Factor'!$F$4</f>
        <v>0</v>
      </c>
      <c r="I44" s="175">
        <f>Public_2!I44*'BTU Conversion Factor'!$F$4</f>
        <v>0</v>
      </c>
      <c r="J44" s="175">
        <f>Public_2!J44*'BTU Conversion Factor'!$F$4</f>
        <v>0</v>
      </c>
      <c r="K44" s="175">
        <f>Public_2!K44*'BTU Conversion Factor'!$F$4</f>
        <v>0</v>
      </c>
      <c r="L44" s="175">
        <f>Public_2!L44*'BTU Conversion Factor'!$F$4</f>
        <v>0</v>
      </c>
      <c r="M44" s="175">
        <f>Public_2!M44*'BTU Conversion Factor'!$F$4</f>
        <v>0</v>
      </c>
      <c r="N44" s="175">
        <f>Public_2!N44*'BTU Conversion Factor'!$F$4</f>
        <v>0</v>
      </c>
      <c r="O44" s="175">
        <f>Public_2!O44*'BTU Conversion Factor'!$F$4</f>
        <v>0</v>
      </c>
      <c r="P44" s="175">
        <f>Public_2!P44*'BTU Conversion Factor'!$F$4</f>
        <v>0</v>
      </c>
      <c r="Q44" s="175">
        <f>Public_2!Q44*'BTU Conversion Factor'!$F$4</f>
        <v>0</v>
      </c>
      <c r="R44" s="175">
        <f>Public_2!R44*'BTU Conversion Factor'!$F$4</f>
        <v>0</v>
      </c>
      <c r="S44" s="175">
        <f>Public_2!S44*'BTU Conversion Factor'!$F$4</f>
        <v>0</v>
      </c>
      <c r="T44" s="175">
        <f>Public_2!T44*'BTU Conversion Factor'!$F$4</f>
        <v>0</v>
      </c>
      <c r="U44" s="175">
        <f>Public_2!U44*'BTU Conversion Factor'!$F$4</f>
        <v>0</v>
      </c>
      <c r="V44" s="175">
        <f>Public_2!V44*'BTU Conversion Factor'!$F$4</f>
        <v>0</v>
      </c>
      <c r="W44" s="175">
        <f>Public_2!W44*'BTU Conversion Factor'!$F$4</f>
        <v>0</v>
      </c>
      <c r="X44" s="175">
        <f>Public_2!X44*'BTU Conversion Factor'!$F$4</f>
        <v>0</v>
      </c>
      <c r="Y44" s="175">
        <f>Public_2!Y44*'BTU Conversion Factor'!$F$4</f>
        <v>0</v>
      </c>
      <c r="Z44" s="175">
        <f>Public_2!Z44*'BTU Conversion Factor'!$F$4</f>
        <v>0</v>
      </c>
      <c r="AA44" s="175">
        <f>Public_2!AA44*'BTU Conversion Factor'!$F$4</f>
        <v>0</v>
      </c>
      <c r="AB44" s="175">
        <f>Public_2!AB44*'BTU Conversion Factor'!$F$4</f>
        <v>0</v>
      </c>
      <c r="AC44" s="175">
        <f>Public_2!AC44*'BTU Conversion Factor'!$F$4</f>
        <v>0</v>
      </c>
      <c r="AD44" s="175">
        <f>Public_2!AD44*'BTU Conversion Factor'!$F$4</f>
        <v>0</v>
      </c>
      <c r="AE44" s="175">
        <f>Public_2!AE44*'BTU Conversion Factor'!$F$4</f>
        <v>0</v>
      </c>
      <c r="AF44" s="175">
        <f>Public_2!AF44*'BTU Conversion Factor'!$F$4</f>
        <v>0</v>
      </c>
      <c r="AG44" s="175">
        <f>Public_2!AG44*'BTU Conversion Factor'!$F$4</f>
        <v>0</v>
      </c>
      <c r="AH44" s="175">
        <f>Public_2!AH44*'BTU Conversion Factor'!$F$4</f>
        <v>0</v>
      </c>
      <c r="AI44" s="175">
        <f>Public_2!AI44*'BTU Conversion Factor'!$F$4</f>
        <v>0</v>
      </c>
      <c r="AJ44" s="175">
        <f>Public_2!AJ44*'BTU Conversion Factor'!$F$4</f>
        <v>0</v>
      </c>
      <c r="AK44" s="175">
        <f>Public_2!AK44*'BTU Conversion Factor'!$F$4</f>
        <v>0</v>
      </c>
      <c r="AL44" s="175">
        <f>Public_2!AL44*'BTU Conversion Factor'!$F$4</f>
        <v>0</v>
      </c>
      <c r="AM44" s="175">
        <f>Public_2!AM44*'BTU Conversion Factor'!$F$4</f>
        <v>0</v>
      </c>
      <c r="AN44" s="175">
        <f>Public_2!AN44*'BTU Conversion Factor'!$F$4</f>
        <v>0</v>
      </c>
      <c r="AO44" s="175">
        <f>Public_2!AO44*'BTU Conversion Factor'!$F$4</f>
        <v>0</v>
      </c>
      <c r="AP44" s="175">
        <f>Public_2!AP44*'BTU Conversion Factor'!$F$4</f>
        <v>0</v>
      </c>
      <c r="AQ44" s="175">
        <f>Public_2!AQ44*'BTU Conversion Factor'!$F$4</f>
        <v>0</v>
      </c>
      <c r="AR44" s="175">
        <f>Public_2!AR44*'BTU Conversion Factor'!$F$4</f>
        <v>0</v>
      </c>
      <c r="AS44" s="175">
        <f>Public_2!AS44*'BTU Conversion Factor'!$F$4</f>
        <v>0</v>
      </c>
      <c r="AT44" s="175">
        <f>Public_2!AT44*'BTU Conversion Factor'!$F$4</f>
        <v>0</v>
      </c>
      <c r="AU44" s="175">
        <f>Public_2!AU44*'BTU Conversion Factor'!$F$4</f>
        <v>0</v>
      </c>
    </row>
    <row r="45" spans="1:47">
      <c r="B45" s="60" t="s">
        <v>669</v>
      </c>
      <c r="C45" s="175">
        <f>Public_2!C45*'BTU Conversion Factor'!$F$4</f>
        <v>0</v>
      </c>
      <c r="D45" s="175">
        <f>Public_2!D45*'BTU Conversion Factor'!$F$4</f>
        <v>0</v>
      </c>
      <c r="E45" s="175">
        <f>Public_2!E45*'BTU Conversion Factor'!$F$4</f>
        <v>0</v>
      </c>
      <c r="F45" s="175">
        <f>Public_2!F45*'BTU Conversion Factor'!$F$4</f>
        <v>0</v>
      </c>
      <c r="G45" s="175">
        <f>Public_2!G45*'BTU Conversion Factor'!$F$4</f>
        <v>0</v>
      </c>
      <c r="H45" s="175">
        <f>Public_2!H45*'BTU Conversion Factor'!$F$4</f>
        <v>0</v>
      </c>
      <c r="I45" s="175">
        <f>Public_2!I45*'BTU Conversion Factor'!$F$4</f>
        <v>0</v>
      </c>
      <c r="J45" s="175">
        <f>Public_2!J45*'BTU Conversion Factor'!$F$4</f>
        <v>0</v>
      </c>
      <c r="K45" s="175">
        <f>Public_2!K45*'BTU Conversion Factor'!$F$4</f>
        <v>0</v>
      </c>
      <c r="L45" s="175">
        <f>Public_2!L45*'BTU Conversion Factor'!$F$4</f>
        <v>0</v>
      </c>
      <c r="M45" s="175">
        <f>Public_2!M45*'BTU Conversion Factor'!$F$4</f>
        <v>0</v>
      </c>
      <c r="N45" s="175">
        <f>Public_2!N45*'BTU Conversion Factor'!$F$4</f>
        <v>0</v>
      </c>
      <c r="O45" s="175">
        <f>Public_2!O45*'BTU Conversion Factor'!$F$4</f>
        <v>0</v>
      </c>
      <c r="P45" s="175">
        <f>Public_2!P45*'BTU Conversion Factor'!$F$4</f>
        <v>0</v>
      </c>
      <c r="Q45" s="175">
        <f>Public_2!Q45*'BTU Conversion Factor'!$F$4</f>
        <v>0</v>
      </c>
      <c r="R45" s="175">
        <f>Public_2!R45*'BTU Conversion Factor'!$F$4</f>
        <v>0</v>
      </c>
      <c r="S45" s="175">
        <f>Public_2!S45*'BTU Conversion Factor'!$F$4</f>
        <v>0</v>
      </c>
      <c r="T45" s="175">
        <f>Public_2!T45*'BTU Conversion Factor'!$F$4</f>
        <v>0</v>
      </c>
      <c r="U45" s="175">
        <f>Public_2!U45*'BTU Conversion Factor'!$F$4</f>
        <v>0</v>
      </c>
      <c r="V45" s="175">
        <f>Public_2!V45*'BTU Conversion Factor'!$F$4</f>
        <v>0</v>
      </c>
      <c r="W45" s="175">
        <f>Public_2!W45*'BTU Conversion Factor'!$F$4</f>
        <v>0</v>
      </c>
      <c r="X45" s="175">
        <f>Public_2!X45*'BTU Conversion Factor'!$F$4</f>
        <v>0</v>
      </c>
      <c r="Y45" s="175">
        <f>Public_2!Y45*'BTU Conversion Factor'!$F$4</f>
        <v>0</v>
      </c>
      <c r="Z45" s="175">
        <f>Public_2!Z45*'BTU Conversion Factor'!$F$4</f>
        <v>0</v>
      </c>
      <c r="AA45" s="175">
        <f>Public_2!AA45*'BTU Conversion Factor'!$F$4</f>
        <v>0</v>
      </c>
      <c r="AB45" s="175">
        <f>Public_2!AB45*'BTU Conversion Factor'!$F$4</f>
        <v>0</v>
      </c>
      <c r="AC45" s="175">
        <f>Public_2!AC45*'BTU Conversion Factor'!$F$4</f>
        <v>0</v>
      </c>
      <c r="AD45" s="175">
        <f>Public_2!AD45*'BTU Conversion Factor'!$F$4</f>
        <v>0</v>
      </c>
      <c r="AE45" s="175">
        <f>Public_2!AE45*'BTU Conversion Factor'!$F$4</f>
        <v>0</v>
      </c>
      <c r="AF45" s="175">
        <f>Public_2!AF45*'BTU Conversion Factor'!$F$4</f>
        <v>0</v>
      </c>
      <c r="AG45" s="175">
        <f>Public_2!AG45*'BTU Conversion Factor'!$F$4</f>
        <v>0</v>
      </c>
      <c r="AH45" s="175">
        <f>Public_2!AH45*'BTU Conversion Factor'!$F$4</f>
        <v>0</v>
      </c>
      <c r="AI45" s="175">
        <f>Public_2!AI45*'BTU Conversion Factor'!$F$4</f>
        <v>0</v>
      </c>
      <c r="AJ45" s="175">
        <f>Public_2!AJ45*'BTU Conversion Factor'!$F$4</f>
        <v>0</v>
      </c>
      <c r="AK45" s="175">
        <f>Public_2!AK45*'BTU Conversion Factor'!$F$4</f>
        <v>0</v>
      </c>
      <c r="AL45" s="175">
        <f>Public_2!AL45*'BTU Conversion Factor'!$F$4</f>
        <v>0</v>
      </c>
      <c r="AM45" s="175">
        <f>Public_2!AM45*'BTU Conversion Factor'!$F$4</f>
        <v>0</v>
      </c>
      <c r="AN45" s="175">
        <f>Public_2!AN45*'BTU Conversion Factor'!$F$4</f>
        <v>0</v>
      </c>
      <c r="AO45" s="175">
        <f>Public_2!AO45*'BTU Conversion Factor'!$F$4</f>
        <v>0</v>
      </c>
      <c r="AP45" s="175">
        <f>Public_2!AP45*'BTU Conversion Factor'!$F$4</f>
        <v>0</v>
      </c>
      <c r="AQ45" s="175">
        <f>Public_2!AQ45*'BTU Conversion Factor'!$F$4</f>
        <v>0</v>
      </c>
      <c r="AR45" s="175">
        <f>Public_2!AR45*'BTU Conversion Factor'!$F$4</f>
        <v>0</v>
      </c>
      <c r="AS45" s="175">
        <f>Public_2!AS45*'BTU Conversion Factor'!$F$4</f>
        <v>0</v>
      </c>
      <c r="AT45" s="175">
        <f>Public_2!AT45*'BTU Conversion Factor'!$F$4</f>
        <v>0</v>
      </c>
      <c r="AU45" s="175">
        <f>Public_2!AU45*'BTU Conversion Factor'!$F$4</f>
        <v>0</v>
      </c>
    </row>
    <row r="46" spans="1:47">
      <c r="B46" s="60" t="s">
        <v>670</v>
      </c>
      <c r="C46" s="175">
        <f>Public_2!C46*'BTU Conversion Factor'!$F$4</f>
        <v>0</v>
      </c>
      <c r="D46" s="175">
        <f>Public_2!D46*'BTU Conversion Factor'!$F$4</f>
        <v>0</v>
      </c>
      <c r="E46" s="175">
        <f>Public_2!E46*'BTU Conversion Factor'!$F$4</f>
        <v>0</v>
      </c>
      <c r="F46" s="175">
        <f>Public_2!F46*'BTU Conversion Factor'!$F$4</f>
        <v>0</v>
      </c>
      <c r="G46" s="175">
        <f>Public_2!G46*'BTU Conversion Factor'!$F$4</f>
        <v>0</v>
      </c>
      <c r="H46" s="175">
        <f>Public_2!H46*'BTU Conversion Factor'!$F$4</f>
        <v>0</v>
      </c>
      <c r="I46" s="175">
        <f>Public_2!I46*'BTU Conversion Factor'!$F$4</f>
        <v>0</v>
      </c>
      <c r="J46" s="175">
        <f>Public_2!J46*'BTU Conversion Factor'!$F$4</f>
        <v>0</v>
      </c>
      <c r="K46" s="175">
        <f>Public_2!K46*'BTU Conversion Factor'!$F$4</f>
        <v>0</v>
      </c>
      <c r="L46" s="175">
        <f>Public_2!L46*'BTU Conversion Factor'!$F$4</f>
        <v>0</v>
      </c>
      <c r="M46" s="175">
        <f>Public_2!M46*'BTU Conversion Factor'!$F$4</f>
        <v>0</v>
      </c>
      <c r="N46" s="175">
        <f>Public_2!N46*'BTU Conversion Factor'!$F$4</f>
        <v>0</v>
      </c>
      <c r="O46" s="175">
        <f>Public_2!O46*'BTU Conversion Factor'!$F$4</f>
        <v>0</v>
      </c>
      <c r="P46" s="175">
        <f>Public_2!P46*'BTU Conversion Factor'!$F$4</f>
        <v>0</v>
      </c>
      <c r="Q46" s="175">
        <f>Public_2!Q46*'BTU Conversion Factor'!$F$4</f>
        <v>0</v>
      </c>
      <c r="R46" s="175">
        <f>Public_2!R46*'BTU Conversion Factor'!$F$4</f>
        <v>0</v>
      </c>
      <c r="S46" s="175">
        <f>Public_2!S46*'BTU Conversion Factor'!$F$4</f>
        <v>0</v>
      </c>
      <c r="T46" s="175">
        <f>Public_2!T46*'BTU Conversion Factor'!$F$4</f>
        <v>0</v>
      </c>
      <c r="U46" s="175">
        <f>Public_2!U46*'BTU Conversion Factor'!$F$4</f>
        <v>0</v>
      </c>
      <c r="V46" s="175">
        <f>Public_2!V46*'BTU Conversion Factor'!$F$4</f>
        <v>0</v>
      </c>
      <c r="W46" s="175">
        <f>Public_2!W46*'BTU Conversion Factor'!$F$4</f>
        <v>0</v>
      </c>
      <c r="X46" s="175">
        <f>Public_2!X46*'BTU Conversion Factor'!$F$4</f>
        <v>0</v>
      </c>
      <c r="Y46" s="175">
        <f>Public_2!Y46*'BTU Conversion Factor'!$F$4</f>
        <v>0</v>
      </c>
      <c r="Z46" s="175">
        <f>Public_2!Z46*'BTU Conversion Factor'!$F$4</f>
        <v>0</v>
      </c>
      <c r="AA46" s="175">
        <f>Public_2!AA46*'BTU Conversion Factor'!$F$4</f>
        <v>0</v>
      </c>
      <c r="AB46" s="175">
        <f>Public_2!AB46*'BTU Conversion Factor'!$F$4</f>
        <v>0</v>
      </c>
      <c r="AC46" s="175">
        <f>Public_2!AC46*'BTU Conversion Factor'!$F$4</f>
        <v>0</v>
      </c>
      <c r="AD46" s="175">
        <f>Public_2!AD46*'BTU Conversion Factor'!$F$4</f>
        <v>0</v>
      </c>
      <c r="AE46" s="175">
        <f>Public_2!AE46*'BTU Conversion Factor'!$F$4</f>
        <v>0</v>
      </c>
      <c r="AF46" s="175">
        <f>Public_2!AF46*'BTU Conversion Factor'!$F$4</f>
        <v>0</v>
      </c>
      <c r="AG46" s="175">
        <f>Public_2!AG46*'BTU Conversion Factor'!$F$4</f>
        <v>0</v>
      </c>
      <c r="AH46" s="175">
        <f>Public_2!AH46*'BTU Conversion Factor'!$F$4</f>
        <v>0</v>
      </c>
      <c r="AI46" s="175">
        <f>Public_2!AI46*'BTU Conversion Factor'!$F$4</f>
        <v>0</v>
      </c>
      <c r="AJ46" s="175">
        <f>Public_2!AJ46*'BTU Conversion Factor'!$F$4</f>
        <v>0</v>
      </c>
      <c r="AK46" s="175">
        <f>Public_2!AK46*'BTU Conversion Factor'!$F$4</f>
        <v>0</v>
      </c>
      <c r="AL46" s="175">
        <f>Public_2!AL46*'BTU Conversion Factor'!$F$4</f>
        <v>0</v>
      </c>
      <c r="AM46" s="175">
        <f>Public_2!AM46*'BTU Conversion Factor'!$F$4</f>
        <v>0</v>
      </c>
      <c r="AN46" s="175">
        <f>Public_2!AN46*'BTU Conversion Factor'!$F$4</f>
        <v>0</v>
      </c>
      <c r="AO46" s="175">
        <f>Public_2!AO46*'BTU Conversion Factor'!$F$4</f>
        <v>0</v>
      </c>
      <c r="AP46" s="175">
        <f>Public_2!AP46*'BTU Conversion Factor'!$F$4</f>
        <v>0</v>
      </c>
      <c r="AQ46" s="175">
        <f>Public_2!AQ46*'BTU Conversion Factor'!$F$4</f>
        <v>0</v>
      </c>
      <c r="AR46" s="175">
        <f>Public_2!AR46*'BTU Conversion Factor'!$F$4</f>
        <v>0</v>
      </c>
      <c r="AS46" s="175">
        <f>Public_2!AS46*'BTU Conversion Factor'!$F$4</f>
        <v>0</v>
      </c>
      <c r="AT46" s="175">
        <f>Public_2!AT46*'BTU Conversion Factor'!$F$4</f>
        <v>0</v>
      </c>
      <c r="AU46" s="175">
        <f>Public_2!AU46*'BTU Conversion Factor'!$F$4</f>
        <v>0</v>
      </c>
    </row>
    <row r="47" spans="1:47">
      <c r="C47" s="103" t="s">
        <v>974</v>
      </c>
      <c r="D47" s="103">
        <v>1055</v>
      </c>
      <c r="E47" s="103" t="s">
        <v>975</v>
      </c>
    </row>
    <row r="48" spans="1:47">
      <c r="A48" s="103" t="s">
        <v>919</v>
      </c>
      <c r="B48" s="60" t="s">
        <v>973</v>
      </c>
      <c r="C48" s="175">
        <f>SUM(C5:C10)+SUM(C14:C19)+SUM(C23:C28)+SUM(C32:C37)+SUM(C41:C46)</f>
        <v>23663316021899.594</v>
      </c>
      <c r="D48" s="175">
        <f t="shared" ref="D48:AU48" si="0">SUM(D5:D10)+SUM(D14:D19)+SUM(D23:D28)+SUM(D32:D37)+SUM(D41:D46)</f>
        <v>23870343000000</v>
      </c>
      <c r="E48" s="175">
        <f t="shared" si="0"/>
        <v>23958990779469.637</v>
      </c>
      <c r="F48" s="175">
        <f t="shared" si="0"/>
        <v>24707250400000</v>
      </c>
      <c r="G48" s="175">
        <f t="shared" si="0"/>
        <v>24867500791559.695</v>
      </c>
      <c r="H48" s="175">
        <f t="shared" si="0"/>
        <v>24717586492172.086</v>
      </c>
      <c r="I48" s="175">
        <f t="shared" si="0"/>
        <v>25255933466280.25</v>
      </c>
      <c r="J48" s="175">
        <f t="shared" si="0"/>
        <v>24722189938832.023</v>
      </c>
      <c r="K48" s="175">
        <f t="shared" si="0"/>
        <v>25962929772628.156</v>
      </c>
      <c r="L48" s="175">
        <f t="shared" si="0"/>
        <v>25367003496023.016</v>
      </c>
      <c r="M48" s="175">
        <f t="shared" si="0"/>
        <v>25663334864724.492</v>
      </c>
      <c r="N48" s="175">
        <f t="shared" si="0"/>
        <v>26193977446124.461</v>
      </c>
      <c r="O48" s="175">
        <f t="shared" si="0"/>
        <v>26476328945195.918</v>
      </c>
      <c r="P48" s="175">
        <f t="shared" si="0"/>
        <v>26726030975243.477</v>
      </c>
      <c r="Q48" s="175">
        <f t="shared" si="0"/>
        <v>26984228415228.5</v>
      </c>
      <c r="R48" s="175">
        <f t="shared" si="0"/>
        <v>27218386071257.809</v>
      </c>
      <c r="S48" s="175">
        <f t="shared" si="0"/>
        <v>27443383274011.652</v>
      </c>
      <c r="T48" s="175">
        <f t="shared" si="0"/>
        <v>27656990120893.594</v>
      </c>
      <c r="U48" s="175">
        <f t="shared" si="0"/>
        <v>27847985919716.926</v>
      </c>
      <c r="V48" s="175">
        <f t="shared" si="0"/>
        <v>28023459239292.789</v>
      </c>
      <c r="W48" s="175">
        <f t="shared" si="0"/>
        <v>28179383327657.809</v>
      </c>
      <c r="X48" s="175">
        <f t="shared" si="0"/>
        <v>28321823953146.098</v>
      </c>
      <c r="Y48" s="175">
        <f t="shared" si="0"/>
        <v>28462643859619.383</v>
      </c>
      <c r="Z48" s="175">
        <f t="shared" si="0"/>
        <v>28596418392415.246</v>
      </c>
      <c r="AA48" s="175">
        <f t="shared" si="0"/>
        <v>28716996117015.539</v>
      </c>
      <c r="AB48" s="175">
        <f t="shared" si="0"/>
        <v>28828326619637.867</v>
      </c>
      <c r="AC48" s="175">
        <f t="shared" si="0"/>
        <v>28931479320923.262</v>
      </c>
      <c r="AD48" s="175">
        <f t="shared" si="0"/>
        <v>29029326047144.211</v>
      </c>
      <c r="AE48" s="175">
        <f t="shared" si="0"/>
        <v>29114655636234.508</v>
      </c>
      <c r="AF48" s="175">
        <f t="shared" si="0"/>
        <v>29182442252149.906</v>
      </c>
      <c r="AG48" s="175">
        <f t="shared" si="0"/>
        <v>29235232896962.594</v>
      </c>
      <c r="AH48" s="175">
        <f t="shared" si="0"/>
        <v>29272346971428.699</v>
      </c>
      <c r="AI48" s="175">
        <f t="shared" si="0"/>
        <v>29291687000642.125</v>
      </c>
      <c r="AJ48" s="175">
        <f t="shared" si="0"/>
        <v>29289752730728.516</v>
      </c>
      <c r="AK48" s="175">
        <f t="shared" si="0"/>
        <v>29269862166168.867</v>
      </c>
      <c r="AL48" s="175">
        <f t="shared" si="0"/>
        <v>29229984608327.465</v>
      </c>
      <c r="AM48" s="175">
        <f t="shared" si="0"/>
        <v>29172028342224.707</v>
      </c>
      <c r="AN48" s="175">
        <f t="shared" si="0"/>
        <v>29101794104936.738</v>
      </c>
      <c r="AO48" s="175">
        <f t="shared" si="0"/>
        <v>29017970845745.742</v>
      </c>
      <c r="AP48" s="175">
        <f t="shared" si="0"/>
        <v>28918214946760.172</v>
      </c>
      <c r="AQ48" s="175">
        <f t="shared" si="0"/>
        <v>28804082845755.598</v>
      </c>
      <c r="AR48" s="175">
        <f t="shared" si="0"/>
        <v>28672226096862.883</v>
      </c>
      <c r="AS48" s="175">
        <f t="shared" si="0"/>
        <v>28528417246883.02</v>
      </c>
      <c r="AT48" s="175">
        <f t="shared" si="0"/>
        <v>28369677266142.988</v>
      </c>
      <c r="AU48" s="175">
        <f t="shared" si="0"/>
        <v>28196887591973.469</v>
      </c>
    </row>
    <row r="49" spans="1:47">
      <c r="A49" s="103" t="s">
        <v>919</v>
      </c>
      <c r="B49" s="60" t="s">
        <v>911</v>
      </c>
      <c r="C49" s="62">
        <f>C48*$D$47/10^12</f>
        <v>24964.798403104072</v>
      </c>
      <c r="D49" s="62">
        <f t="shared" ref="D49:AU49" si="1">D48*$D$47/10^12</f>
        <v>25183.211865000001</v>
      </c>
      <c r="E49" s="62">
        <f t="shared" si="1"/>
        <v>25276.735272340469</v>
      </c>
      <c r="F49" s="62">
        <f t="shared" si="1"/>
        <v>26066.149172000001</v>
      </c>
      <c r="G49" s="62">
        <f t="shared" si="1"/>
        <v>26235.213335095479</v>
      </c>
      <c r="H49" s="62">
        <f t="shared" si="1"/>
        <v>26077.053749241553</v>
      </c>
      <c r="I49" s="62">
        <f t="shared" si="1"/>
        <v>26645.009806925664</v>
      </c>
      <c r="J49" s="62">
        <f t="shared" si="1"/>
        <v>26081.910385467785</v>
      </c>
      <c r="K49" s="62">
        <f t="shared" si="1"/>
        <v>27390.890910122704</v>
      </c>
      <c r="L49" s="62">
        <f t="shared" si="1"/>
        <v>26762.188688304279</v>
      </c>
      <c r="M49" s="62">
        <f t="shared" si="1"/>
        <v>27074.818282284341</v>
      </c>
      <c r="N49" s="62">
        <f t="shared" si="1"/>
        <v>27634.646205661309</v>
      </c>
      <c r="O49" s="62">
        <f t="shared" si="1"/>
        <v>27932.527037181691</v>
      </c>
      <c r="P49" s="62">
        <f t="shared" si="1"/>
        <v>28195.962678881868</v>
      </c>
      <c r="Q49" s="62">
        <f t="shared" si="1"/>
        <v>28468.360978066066</v>
      </c>
      <c r="R49" s="62">
        <f t="shared" si="1"/>
        <v>28715.397305176986</v>
      </c>
      <c r="S49" s="62">
        <f t="shared" si="1"/>
        <v>28952.769354082291</v>
      </c>
      <c r="T49" s="62">
        <f t="shared" si="1"/>
        <v>29178.124577542741</v>
      </c>
      <c r="U49" s="62">
        <f t="shared" si="1"/>
        <v>29379.625145301357</v>
      </c>
      <c r="V49" s="62">
        <f t="shared" si="1"/>
        <v>29564.749497453893</v>
      </c>
      <c r="W49" s="62">
        <f t="shared" si="1"/>
        <v>29729.249410678989</v>
      </c>
      <c r="X49" s="62">
        <f t="shared" si="1"/>
        <v>29879.524270569131</v>
      </c>
      <c r="Y49" s="62">
        <f t="shared" si="1"/>
        <v>30028.089271898447</v>
      </c>
      <c r="Z49" s="62">
        <f t="shared" si="1"/>
        <v>30169.221403998083</v>
      </c>
      <c r="AA49" s="62">
        <f t="shared" si="1"/>
        <v>30296.430903451394</v>
      </c>
      <c r="AB49" s="62">
        <f t="shared" si="1"/>
        <v>30413.884583717947</v>
      </c>
      <c r="AC49" s="62">
        <f t="shared" si="1"/>
        <v>30522.710683574041</v>
      </c>
      <c r="AD49" s="62">
        <f t="shared" si="1"/>
        <v>30625.938979737144</v>
      </c>
      <c r="AE49" s="62">
        <f t="shared" si="1"/>
        <v>30715.961696227405</v>
      </c>
      <c r="AF49" s="62">
        <f t="shared" si="1"/>
        <v>30787.476576018151</v>
      </c>
      <c r="AG49" s="62">
        <f t="shared" si="1"/>
        <v>30843.170706295536</v>
      </c>
      <c r="AH49" s="62">
        <f t="shared" si="1"/>
        <v>30882.326054857276</v>
      </c>
      <c r="AI49" s="62">
        <f t="shared" si="1"/>
        <v>30902.729785677438</v>
      </c>
      <c r="AJ49" s="62">
        <f t="shared" si="1"/>
        <v>30900.689130918585</v>
      </c>
      <c r="AK49" s="62">
        <f t="shared" si="1"/>
        <v>30879.704585308154</v>
      </c>
      <c r="AL49" s="62">
        <f t="shared" si="1"/>
        <v>30837.633761785477</v>
      </c>
      <c r="AM49" s="62">
        <f t="shared" si="1"/>
        <v>30776.489901047065</v>
      </c>
      <c r="AN49" s="62">
        <f t="shared" si="1"/>
        <v>30702.392780708258</v>
      </c>
      <c r="AO49" s="62">
        <f t="shared" si="1"/>
        <v>30613.959242261761</v>
      </c>
      <c r="AP49" s="62">
        <f t="shared" si="1"/>
        <v>30508.716768831979</v>
      </c>
      <c r="AQ49" s="62">
        <f t="shared" si="1"/>
        <v>30388.307402272156</v>
      </c>
      <c r="AR49" s="62">
        <f t="shared" si="1"/>
        <v>30249.198532190341</v>
      </c>
      <c r="AS49" s="62">
        <f t="shared" si="1"/>
        <v>30097.480195461583</v>
      </c>
      <c r="AT49" s="62">
        <f t="shared" si="1"/>
        <v>29930.009515780854</v>
      </c>
      <c r="AU49" s="62">
        <f t="shared" si="1"/>
        <v>29747.716409532008</v>
      </c>
    </row>
    <row r="50" spans="1:47">
      <c r="A50" s="103" t="s">
        <v>906</v>
      </c>
      <c r="B50" s="60" t="s">
        <v>976</v>
      </c>
      <c r="C50" s="103">
        <v>2.8148605647058673</v>
      </c>
      <c r="D50" s="103">
        <v>2.8620541882352768</v>
      </c>
      <c r="E50" s="103">
        <v>2.9092478117647005</v>
      </c>
      <c r="F50" s="103">
        <v>2.95644143529411</v>
      </c>
      <c r="G50" s="103">
        <v>3.0036350588235194</v>
      </c>
      <c r="H50" s="103">
        <v>3.0508286823529289</v>
      </c>
      <c r="I50" s="103">
        <v>3.0980223058823384</v>
      </c>
      <c r="J50" s="103">
        <v>3.1452159294117479</v>
      </c>
      <c r="K50" s="103">
        <v>3.1924095529411716</v>
      </c>
      <c r="L50" s="103">
        <v>3.239603176470581</v>
      </c>
      <c r="M50" s="103">
        <v>3.2867967999999999</v>
      </c>
      <c r="N50" s="103">
        <v>3.3339904235294</v>
      </c>
      <c r="O50" s="103">
        <v>3.3811840470588095</v>
      </c>
      <c r="P50" s="103">
        <v>3.428377670588219</v>
      </c>
      <c r="Q50" s="103">
        <v>3.4755712941176284</v>
      </c>
      <c r="R50" s="103">
        <v>3.5227649176470521</v>
      </c>
      <c r="S50" s="103">
        <v>3.5699585411764616</v>
      </c>
      <c r="T50" s="103">
        <v>3.6171521647058711</v>
      </c>
      <c r="U50" s="103">
        <v>3.6643457882352806</v>
      </c>
      <c r="V50" s="103">
        <v>3.71153941176469</v>
      </c>
      <c r="W50" s="103">
        <v>3.7587330352940995</v>
      </c>
      <c r="X50" s="103">
        <v>3.8059266588235232</v>
      </c>
      <c r="Y50" s="103">
        <v>3.8531202823529327</v>
      </c>
      <c r="Z50" s="103">
        <v>3.9003139058823422</v>
      </c>
      <c r="AA50" s="103">
        <v>3.9475075294117516</v>
      </c>
      <c r="AB50" s="103">
        <v>3.9947011529411611</v>
      </c>
      <c r="AC50" s="103">
        <v>4.0418947764705706</v>
      </c>
      <c r="AD50" s="103">
        <v>4.0890883999999943</v>
      </c>
      <c r="AE50" s="103">
        <v>4.1362820235294038</v>
      </c>
      <c r="AF50" s="103">
        <v>4.1834756470588133</v>
      </c>
      <c r="AG50" s="103">
        <v>4.2306692705882227</v>
      </c>
      <c r="AH50" s="103">
        <v>4.2778628941176322</v>
      </c>
      <c r="AI50" s="103">
        <v>4.3250565176470417</v>
      </c>
      <c r="AJ50" s="103">
        <v>4.3722501411764654</v>
      </c>
      <c r="AK50" s="103">
        <v>4.4194437647058749</v>
      </c>
      <c r="AL50" s="103">
        <v>4.4666373882352843</v>
      </c>
      <c r="AM50" s="103">
        <v>4.5138310117646938</v>
      </c>
      <c r="AN50" s="103">
        <v>4.5610246352941033</v>
      </c>
      <c r="AO50" s="103">
        <v>4.6082182588235128</v>
      </c>
      <c r="AP50" s="103">
        <v>4.6554118823529365</v>
      </c>
      <c r="AQ50" s="103">
        <v>4.7026055058823459</v>
      </c>
      <c r="AR50" s="103">
        <v>4.7497991294117554</v>
      </c>
      <c r="AS50" s="103">
        <v>4.7969927529411649</v>
      </c>
      <c r="AT50" s="103">
        <v>4.8441863764705744</v>
      </c>
      <c r="AU50" s="103">
        <v>4.8913799999999998</v>
      </c>
    </row>
    <row r="51" spans="1:47">
      <c r="A51" s="60" t="s">
        <v>977</v>
      </c>
      <c r="B51" s="60" t="s">
        <v>978</v>
      </c>
      <c r="C51" s="62">
        <f>C49/C50/1000000*10^6</f>
        <v>8868.9289679656704</v>
      </c>
      <c r="D51" s="62">
        <f t="shared" ref="D51:AU51" si="2">D49/D50/1000000*10^6</f>
        <v>8798.9989737153792</v>
      </c>
      <c r="E51" s="62">
        <f t="shared" si="2"/>
        <v>8688.4091379647816</v>
      </c>
      <c r="F51" s="62">
        <f t="shared" si="2"/>
        <v>8816.7311081563548</v>
      </c>
      <c r="G51" s="62">
        <f t="shared" si="2"/>
        <v>8734.4876528946352</v>
      </c>
      <c r="H51" s="62">
        <f t="shared" si="2"/>
        <v>8547.5313314315044</v>
      </c>
      <c r="I51" s="62">
        <f t="shared" si="2"/>
        <v>8600.6513756643144</v>
      </c>
      <c r="J51" s="62">
        <f t="shared" si="2"/>
        <v>8292.5659067057768</v>
      </c>
      <c r="K51" s="62">
        <f t="shared" si="2"/>
        <v>8580.005308180911</v>
      </c>
      <c r="L51" s="62">
        <f t="shared" si="2"/>
        <v>8260.9465513182458</v>
      </c>
      <c r="M51" s="62">
        <f t="shared" si="2"/>
        <v>8237.4481690758439</v>
      </c>
      <c r="N51" s="62">
        <f t="shared" si="2"/>
        <v>8288.7599228335403</v>
      </c>
      <c r="O51" s="62">
        <f t="shared" si="2"/>
        <v>8261.1672859036935</v>
      </c>
      <c r="P51" s="62">
        <f t="shared" si="2"/>
        <v>8224.2872250548135</v>
      </c>
      <c r="Q51" s="62">
        <f t="shared" si="2"/>
        <v>8190.9874863590057</v>
      </c>
      <c r="R51" s="62">
        <f t="shared" si="2"/>
        <v>8151.3805140187314</v>
      </c>
      <c r="S51" s="62">
        <f t="shared" si="2"/>
        <v>8110.1136106026188</v>
      </c>
      <c r="T51" s="62">
        <f t="shared" si="2"/>
        <v>8066.601361769187</v>
      </c>
      <c r="U51" s="62">
        <f t="shared" si="2"/>
        <v>8017.6999778861882</v>
      </c>
      <c r="V51" s="62">
        <f t="shared" si="2"/>
        <v>7965.6299495946951</v>
      </c>
      <c r="W51" s="62">
        <f t="shared" si="2"/>
        <v>7909.3804033232818</v>
      </c>
      <c r="X51" s="62">
        <f t="shared" si="2"/>
        <v>7850.7882439871819</v>
      </c>
      <c r="Y51" s="62">
        <f t="shared" si="2"/>
        <v>7793.1876171697395</v>
      </c>
      <c r="Z51" s="62">
        <f t="shared" si="2"/>
        <v>7735.0752098434241</v>
      </c>
      <c r="AA51" s="62">
        <f t="shared" si="2"/>
        <v>7674.82536200915</v>
      </c>
      <c r="AB51" s="62">
        <f t="shared" si="2"/>
        <v>7613.5569143452067</v>
      </c>
      <c r="AC51" s="62">
        <f t="shared" si="2"/>
        <v>7551.5846828221556</v>
      </c>
      <c r="AD51" s="62">
        <f t="shared" si="2"/>
        <v>7489.6739771478615</v>
      </c>
      <c r="AE51" s="62">
        <f t="shared" si="2"/>
        <v>7425.9834125184025</v>
      </c>
      <c r="AF51" s="62">
        <f t="shared" si="2"/>
        <v>7359.3057958071877</v>
      </c>
      <c r="AG51" s="62">
        <f t="shared" si="2"/>
        <v>7290.37623449284</v>
      </c>
      <c r="AH51" s="62">
        <f t="shared" si="2"/>
        <v>7219.101410969175</v>
      </c>
      <c r="AI51" s="62">
        <f t="shared" si="2"/>
        <v>7145.0464657718358</v>
      </c>
      <c r="AJ51" s="62">
        <f t="shared" si="2"/>
        <v>7067.456831873752</v>
      </c>
      <c r="AK51" s="62">
        <f t="shared" si="2"/>
        <v>6987.2378130290062</v>
      </c>
      <c r="AL51" s="62">
        <f t="shared" si="2"/>
        <v>6903.9931119121047</v>
      </c>
      <c r="AM51" s="62">
        <f t="shared" si="2"/>
        <v>6818.2636480701831</v>
      </c>
      <c r="AN51" s="62">
        <f t="shared" si="2"/>
        <v>6731.4683071709633</v>
      </c>
      <c r="AO51" s="62">
        <f t="shared" si="2"/>
        <v>6643.3396863623302</v>
      </c>
      <c r="AP51" s="62">
        <f t="shared" si="2"/>
        <v>6553.3872275576778</v>
      </c>
      <c r="AQ51" s="62">
        <f t="shared" si="2"/>
        <v>6462.0150179002576</v>
      </c>
      <c r="AR51" s="62">
        <f t="shared" si="2"/>
        <v>6368.5216380795855</v>
      </c>
      <c r="AS51" s="62">
        <f t="shared" si="2"/>
        <v>6274.2392464545646</v>
      </c>
      <c r="AT51" s="62">
        <f t="shared" si="2"/>
        <v>6178.5421100142639</v>
      </c>
      <c r="AU51" s="62">
        <f t="shared" si="2"/>
        <v>6081.6612918096753</v>
      </c>
    </row>
  </sheetData>
  <phoneticPr fontId="3"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4" tint="-0.499984740745262"/>
  </sheetPr>
  <dimension ref="A1:AL7"/>
  <sheetViews>
    <sheetView workbookViewId="0">
      <pane xSplit="1" topLeftCell="B1" activePane="topRight" state="frozen"/>
      <selection activeCell="H22" sqref="H22"/>
      <selection pane="topRight" sqref="A1:XFD1"/>
    </sheetView>
  </sheetViews>
  <sheetFormatPr defaultColWidth="8.7109375" defaultRowHeight="15"/>
  <cols>
    <col min="1" max="1" width="19.7109375" style="103" bestFit="1" customWidth="1"/>
    <col min="2" max="16384" width="8.7109375" style="103"/>
  </cols>
  <sheetData>
    <row r="1" spans="1:38" s="60" customFormat="1">
      <c r="A1" s="60" t="str">
        <f>Private_Final!B22</f>
        <v>Year</v>
      </c>
      <c r="B1" s="60">
        <f>Private_Final!K22</f>
        <v>2014</v>
      </c>
      <c r="C1" s="60">
        <f>Private_Final!L22</f>
        <v>2015</v>
      </c>
      <c r="D1" s="60">
        <f>Private_Final!M22</f>
        <v>2016</v>
      </c>
      <c r="E1" s="60">
        <f>Private_Final!N22</f>
        <v>2017</v>
      </c>
      <c r="F1" s="60">
        <f>Private_Final!O22</f>
        <v>2018</v>
      </c>
      <c r="G1" s="60">
        <f>Private_Final!P22</f>
        <v>2019</v>
      </c>
      <c r="H1" s="60">
        <f>Private_Final!Q22</f>
        <v>2020</v>
      </c>
      <c r="I1" s="60">
        <f>Private_Final!R22</f>
        <v>2021</v>
      </c>
      <c r="J1" s="60">
        <f>Private_Final!S22</f>
        <v>2022</v>
      </c>
      <c r="K1" s="60">
        <f>Private_Final!T22</f>
        <v>2023</v>
      </c>
      <c r="L1" s="60">
        <f>Private_Final!U22</f>
        <v>2024</v>
      </c>
      <c r="M1" s="60">
        <f>Private_Final!V22</f>
        <v>2025</v>
      </c>
      <c r="N1" s="60">
        <f>Private_Final!W22</f>
        <v>2026</v>
      </c>
      <c r="O1" s="60">
        <f>Private_Final!X22</f>
        <v>2027</v>
      </c>
      <c r="P1" s="60">
        <f>Private_Final!Y22</f>
        <v>2028</v>
      </c>
      <c r="Q1" s="60">
        <f>Private_Final!Z22</f>
        <v>2029</v>
      </c>
      <c r="R1" s="60">
        <f>Private_Final!AA22</f>
        <v>2030</v>
      </c>
      <c r="S1" s="60">
        <f>Private_Final!AB22</f>
        <v>2031</v>
      </c>
      <c r="T1" s="60">
        <f>Private_Final!AC22</f>
        <v>2032</v>
      </c>
      <c r="U1" s="60">
        <f>Private_Final!AD22</f>
        <v>2033</v>
      </c>
      <c r="V1" s="60">
        <f>Private_Final!AE22</f>
        <v>2034</v>
      </c>
      <c r="W1" s="60">
        <f>Private_Final!AF22</f>
        <v>2035</v>
      </c>
      <c r="X1" s="60">
        <f>Private_Final!AG22</f>
        <v>2036</v>
      </c>
      <c r="Y1" s="60">
        <f>Private_Final!AH22</f>
        <v>2037</v>
      </c>
      <c r="Z1" s="60">
        <f>Private_Final!AI22</f>
        <v>2038</v>
      </c>
      <c r="AA1" s="60">
        <f>Private_Final!AJ22</f>
        <v>2039</v>
      </c>
      <c r="AB1" s="60">
        <f>Private_Final!AK22</f>
        <v>2040</v>
      </c>
      <c r="AC1" s="60">
        <f>Private_Final!AL22</f>
        <v>2041</v>
      </c>
      <c r="AD1" s="60">
        <f>Private_Final!AM22</f>
        <v>2042</v>
      </c>
      <c r="AE1" s="60">
        <f>Private_Final!AN22</f>
        <v>2043</v>
      </c>
      <c r="AF1" s="60">
        <f>Private_Final!AO22</f>
        <v>2044</v>
      </c>
      <c r="AG1" s="60">
        <f>Private_Final!AP22</f>
        <v>2045</v>
      </c>
      <c r="AH1" s="60">
        <f>Private_Final!AQ22</f>
        <v>2046</v>
      </c>
      <c r="AI1" s="60">
        <f>Private_Final!AR22</f>
        <v>2047</v>
      </c>
      <c r="AJ1" s="60">
        <f>Private_Final!AS22</f>
        <v>2048</v>
      </c>
      <c r="AK1" s="60">
        <f>Private_Final!AT22</f>
        <v>2049</v>
      </c>
      <c r="AL1" s="60">
        <f>Private_Final!AU22</f>
        <v>2050</v>
      </c>
    </row>
    <row r="2" spans="1:38">
      <c r="A2" s="103" t="str">
        <f>Private_Final!B23</f>
        <v>electricity(BTU)</v>
      </c>
      <c r="B2" s="103">
        <f>Private_Final!K23</f>
        <v>0</v>
      </c>
      <c r="C2" s="103">
        <f>Private_Final!D23</f>
        <v>0</v>
      </c>
      <c r="D2" s="103">
        <f>Private_Final!M23</f>
        <v>0</v>
      </c>
      <c r="E2" s="103">
        <f>Private_Final!F23</f>
        <v>0</v>
      </c>
      <c r="F2" s="103">
        <f>Private_Final!O23</f>
        <v>0</v>
      </c>
      <c r="G2" s="103">
        <f>Private_Final!H23</f>
        <v>0</v>
      </c>
      <c r="H2" s="103">
        <f>Private_Final!Q23</f>
        <v>0</v>
      </c>
      <c r="I2" s="103">
        <f>Private_Final!J23</f>
        <v>0</v>
      </c>
      <c r="J2" s="103">
        <f>Private_Final!S23</f>
        <v>0</v>
      </c>
      <c r="K2" s="103">
        <f>Private_Final!L23</f>
        <v>0</v>
      </c>
      <c r="L2" s="103">
        <f>Private_Final!U23</f>
        <v>0</v>
      </c>
      <c r="M2" s="103">
        <f>Private_Final!N23</f>
        <v>0</v>
      </c>
      <c r="N2" s="103">
        <f>Private_Final!W23</f>
        <v>0</v>
      </c>
      <c r="O2" s="103">
        <f>Private_Final!P23</f>
        <v>0</v>
      </c>
      <c r="P2" s="103">
        <f>Private_Final!Y23</f>
        <v>0</v>
      </c>
      <c r="Q2" s="103">
        <f>Private_Final!R23</f>
        <v>0</v>
      </c>
      <c r="R2" s="103">
        <f>Private_Final!AA23</f>
        <v>0</v>
      </c>
      <c r="S2" s="103">
        <f>Private_Final!T23</f>
        <v>0</v>
      </c>
      <c r="T2" s="103">
        <f>Private_Final!AC23</f>
        <v>0</v>
      </c>
      <c r="U2" s="103">
        <f>Private_Final!V23</f>
        <v>0</v>
      </c>
      <c r="V2" s="103">
        <f>Private_Final!AE23</f>
        <v>0</v>
      </c>
      <c r="W2" s="103">
        <f>Private_Final!X23</f>
        <v>0</v>
      </c>
      <c r="X2" s="103">
        <f>Private_Final!AG23</f>
        <v>0</v>
      </c>
      <c r="Y2" s="103">
        <f>Private_Final!Z23</f>
        <v>0</v>
      </c>
      <c r="Z2" s="103">
        <f>Private_Final!AI23</f>
        <v>0</v>
      </c>
      <c r="AA2" s="103">
        <f>Private_Final!AB23</f>
        <v>0</v>
      </c>
      <c r="AB2" s="103">
        <f>Private_Final!AK23</f>
        <v>0</v>
      </c>
      <c r="AC2" s="103">
        <f>Private_Final!AD23</f>
        <v>0</v>
      </c>
      <c r="AD2" s="103">
        <f>Private_Final!AM23</f>
        <v>0</v>
      </c>
      <c r="AE2" s="103">
        <f>Private_Final!AF23</f>
        <v>0</v>
      </c>
      <c r="AF2" s="103">
        <f>Private_Final!AO23</f>
        <v>0</v>
      </c>
      <c r="AG2" s="103">
        <f>Private_Final!AH23</f>
        <v>0</v>
      </c>
      <c r="AH2" s="103">
        <f>Private_Final!AQ23</f>
        <v>0</v>
      </c>
      <c r="AI2" s="103">
        <f>Private_Final!AJ23</f>
        <v>0</v>
      </c>
      <c r="AJ2" s="103">
        <f>Private_Final!AS23</f>
        <v>0</v>
      </c>
      <c r="AK2" s="103">
        <f>Private_Final!AL23</f>
        <v>0</v>
      </c>
      <c r="AL2" s="103">
        <f>Private_Final!AU23</f>
        <v>0</v>
      </c>
    </row>
    <row r="3" spans="1:38">
      <c r="A3" s="103" t="str">
        <f>Private_Final!B24</f>
        <v>coal(BTU)</v>
      </c>
      <c r="B3" s="103">
        <f>Private_Final!K24</f>
        <v>0</v>
      </c>
      <c r="C3" s="103">
        <f>Private_Final!D24</f>
        <v>0</v>
      </c>
      <c r="D3" s="103">
        <f>Private_Final!M24</f>
        <v>0</v>
      </c>
      <c r="E3" s="103">
        <f>Private_Final!F24</f>
        <v>0</v>
      </c>
      <c r="F3" s="103">
        <f>Private_Final!O24</f>
        <v>0</v>
      </c>
      <c r="G3" s="103">
        <f>Private_Final!H24</f>
        <v>0</v>
      </c>
      <c r="H3" s="103">
        <f>Private_Final!Q24</f>
        <v>0</v>
      </c>
      <c r="I3" s="103">
        <f>Private_Final!J24</f>
        <v>0</v>
      </c>
      <c r="J3" s="103">
        <f>Private_Final!S24</f>
        <v>0</v>
      </c>
      <c r="K3" s="103">
        <f>Private_Final!L24</f>
        <v>0</v>
      </c>
      <c r="L3" s="103">
        <f>Private_Final!U24</f>
        <v>0</v>
      </c>
      <c r="M3" s="103">
        <f>Private_Final!N24</f>
        <v>0</v>
      </c>
      <c r="N3" s="103">
        <f>Private_Final!W24</f>
        <v>0</v>
      </c>
      <c r="O3" s="103">
        <f>Private_Final!P24</f>
        <v>0</v>
      </c>
      <c r="P3" s="103">
        <f>Private_Final!Y24</f>
        <v>0</v>
      </c>
      <c r="Q3" s="103">
        <f>Private_Final!R24</f>
        <v>0</v>
      </c>
      <c r="R3" s="103">
        <f>Private_Final!AA24</f>
        <v>0</v>
      </c>
      <c r="S3" s="103">
        <f>Private_Final!T24</f>
        <v>0</v>
      </c>
      <c r="T3" s="103">
        <f>Private_Final!AC24</f>
        <v>0</v>
      </c>
      <c r="U3" s="103">
        <f>Private_Final!V24</f>
        <v>0</v>
      </c>
      <c r="V3" s="103">
        <f>Private_Final!AE24</f>
        <v>0</v>
      </c>
      <c r="W3" s="103">
        <f>Private_Final!X24</f>
        <v>0</v>
      </c>
      <c r="X3" s="103">
        <f>Private_Final!AG24</f>
        <v>0</v>
      </c>
      <c r="Y3" s="103">
        <f>Private_Final!Z24</f>
        <v>0</v>
      </c>
      <c r="Z3" s="103">
        <f>Private_Final!AI24</f>
        <v>0</v>
      </c>
      <c r="AA3" s="103">
        <f>Private_Final!AB24</f>
        <v>0</v>
      </c>
      <c r="AB3" s="103">
        <f>Private_Final!AK24</f>
        <v>0</v>
      </c>
      <c r="AC3" s="103">
        <f>Private_Final!AD24</f>
        <v>0</v>
      </c>
      <c r="AD3" s="103">
        <f>Private_Final!AM24</f>
        <v>0</v>
      </c>
      <c r="AE3" s="103">
        <f>Private_Final!AF24</f>
        <v>0</v>
      </c>
      <c r="AF3" s="103">
        <f>Private_Final!AO24</f>
        <v>0</v>
      </c>
      <c r="AG3" s="103">
        <f>Private_Final!AH24</f>
        <v>0</v>
      </c>
      <c r="AH3" s="103">
        <f>Private_Final!AQ24</f>
        <v>0</v>
      </c>
      <c r="AI3" s="103">
        <f>Private_Final!AJ24</f>
        <v>0</v>
      </c>
      <c r="AJ3" s="103">
        <f>Private_Final!AS24</f>
        <v>0</v>
      </c>
      <c r="AK3" s="103">
        <f>Private_Final!AL24</f>
        <v>0</v>
      </c>
      <c r="AL3" s="103">
        <f>Private_Final!AU24</f>
        <v>0</v>
      </c>
    </row>
    <row r="4" spans="1:38">
      <c r="A4" s="103" t="str">
        <f>Private_Final!B25</f>
        <v>natural gas(BTU)</v>
      </c>
      <c r="B4" s="103">
        <f>Private_Final!K25</f>
        <v>0</v>
      </c>
      <c r="C4" s="103">
        <f>Private_Final!D25</f>
        <v>0</v>
      </c>
      <c r="D4" s="103">
        <f>Private_Final!M25</f>
        <v>0</v>
      </c>
      <c r="E4" s="103">
        <f>Private_Final!F25</f>
        <v>0</v>
      </c>
      <c r="F4" s="103">
        <f>Private_Final!O25</f>
        <v>0</v>
      </c>
      <c r="G4" s="103">
        <f>Private_Final!H25</f>
        <v>0</v>
      </c>
      <c r="H4" s="103">
        <f>Private_Final!Q25</f>
        <v>0</v>
      </c>
      <c r="I4" s="103">
        <f>Private_Final!J25</f>
        <v>0</v>
      </c>
      <c r="J4" s="103">
        <f>Private_Final!S25</f>
        <v>0</v>
      </c>
      <c r="K4" s="103">
        <f>Private_Final!L25</f>
        <v>0</v>
      </c>
      <c r="L4" s="103">
        <f>Private_Final!U25</f>
        <v>0</v>
      </c>
      <c r="M4" s="103">
        <f>Private_Final!N25</f>
        <v>0</v>
      </c>
      <c r="N4" s="103">
        <f>Private_Final!W25</f>
        <v>0</v>
      </c>
      <c r="O4" s="103">
        <f>Private_Final!P25</f>
        <v>0</v>
      </c>
      <c r="P4" s="103">
        <f>Private_Final!Y25</f>
        <v>0</v>
      </c>
      <c r="Q4" s="103">
        <f>Private_Final!R25</f>
        <v>0</v>
      </c>
      <c r="R4" s="103">
        <f>Private_Final!AA25</f>
        <v>0</v>
      </c>
      <c r="S4" s="103">
        <f>Private_Final!T25</f>
        <v>0</v>
      </c>
      <c r="T4" s="103">
        <f>Private_Final!AC25</f>
        <v>0</v>
      </c>
      <c r="U4" s="103">
        <f>Private_Final!V25</f>
        <v>0</v>
      </c>
      <c r="V4" s="103">
        <f>Private_Final!AE25</f>
        <v>0</v>
      </c>
      <c r="W4" s="103">
        <f>Private_Final!X25</f>
        <v>0</v>
      </c>
      <c r="X4" s="103">
        <f>Private_Final!AG25</f>
        <v>0</v>
      </c>
      <c r="Y4" s="103">
        <f>Private_Final!Z25</f>
        <v>0</v>
      </c>
      <c r="Z4" s="103">
        <f>Private_Final!AI25</f>
        <v>0</v>
      </c>
      <c r="AA4" s="103">
        <f>Private_Final!AB25</f>
        <v>0</v>
      </c>
      <c r="AB4" s="103">
        <f>Private_Final!AK25</f>
        <v>0</v>
      </c>
      <c r="AC4" s="103">
        <f>Private_Final!AD25</f>
        <v>0</v>
      </c>
      <c r="AD4" s="103">
        <f>Private_Final!AM25</f>
        <v>0</v>
      </c>
      <c r="AE4" s="103">
        <f>Private_Final!AF25</f>
        <v>0</v>
      </c>
      <c r="AF4" s="103">
        <f>Private_Final!AO25</f>
        <v>0</v>
      </c>
      <c r="AG4" s="103">
        <f>Private_Final!AH25</f>
        <v>0</v>
      </c>
      <c r="AH4" s="103">
        <f>Private_Final!AQ25</f>
        <v>0</v>
      </c>
      <c r="AI4" s="103">
        <f>Private_Final!AJ25</f>
        <v>0</v>
      </c>
      <c r="AJ4" s="103">
        <f>Private_Final!AS25</f>
        <v>0</v>
      </c>
      <c r="AK4" s="103">
        <f>Private_Final!AL25</f>
        <v>0</v>
      </c>
      <c r="AL4" s="103">
        <f>Private_Final!AU25</f>
        <v>0</v>
      </c>
    </row>
    <row r="5" spans="1:38">
      <c r="A5" s="103" t="str">
        <f>Private_Final!B26</f>
        <v>petroleum diesel (BTU)</v>
      </c>
      <c r="B5" s="103">
        <f>Private_Final!K26</f>
        <v>0</v>
      </c>
      <c r="C5" s="103">
        <f>Private_Final!D26</f>
        <v>0</v>
      </c>
      <c r="D5" s="103">
        <f>Private_Final!M26</f>
        <v>0</v>
      </c>
      <c r="E5" s="103">
        <f>Private_Final!F26</f>
        <v>0</v>
      </c>
      <c r="F5" s="103">
        <f>Private_Final!O26</f>
        <v>0</v>
      </c>
      <c r="G5" s="103">
        <f>Private_Final!H26</f>
        <v>0</v>
      </c>
      <c r="H5" s="103">
        <f>Private_Final!Q26</f>
        <v>0</v>
      </c>
      <c r="I5" s="103">
        <f>Private_Final!J26</f>
        <v>0</v>
      </c>
      <c r="J5" s="103">
        <f>Private_Final!S26</f>
        <v>0</v>
      </c>
      <c r="K5" s="103">
        <f>Private_Final!L26</f>
        <v>0</v>
      </c>
      <c r="L5" s="103">
        <f>Private_Final!U26</f>
        <v>0</v>
      </c>
      <c r="M5" s="103">
        <f>Private_Final!N26</f>
        <v>0</v>
      </c>
      <c r="N5" s="103">
        <f>Private_Final!W26</f>
        <v>0</v>
      </c>
      <c r="O5" s="103">
        <f>Private_Final!P26</f>
        <v>0</v>
      </c>
      <c r="P5" s="103">
        <f>Private_Final!Y26</f>
        <v>0</v>
      </c>
      <c r="Q5" s="103">
        <f>Private_Final!R26</f>
        <v>0</v>
      </c>
      <c r="R5" s="103">
        <f>Private_Final!AA26</f>
        <v>0</v>
      </c>
      <c r="S5" s="103">
        <f>Private_Final!T26</f>
        <v>0</v>
      </c>
      <c r="T5" s="103">
        <f>Private_Final!AC26</f>
        <v>0</v>
      </c>
      <c r="U5" s="103">
        <f>Private_Final!V26</f>
        <v>0</v>
      </c>
      <c r="V5" s="103">
        <f>Private_Final!AE26</f>
        <v>0</v>
      </c>
      <c r="W5" s="103">
        <f>Private_Final!X26</f>
        <v>0</v>
      </c>
      <c r="X5" s="103">
        <f>Private_Final!AG26</f>
        <v>0</v>
      </c>
      <c r="Y5" s="103">
        <f>Private_Final!Z26</f>
        <v>0</v>
      </c>
      <c r="Z5" s="103">
        <f>Private_Final!AI26</f>
        <v>0</v>
      </c>
      <c r="AA5" s="103">
        <f>Private_Final!AB26</f>
        <v>0</v>
      </c>
      <c r="AB5" s="103">
        <f>Private_Final!AK26</f>
        <v>0</v>
      </c>
      <c r="AC5" s="103">
        <f>Private_Final!AD26</f>
        <v>0</v>
      </c>
      <c r="AD5" s="103">
        <f>Private_Final!AM26</f>
        <v>0</v>
      </c>
      <c r="AE5" s="103">
        <f>Private_Final!AF26</f>
        <v>0</v>
      </c>
      <c r="AF5" s="103">
        <f>Private_Final!AO26</f>
        <v>0</v>
      </c>
      <c r="AG5" s="103">
        <f>Private_Final!AH26</f>
        <v>0</v>
      </c>
      <c r="AH5" s="103">
        <f>Private_Final!AQ26</f>
        <v>0</v>
      </c>
      <c r="AI5" s="103">
        <f>Private_Final!AJ26</f>
        <v>0</v>
      </c>
      <c r="AJ5" s="103">
        <f>Private_Final!AS26</f>
        <v>0</v>
      </c>
      <c r="AK5" s="103">
        <f>Private_Final!AL26</f>
        <v>0</v>
      </c>
      <c r="AL5" s="103">
        <f>Private_Final!AU26</f>
        <v>0</v>
      </c>
    </row>
    <row r="6" spans="1:38">
      <c r="A6" s="103" t="str">
        <f>Private_Final!B27</f>
        <v>heat (BTU)</v>
      </c>
      <c r="B6" s="103">
        <f>Private_Final!K27</f>
        <v>0</v>
      </c>
      <c r="C6" s="103">
        <f>Private_Final!D27</f>
        <v>0</v>
      </c>
      <c r="D6" s="103">
        <f>Private_Final!M27</f>
        <v>0</v>
      </c>
      <c r="E6" s="103">
        <f>Private_Final!F27</f>
        <v>0</v>
      </c>
      <c r="F6" s="103">
        <f>Private_Final!O27</f>
        <v>0</v>
      </c>
      <c r="G6" s="103">
        <f>Private_Final!H27</f>
        <v>0</v>
      </c>
      <c r="H6" s="103">
        <f>Private_Final!Q27</f>
        <v>0</v>
      </c>
      <c r="I6" s="103">
        <f>Private_Final!J27</f>
        <v>0</v>
      </c>
      <c r="J6" s="103">
        <f>Private_Final!S27</f>
        <v>0</v>
      </c>
      <c r="K6" s="103">
        <f>Private_Final!L27</f>
        <v>0</v>
      </c>
      <c r="L6" s="103">
        <f>Private_Final!U27</f>
        <v>0</v>
      </c>
      <c r="M6" s="103">
        <f>Private_Final!N27</f>
        <v>0</v>
      </c>
      <c r="N6" s="103">
        <f>Private_Final!W27</f>
        <v>0</v>
      </c>
      <c r="O6" s="103">
        <f>Private_Final!P27</f>
        <v>0</v>
      </c>
      <c r="P6" s="103">
        <f>Private_Final!Y27</f>
        <v>0</v>
      </c>
      <c r="Q6" s="103">
        <f>Private_Final!R27</f>
        <v>0</v>
      </c>
      <c r="R6" s="103">
        <f>Private_Final!AA27</f>
        <v>0</v>
      </c>
      <c r="S6" s="103">
        <f>Private_Final!T27</f>
        <v>0</v>
      </c>
      <c r="T6" s="103">
        <f>Private_Final!AC27</f>
        <v>0</v>
      </c>
      <c r="U6" s="103">
        <f>Private_Final!V27</f>
        <v>0</v>
      </c>
      <c r="V6" s="103">
        <f>Private_Final!AE27</f>
        <v>0</v>
      </c>
      <c r="W6" s="103">
        <f>Private_Final!X27</f>
        <v>0</v>
      </c>
      <c r="X6" s="103">
        <f>Private_Final!AG27</f>
        <v>0</v>
      </c>
      <c r="Y6" s="103">
        <f>Private_Final!Z27</f>
        <v>0</v>
      </c>
      <c r="Z6" s="103">
        <f>Private_Final!AI27</f>
        <v>0</v>
      </c>
      <c r="AA6" s="103">
        <f>Private_Final!AB27</f>
        <v>0</v>
      </c>
      <c r="AB6" s="103">
        <f>Private_Final!AK27</f>
        <v>0</v>
      </c>
      <c r="AC6" s="103">
        <f>Private_Final!AD27</f>
        <v>0</v>
      </c>
      <c r="AD6" s="103">
        <f>Private_Final!AM27</f>
        <v>0</v>
      </c>
      <c r="AE6" s="103">
        <f>Private_Final!AF27</f>
        <v>0</v>
      </c>
      <c r="AF6" s="103">
        <f>Private_Final!AO27</f>
        <v>0</v>
      </c>
      <c r="AG6" s="103">
        <f>Private_Final!AH27</f>
        <v>0</v>
      </c>
      <c r="AH6" s="103">
        <f>Private_Final!AQ27</f>
        <v>0</v>
      </c>
      <c r="AI6" s="103">
        <f>Private_Final!AJ27</f>
        <v>0</v>
      </c>
      <c r="AJ6" s="103">
        <f>Private_Final!AS27</f>
        <v>0</v>
      </c>
      <c r="AK6" s="103">
        <f>Private_Final!AL27</f>
        <v>0</v>
      </c>
      <c r="AL6" s="103">
        <f>Private_Final!AU27</f>
        <v>0</v>
      </c>
    </row>
    <row r="7" spans="1:38">
      <c r="A7" s="103" t="str">
        <f>Private_Final!B28</f>
        <v>biomass (BTU)</v>
      </c>
      <c r="B7" s="103">
        <f>Private_Final!K28</f>
        <v>0</v>
      </c>
      <c r="C7" s="103">
        <f>Private_Final!D28</f>
        <v>0</v>
      </c>
      <c r="D7" s="103">
        <f>Private_Final!M28</f>
        <v>0</v>
      </c>
      <c r="E7" s="103">
        <f>Private_Final!F28</f>
        <v>0</v>
      </c>
      <c r="F7" s="103">
        <f>Private_Final!O28</f>
        <v>0</v>
      </c>
      <c r="G7" s="103">
        <f>Private_Final!H28</f>
        <v>0</v>
      </c>
      <c r="H7" s="103">
        <f>Private_Final!Q28</f>
        <v>0</v>
      </c>
      <c r="I7" s="103">
        <f>Private_Final!J28</f>
        <v>0</v>
      </c>
      <c r="J7" s="103">
        <f>Private_Final!S28</f>
        <v>0</v>
      </c>
      <c r="K7" s="103">
        <f>Private_Final!L28</f>
        <v>0</v>
      </c>
      <c r="L7" s="103">
        <f>Private_Final!U28</f>
        <v>0</v>
      </c>
      <c r="M7" s="103">
        <f>Private_Final!N28</f>
        <v>0</v>
      </c>
      <c r="N7" s="103">
        <f>Private_Final!W28</f>
        <v>0</v>
      </c>
      <c r="O7" s="103">
        <f>Private_Final!P28</f>
        <v>0</v>
      </c>
      <c r="P7" s="103">
        <f>Private_Final!Y28</f>
        <v>0</v>
      </c>
      <c r="Q7" s="103">
        <f>Private_Final!R28</f>
        <v>0</v>
      </c>
      <c r="R7" s="103">
        <f>Private_Final!AA28</f>
        <v>0</v>
      </c>
      <c r="S7" s="103">
        <f>Private_Final!T28</f>
        <v>0</v>
      </c>
      <c r="T7" s="103">
        <f>Private_Final!AC28</f>
        <v>0</v>
      </c>
      <c r="U7" s="103">
        <f>Private_Final!V28</f>
        <v>0</v>
      </c>
      <c r="V7" s="103">
        <f>Private_Final!AE28</f>
        <v>0</v>
      </c>
      <c r="W7" s="103">
        <f>Private_Final!X28</f>
        <v>0</v>
      </c>
      <c r="X7" s="103">
        <f>Private_Final!AG28</f>
        <v>0</v>
      </c>
      <c r="Y7" s="103">
        <f>Private_Final!Z28</f>
        <v>0</v>
      </c>
      <c r="Z7" s="103">
        <f>Private_Final!AI28</f>
        <v>0</v>
      </c>
      <c r="AA7" s="103">
        <f>Private_Final!AB28</f>
        <v>0</v>
      </c>
      <c r="AB7" s="103">
        <f>Private_Final!AK28</f>
        <v>0</v>
      </c>
      <c r="AC7" s="103">
        <f>Private_Final!AD28</f>
        <v>0</v>
      </c>
      <c r="AD7" s="103">
        <f>Private_Final!AM28</f>
        <v>0</v>
      </c>
      <c r="AE7" s="103">
        <f>Private_Final!AF28</f>
        <v>0</v>
      </c>
      <c r="AF7" s="103">
        <f>Private_Final!AO28</f>
        <v>0</v>
      </c>
      <c r="AG7" s="103">
        <f>Private_Final!AH28</f>
        <v>0</v>
      </c>
      <c r="AH7" s="103">
        <f>Private_Final!AQ28</f>
        <v>0</v>
      </c>
      <c r="AI7" s="103">
        <f>Private_Final!AJ28</f>
        <v>0</v>
      </c>
      <c r="AJ7" s="103">
        <f>Private_Final!AS28</f>
        <v>0</v>
      </c>
      <c r="AK7" s="103">
        <f>Private_Final!AL28</f>
        <v>0</v>
      </c>
      <c r="AL7" s="103">
        <f>Private_Final!AU28</f>
        <v>0</v>
      </c>
    </row>
  </sheetData>
  <phoneticPr fontId="3"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4" tint="-0.499984740745262"/>
  </sheetPr>
  <dimension ref="A1:AL7"/>
  <sheetViews>
    <sheetView workbookViewId="0">
      <pane xSplit="1" topLeftCell="B1" activePane="topRight" state="frozen"/>
      <selection activeCell="G19" sqref="G19"/>
      <selection pane="topRight" activeCell="G15" sqref="A1:XFD1048576"/>
    </sheetView>
  </sheetViews>
  <sheetFormatPr defaultRowHeight="15"/>
  <cols>
    <col min="1" max="1" width="19.7109375" bestFit="1" customWidth="1"/>
  </cols>
  <sheetData>
    <row r="1" spans="1:38" s="60" customFormat="1">
      <c r="A1" s="60" t="str">
        <f>Private_Final!B22</f>
        <v>Year</v>
      </c>
      <c r="B1" s="60">
        <f>Private_Final!K13</f>
        <v>2014</v>
      </c>
      <c r="C1" s="60">
        <f>Private_Final!L13</f>
        <v>2015</v>
      </c>
      <c r="D1" s="60">
        <f>Private_Final!M13</f>
        <v>2016</v>
      </c>
      <c r="E1" s="60">
        <f>Private_Final!N13</f>
        <v>2017</v>
      </c>
      <c r="F1" s="60">
        <f>Private_Final!O13</f>
        <v>2018</v>
      </c>
      <c r="G1" s="60">
        <f>Private_Final!P13</f>
        <v>2019</v>
      </c>
      <c r="H1" s="60">
        <f>Private_Final!Q13</f>
        <v>2020</v>
      </c>
      <c r="I1" s="60">
        <f>Private_Final!R13</f>
        <v>2021</v>
      </c>
      <c r="J1" s="60">
        <f>Private_Final!S13</f>
        <v>2022</v>
      </c>
      <c r="K1" s="60">
        <f>Private_Final!T13</f>
        <v>2023</v>
      </c>
      <c r="L1" s="60">
        <f>Private_Final!U13</f>
        <v>2024</v>
      </c>
      <c r="M1" s="60">
        <f>Private_Final!V13</f>
        <v>2025</v>
      </c>
      <c r="N1" s="60">
        <f>Private_Final!W13</f>
        <v>2026</v>
      </c>
      <c r="O1" s="60">
        <f>Private_Final!X13</f>
        <v>2027</v>
      </c>
      <c r="P1" s="60">
        <f>Private_Final!Y13</f>
        <v>2028</v>
      </c>
      <c r="Q1" s="60">
        <f>Private_Final!Z13</f>
        <v>2029</v>
      </c>
      <c r="R1" s="60">
        <f>Private_Final!AA13</f>
        <v>2030</v>
      </c>
      <c r="S1" s="60">
        <f>Private_Final!AB13</f>
        <v>2031</v>
      </c>
      <c r="T1" s="60">
        <f>Private_Final!AC13</f>
        <v>2032</v>
      </c>
      <c r="U1" s="60">
        <f>Private_Final!AD13</f>
        <v>2033</v>
      </c>
      <c r="V1" s="60">
        <f>Private_Final!AE13</f>
        <v>2034</v>
      </c>
      <c r="W1" s="60">
        <f>Private_Final!AF13</f>
        <v>2035</v>
      </c>
      <c r="X1" s="60">
        <f>Private_Final!AG13</f>
        <v>2036</v>
      </c>
      <c r="Y1" s="60">
        <f>Private_Final!AH13</f>
        <v>2037</v>
      </c>
      <c r="Z1" s="60">
        <f>Private_Final!AI13</f>
        <v>2038</v>
      </c>
      <c r="AA1" s="60">
        <f>Private_Final!AJ13</f>
        <v>2039</v>
      </c>
      <c r="AB1" s="60">
        <f>Private_Final!AK13</f>
        <v>2040</v>
      </c>
      <c r="AC1" s="60">
        <f>Private_Final!AL13</f>
        <v>2041</v>
      </c>
      <c r="AD1" s="60">
        <f>Private_Final!AM13</f>
        <v>2042</v>
      </c>
      <c r="AE1" s="60">
        <f>Private_Final!AN13</f>
        <v>2043</v>
      </c>
      <c r="AF1" s="60">
        <f>Private_Final!AO13</f>
        <v>2044</v>
      </c>
      <c r="AG1" s="60">
        <f>Private_Final!AP13</f>
        <v>2045</v>
      </c>
      <c r="AH1" s="60">
        <f>Private_Final!AQ13</f>
        <v>2046</v>
      </c>
      <c r="AI1" s="60">
        <f>Private_Final!AR13</f>
        <v>2047</v>
      </c>
      <c r="AJ1" s="60">
        <f>Private_Final!AS13</f>
        <v>2048</v>
      </c>
      <c r="AK1" s="60">
        <f>Private_Final!AT13</f>
        <v>2049</v>
      </c>
      <c r="AL1" s="60">
        <f>Private_Final!AU13</f>
        <v>2050</v>
      </c>
    </row>
    <row r="2" spans="1:38" s="175" customFormat="1">
      <c r="A2" s="103" t="str">
        <f>Private_Final!B23</f>
        <v>electricity(BTU)</v>
      </c>
      <c r="B2" s="103">
        <f>Private_Final!K14</f>
        <v>7564716598881.0938</v>
      </c>
      <c r="C2" s="103">
        <f>Private_Final!L14</f>
        <v>7233128561297.7988</v>
      </c>
      <c r="D2" s="103">
        <f>Private_Final!M14</f>
        <v>7354796096105.0322</v>
      </c>
      <c r="E2" s="103">
        <f>Private_Final!N14</f>
        <v>8290080902048.4307</v>
      </c>
      <c r="F2" s="103">
        <f>Private_Final!O14</f>
        <v>8495367598917.0186</v>
      </c>
      <c r="G2" s="103">
        <f>Private_Final!P14</f>
        <v>8694815257713.335</v>
      </c>
      <c r="H2" s="103">
        <f>Private_Final!Q14</f>
        <v>8901665638040.7285</v>
      </c>
      <c r="I2" s="103">
        <f>Private_Final!R14</f>
        <v>9105262522741.7754</v>
      </c>
      <c r="J2" s="103">
        <f>Private_Final!S14</f>
        <v>9310427534872.1738</v>
      </c>
      <c r="K2" s="103">
        <f>Private_Final!T14</f>
        <v>9516372639379.3984</v>
      </c>
      <c r="L2" s="103">
        <f>Private_Final!U14</f>
        <v>9719126353620.0703</v>
      </c>
      <c r="M2" s="103">
        <f>Private_Final!V14</f>
        <v>9920970865740.0586</v>
      </c>
      <c r="N2" s="103">
        <f>Private_Final!W14</f>
        <v>10120331694490.867</v>
      </c>
      <c r="O2" s="103">
        <f>Private_Final!X14</f>
        <v>10319221785628.26</v>
      </c>
      <c r="P2" s="103">
        <f>Private_Final!Y14</f>
        <v>10521917635340.889</v>
      </c>
      <c r="Q2" s="103">
        <f>Private_Final!Z14</f>
        <v>10726463643415.766</v>
      </c>
      <c r="R2" s="103">
        <f>Private_Final!AA14</f>
        <v>10930510037143.051</v>
      </c>
      <c r="S2" s="103">
        <f>Private_Final!AB14</f>
        <v>11135468980710.707</v>
      </c>
      <c r="T2" s="103">
        <f>Private_Final!AC14</f>
        <v>11341709268899.773</v>
      </c>
      <c r="U2" s="103">
        <f>Private_Final!AD14</f>
        <v>11550339308027.24</v>
      </c>
      <c r="V2" s="103">
        <f>Private_Final!AE14</f>
        <v>11758462060001.982</v>
      </c>
      <c r="W2" s="103">
        <f>Private_Final!AF14</f>
        <v>11963900417873.996</v>
      </c>
      <c r="X2" s="103">
        <f>Private_Final!AG14</f>
        <v>12167498653261.748</v>
      </c>
      <c r="Y2" s="103">
        <f>Private_Final!AH14</f>
        <v>12368792690898.891</v>
      </c>
      <c r="Z2" s="103">
        <f>Private_Final!AI14</f>
        <v>12566685321607.387</v>
      </c>
      <c r="AA2" s="103">
        <f>Private_Final!AJ14</f>
        <v>12759404337600.328</v>
      </c>
      <c r="AB2" s="103">
        <f>Private_Final!AK14</f>
        <v>12948088822192.453</v>
      </c>
      <c r="AC2" s="103">
        <f>Private_Final!AL14</f>
        <v>13131552457287.965</v>
      </c>
      <c r="AD2" s="103">
        <f>Private_Final!AM14</f>
        <v>13310337564052.451</v>
      </c>
      <c r="AE2" s="103">
        <f>Private_Final!AN14</f>
        <v>13486831250416.463</v>
      </c>
      <c r="AF2" s="103">
        <f>Private_Final!AO14</f>
        <v>13660229758809.676</v>
      </c>
      <c r="AG2" s="103">
        <f>Private_Final!AP14</f>
        <v>13829188442657.816</v>
      </c>
      <c r="AH2" s="103">
        <f>Private_Final!AQ14</f>
        <v>13994176488015.48</v>
      </c>
      <c r="AI2" s="103">
        <f>Private_Final!AR14</f>
        <v>14153278192630.094</v>
      </c>
      <c r="AJ2" s="103">
        <f>Private_Final!AS14</f>
        <v>14309035048748.477</v>
      </c>
      <c r="AK2" s="103">
        <f>Private_Final!AT14</f>
        <v>14459700320229.371</v>
      </c>
      <c r="AL2" s="103">
        <f>Private_Final!AU14</f>
        <v>14605418376099.369</v>
      </c>
    </row>
    <row r="3" spans="1:38" s="175" customFormat="1">
      <c r="A3" s="103" t="str">
        <f>Private_Final!B24</f>
        <v>coal(BTU)</v>
      </c>
      <c r="B3" s="103">
        <f>Private_Final!K15</f>
        <v>0</v>
      </c>
      <c r="C3" s="103">
        <f>Private_Final!L15</f>
        <v>0</v>
      </c>
      <c r="D3" s="103">
        <f>Private_Final!M15</f>
        <v>0</v>
      </c>
      <c r="E3" s="103">
        <f>Private_Final!N15</f>
        <v>0</v>
      </c>
      <c r="F3" s="103">
        <f>Private_Final!O15</f>
        <v>0</v>
      </c>
      <c r="G3" s="103">
        <f>Private_Final!P15</f>
        <v>0</v>
      </c>
      <c r="H3" s="103">
        <f>Private_Final!Q15</f>
        <v>0</v>
      </c>
      <c r="I3" s="103">
        <f>Private_Final!R15</f>
        <v>0</v>
      </c>
      <c r="J3" s="103">
        <f>Private_Final!S15</f>
        <v>0</v>
      </c>
      <c r="K3" s="103">
        <f>Private_Final!T15</f>
        <v>0</v>
      </c>
      <c r="L3" s="103">
        <f>Private_Final!U15</f>
        <v>0</v>
      </c>
      <c r="M3" s="103">
        <f>Private_Final!V15</f>
        <v>0</v>
      </c>
      <c r="N3" s="103">
        <f>Private_Final!W15</f>
        <v>0</v>
      </c>
      <c r="O3" s="103">
        <f>Private_Final!X15</f>
        <v>0</v>
      </c>
      <c r="P3" s="103">
        <f>Private_Final!Y15</f>
        <v>0</v>
      </c>
      <c r="Q3" s="103">
        <f>Private_Final!Z15</f>
        <v>0</v>
      </c>
      <c r="R3" s="103">
        <f>Private_Final!AA15</f>
        <v>0</v>
      </c>
      <c r="S3" s="103">
        <f>Private_Final!AB15</f>
        <v>0</v>
      </c>
      <c r="T3" s="103">
        <f>Private_Final!AC15</f>
        <v>0</v>
      </c>
      <c r="U3" s="103">
        <f>Private_Final!AD15</f>
        <v>0</v>
      </c>
      <c r="V3" s="103">
        <f>Private_Final!AE15</f>
        <v>0</v>
      </c>
      <c r="W3" s="103">
        <f>Private_Final!AF15</f>
        <v>0</v>
      </c>
      <c r="X3" s="103">
        <f>Private_Final!AG15</f>
        <v>0</v>
      </c>
      <c r="Y3" s="103">
        <f>Private_Final!AH15</f>
        <v>0</v>
      </c>
      <c r="Z3" s="103">
        <f>Private_Final!AI15</f>
        <v>0</v>
      </c>
      <c r="AA3" s="103">
        <f>Private_Final!AJ15</f>
        <v>0</v>
      </c>
      <c r="AB3" s="103">
        <f>Private_Final!AK15</f>
        <v>0</v>
      </c>
      <c r="AC3" s="103">
        <f>Private_Final!AL15</f>
        <v>0</v>
      </c>
      <c r="AD3" s="103">
        <f>Private_Final!AM15</f>
        <v>0</v>
      </c>
      <c r="AE3" s="103">
        <f>Private_Final!AN15</f>
        <v>0</v>
      </c>
      <c r="AF3" s="103">
        <f>Private_Final!AO15</f>
        <v>0</v>
      </c>
      <c r="AG3" s="103">
        <f>Private_Final!AP15</f>
        <v>0</v>
      </c>
      <c r="AH3" s="103">
        <f>Private_Final!AQ15</f>
        <v>0</v>
      </c>
      <c r="AI3" s="103">
        <f>Private_Final!AR15</f>
        <v>0</v>
      </c>
      <c r="AJ3" s="103">
        <f>Private_Final!AS15</f>
        <v>0</v>
      </c>
      <c r="AK3" s="103">
        <f>Private_Final!AT15</f>
        <v>0</v>
      </c>
      <c r="AL3" s="103">
        <f>Private_Final!AU15</f>
        <v>0</v>
      </c>
    </row>
    <row r="4" spans="1:38" s="175" customFormat="1">
      <c r="A4" s="103" t="str">
        <f>Private_Final!B25</f>
        <v>natural gas(BTU)</v>
      </c>
      <c r="B4" s="103">
        <f>Private_Final!K16</f>
        <v>0</v>
      </c>
      <c r="C4" s="103">
        <f>Private_Final!L16</f>
        <v>0</v>
      </c>
      <c r="D4" s="103">
        <f>Private_Final!M16</f>
        <v>0</v>
      </c>
      <c r="E4" s="103">
        <f>Private_Final!N16</f>
        <v>0</v>
      </c>
      <c r="F4" s="103">
        <f>Private_Final!O16</f>
        <v>0</v>
      </c>
      <c r="G4" s="103">
        <f>Private_Final!P16</f>
        <v>0</v>
      </c>
      <c r="H4" s="103">
        <f>Private_Final!Q16</f>
        <v>0</v>
      </c>
      <c r="I4" s="103">
        <f>Private_Final!R16</f>
        <v>0</v>
      </c>
      <c r="J4" s="103">
        <f>Private_Final!S16</f>
        <v>0</v>
      </c>
      <c r="K4" s="103">
        <f>Private_Final!T16</f>
        <v>0</v>
      </c>
      <c r="L4" s="103">
        <f>Private_Final!U16</f>
        <v>0</v>
      </c>
      <c r="M4" s="103">
        <f>Private_Final!V16</f>
        <v>0</v>
      </c>
      <c r="N4" s="103">
        <f>Private_Final!W16</f>
        <v>0</v>
      </c>
      <c r="O4" s="103">
        <f>Private_Final!X16</f>
        <v>0</v>
      </c>
      <c r="P4" s="103">
        <f>Private_Final!Y16</f>
        <v>0</v>
      </c>
      <c r="Q4" s="103">
        <f>Private_Final!Z16</f>
        <v>0</v>
      </c>
      <c r="R4" s="103">
        <f>Private_Final!AA16</f>
        <v>0</v>
      </c>
      <c r="S4" s="103">
        <f>Private_Final!AB16</f>
        <v>0</v>
      </c>
      <c r="T4" s="103">
        <f>Private_Final!AC16</f>
        <v>0</v>
      </c>
      <c r="U4" s="103">
        <f>Private_Final!AD16</f>
        <v>0</v>
      </c>
      <c r="V4" s="103">
        <f>Private_Final!AE16</f>
        <v>0</v>
      </c>
      <c r="W4" s="103">
        <f>Private_Final!AF16</f>
        <v>0</v>
      </c>
      <c r="X4" s="103">
        <f>Private_Final!AG16</f>
        <v>0</v>
      </c>
      <c r="Y4" s="103">
        <f>Private_Final!AH16</f>
        <v>0</v>
      </c>
      <c r="Z4" s="103">
        <f>Private_Final!AI16</f>
        <v>0</v>
      </c>
      <c r="AA4" s="103">
        <f>Private_Final!AJ16</f>
        <v>0</v>
      </c>
      <c r="AB4" s="103">
        <f>Private_Final!AK16</f>
        <v>0</v>
      </c>
      <c r="AC4" s="103">
        <f>Private_Final!AL16</f>
        <v>0</v>
      </c>
      <c r="AD4" s="103">
        <f>Private_Final!AM16</f>
        <v>0</v>
      </c>
      <c r="AE4" s="103">
        <f>Private_Final!AN16</f>
        <v>0</v>
      </c>
      <c r="AF4" s="103">
        <f>Private_Final!AO16</f>
        <v>0</v>
      </c>
      <c r="AG4" s="103">
        <f>Private_Final!AP16</f>
        <v>0</v>
      </c>
      <c r="AH4" s="103">
        <f>Private_Final!AQ16</f>
        <v>0</v>
      </c>
      <c r="AI4" s="103">
        <f>Private_Final!AR16</f>
        <v>0</v>
      </c>
      <c r="AJ4" s="103">
        <f>Private_Final!AS16</f>
        <v>0</v>
      </c>
      <c r="AK4" s="103">
        <f>Private_Final!AT16</f>
        <v>0</v>
      </c>
      <c r="AL4" s="103">
        <f>Private_Final!AU16</f>
        <v>0</v>
      </c>
    </row>
    <row r="5" spans="1:38" s="175" customFormat="1">
      <c r="A5" s="103" t="str">
        <f>Private_Final!B26</f>
        <v>petroleum diesel (BTU)</v>
      </c>
      <c r="B5" s="103">
        <f>Private_Final!K17</f>
        <v>0</v>
      </c>
      <c r="C5" s="103">
        <f>Private_Final!L17</f>
        <v>0</v>
      </c>
      <c r="D5" s="103">
        <f>Private_Final!M17</f>
        <v>0</v>
      </c>
      <c r="E5" s="103">
        <f>Private_Final!N17</f>
        <v>0</v>
      </c>
      <c r="F5" s="103">
        <f>Private_Final!O17</f>
        <v>0</v>
      </c>
      <c r="G5" s="103">
        <f>Private_Final!P17</f>
        <v>0</v>
      </c>
      <c r="H5" s="103">
        <f>Private_Final!Q17</f>
        <v>0</v>
      </c>
      <c r="I5" s="103">
        <f>Private_Final!R17</f>
        <v>0</v>
      </c>
      <c r="J5" s="103">
        <f>Private_Final!S17</f>
        <v>0</v>
      </c>
      <c r="K5" s="103">
        <f>Private_Final!T17</f>
        <v>0</v>
      </c>
      <c r="L5" s="103">
        <f>Private_Final!U17</f>
        <v>0</v>
      </c>
      <c r="M5" s="103">
        <f>Private_Final!V17</f>
        <v>0</v>
      </c>
      <c r="N5" s="103">
        <f>Private_Final!W17</f>
        <v>0</v>
      </c>
      <c r="O5" s="103">
        <f>Private_Final!X17</f>
        <v>0</v>
      </c>
      <c r="P5" s="103">
        <f>Private_Final!Y17</f>
        <v>0</v>
      </c>
      <c r="Q5" s="103">
        <f>Private_Final!Z17</f>
        <v>0</v>
      </c>
      <c r="R5" s="103">
        <f>Private_Final!AA17</f>
        <v>0</v>
      </c>
      <c r="S5" s="103">
        <f>Private_Final!AB17</f>
        <v>0</v>
      </c>
      <c r="T5" s="103">
        <f>Private_Final!AC17</f>
        <v>0</v>
      </c>
      <c r="U5" s="103">
        <f>Private_Final!AD17</f>
        <v>0</v>
      </c>
      <c r="V5" s="103">
        <f>Private_Final!AE17</f>
        <v>0</v>
      </c>
      <c r="W5" s="103">
        <f>Private_Final!AF17</f>
        <v>0</v>
      </c>
      <c r="X5" s="103">
        <f>Private_Final!AG17</f>
        <v>0</v>
      </c>
      <c r="Y5" s="103">
        <f>Private_Final!AH17</f>
        <v>0</v>
      </c>
      <c r="Z5" s="103">
        <f>Private_Final!AI17</f>
        <v>0</v>
      </c>
      <c r="AA5" s="103">
        <f>Private_Final!AJ17</f>
        <v>0</v>
      </c>
      <c r="AB5" s="103">
        <f>Private_Final!AK17</f>
        <v>0</v>
      </c>
      <c r="AC5" s="103">
        <f>Private_Final!AL17</f>
        <v>0</v>
      </c>
      <c r="AD5" s="103">
        <f>Private_Final!AM17</f>
        <v>0</v>
      </c>
      <c r="AE5" s="103">
        <f>Private_Final!AN17</f>
        <v>0</v>
      </c>
      <c r="AF5" s="103">
        <f>Private_Final!AO17</f>
        <v>0</v>
      </c>
      <c r="AG5" s="103">
        <f>Private_Final!AP17</f>
        <v>0</v>
      </c>
      <c r="AH5" s="103">
        <f>Private_Final!AQ17</f>
        <v>0</v>
      </c>
      <c r="AI5" s="103">
        <f>Private_Final!AR17</f>
        <v>0</v>
      </c>
      <c r="AJ5" s="103">
        <f>Private_Final!AS17</f>
        <v>0</v>
      </c>
      <c r="AK5" s="103">
        <f>Private_Final!AT17</f>
        <v>0</v>
      </c>
      <c r="AL5" s="103">
        <f>Private_Final!AU17</f>
        <v>0</v>
      </c>
    </row>
    <row r="6" spans="1:38" s="175" customFormat="1">
      <c r="A6" s="103" t="str">
        <f>Private_Final!B27</f>
        <v>heat (BTU)</v>
      </c>
      <c r="B6" s="103">
        <f>Private_Final!K18</f>
        <v>0</v>
      </c>
      <c r="C6" s="103">
        <f>Private_Final!L18</f>
        <v>0</v>
      </c>
      <c r="D6" s="103">
        <f>Private_Final!M18</f>
        <v>0</v>
      </c>
      <c r="E6" s="103">
        <f>Private_Final!N18</f>
        <v>0</v>
      </c>
      <c r="F6" s="103">
        <f>Private_Final!O18</f>
        <v>0</v>
      </c>
      <c r="G6" s="103">
        <f>Private_Final!P18</f>
        <v>0</v>
      </c>
      <c r="H6" s="103">
        <f>Private_Final!Q18</f>
        <v>0</v>
      </c>
      <c r="I6" s="103">
        <f>Private_Final!R18</f>
        <v>0</v>
      </c>
      <c r="J6" s="103">
        <f>Private_Final!S18</f>
        <v>0</v>
      </c>
      <c r="K6" s="103">
        <f>Private_Final!T18</f>
        <v>0</v>
      </c>
      <c r="L6" s="103">
        <f>Private_Final!U18</f>
        <v>0</v>
      </c>
      <c r="M6" s="103">
        <f>Private_Final!V18</f>
        <v>0</v>
      </c>
      <c r="N6" s="103">
        <f>Private_Final!W18</f>
        <v>0</v>
      </c>
      <c r="O6" s="103">
        <f>Private_Final!X18</f>
        <v>0</v>
      </c>
      <c r="P6" s="103">
        <f>Private_Final!Y18</f>
        <v>0</v>
      </c>
      <c r="Q6" s="103">
        <f>Private_Final!Z18</f>
        <v>0</v>
      </c>
      <c r="R6" s="103">
        <f>Private_Final!AA18</f>
        <v>0</v>
      </c>
      <c r="S6" s="103">
        <f>Private_Final!AB18</f>
        <v>0</v>
      </c>
      <c r="T6" s="103">
        <f>Private_Final!AC18</f>
        <v>0</v>
      </c>
      <c r="U6" s="103">
        <f>Private_Final!AD18</f>
        <v>0</v>
      </c>
      <c r="V6" s="103">
        <f>Private_Final!AE18</f>
        <v>0</v>
      </c>
      <c r="W6" s="103">
        <f>Private_Final!AF18</f>
        <v>0</v>
      </c>
      <c r="X6" s="103">
        <f>Private_Final!AG18</f>
        <v>0</v>
      </c>
      <c r="Y6" s="103">
        <f>Private_Final!AH18</f>
        <v>0</v>
      </c>
      <c r="Z6" s="103">
        <f>Private_Final!AI18</f>
        <v>0</v>
      </c>
      <c r="AA6" s="103">
        <f>Private_Final!AJ18</f>
        <v>0</v>
      </c>
      <c r="AB6" s="103">
        <f>Private_Final!AK18</f>
        <v>0</v>
      </c>
      <c r="AC6" s="103">
        <f>Private_Final!AL18</f>
        <v>0</v>
      </c>
      <c r="AD6" s="103">
        <f>Private_Final!AM18</f>
        <v>0</v>
      </c>
      <c r="AE6" s="103">
        <f>Private_Final!AN18</f>
        <v>0</v>
      </c>
      <c r="AF6" s="103">
        <f>Private_Final!AO18</f>
        <v>0</v>
      </c>
      <c r="AG6" s="103">
        <f>Private_Final!AP18</f>
        <v>0</v>
      </c>
      <c r="AH6" s="103">
        <f>Private_Final!AQ18</f>
        <v>0</v>
      </c>
      <c r="AI6" s="103">
        <f>Private_Final!AR18</f>
        <v>0</v>
      </c>
      <c r="AJ6" s="103">
        <f>Private_Final!AS18</f>
        <v>0</v>
      </c>
      <c r="AK6" s="103">
        <f>Private_Final!AT18</f>
        <v>0</v>
      </c>
      <c r="AL6" s="103">
        <f>Private_Final!AU18</f>
        <v>0</v>
      </c>
    </row>
    <row r="7" spans="1:38" s="175" customFormat="1">
      <c r="A7" s="103" t="str">
        <f>Private_Final!B28</f>
        <v>biomass (BTU)</v>
      </c>
      <c r="B7" s="103">
        <f>Private_Final!K19</f>
        <v>0</v>
      </c>
      <c r="C7" s="103">
        <f>Private_Final!L19</f>
        <v>0</v>
      </c>
      <c r="D7" s="103">
        <f>Private_Final!M19</f>
        <v>0</v>
      </c>
      <c r="E7" s="103">
        <f>Private_Final!N19</f>
        <v>0</v>
      </c>
      <c r="F7" s="103">
        <f>Private_Final!O19</f>
        <v>0</v>
      </c>
      <c r="G7" s="103">
        <f>Private_Final!P19</f>
        <v>0</v>
      </c>
      <c r="H7" s="103">
        <f>Private_Final!Q19</f>
        <v>0</v>
      </c>
      <c r="I7" s="103">
        <f>Private_Final!R19</f>
        <v>0</v>
      </c>
      <c r="J7" s="103">
        <f>Private_Final!S19</f>
        <v>0</v>
      </c>
      <c r="K7" s="103">
        <f>Private_Final!T19</f>
        <v>0</v>
      </c>
      <c r="L7" s="103">
        <f>Private_Final!U19</f>
        <v>0</v>
      </c>
      <c r="M7" s="103">
        <f>Private_Final!V19</f>
        <v>0</v>
      </c>
      <c r="N7" s="103">
        <f>Private_Final!W19</f>
        <v>0</v>
      </c>
      <c r="O7" s="103">
        <f>Private_Final!X19</f>
        <v>0</v>
      </c>
      <c r="P7" s="103">
        <f>Private_Final!Y19</f>
        <v>0</v>
      </c>
      <c r="Q7" s="103">
        <f>Private_Final!Z19</f>
        <v>0</v>
      </c>
      <c r="R7" s="103">
        <f>Private_Final!AA19</f>
        <v>0</v>
      </c>
      <c r="S7" s="103">
        <f>Private_Final!AB19</f>
        <v>0</v>
      </c>
      <c r="T7" s="103">
        <f>Private_Final!AC19</f>
        <v>0</v>
      </c>
      <c r="U7" s="103">
        <f>Private_Final!AD19</f>
        <v>0</v>
      </c>
      <c r="V7" s="103">
        <f>Private_Final!AE19</f>
        <v>0</v>
      </c>
      <c r="W7" s="103">
        <f>Private_Final!AF19</f>
        <v>0</v>
      </c>
      <c r="X7" s="103">
        <f>Private_Final!AG19</f>
        <v>0</v>
      </c>
      <c r="Y7" s="103">
        <f>Private_Final!AH19</f>
        <v>0</v>
      </c>
      <c r="Z7" s="103">
        <f>Private_Final!AI19</f>
        <v>0</v>
      </c>
      <c r="AA7" s="103">
        <f>Private_Final!AJ19</f>
        <v>0</v>
      </c>
      <c r="AB7" s="103">
        <f>Private_Final!AK19</f>
        <v>0</v>
      </c>
      <c r="AC7" s="103">
        <f>Private_Final!AL19</f>
        <v>0</v>
      </c>
      <c r="AD7" s="103">
        <f>Private_Final!AM19</f>
        <v>0</v>
      </c>
      <c r="AE7" s="103">
        <f>Private_Final!AN19</f>
        <v>0</v>
      </c>
      <c r="AF7" s="103">
        <f>Private_Final!AO19</f>
        <v>0</v>
      </c>
      <c r="AG7" s="103">
        <f>Private_Final!AP19</f>
        <v>0</v>
      </c>
      <c r="AH7" s="103">
        <f>Private_Final!AQ19</f>
        <v>0</v>
      </c>
      <c r="AI7" s="103">
        <f>Private_Final!AR19</f>
        <v>0</v>
      </c>
      <c r="AJ7" s="103">
        <f>Private_Final!AS19</f>
        <v>0</v>
      </c>
      <c r="AK7" s="103">
        <f>Private_Final!AT19</f>
        <v>0</v>
      </c>
      <c r="AL7" s="103">
        <f>Private_Final!AU19</f>
        <v>0</v>
      </c>
    </row>
  </sheetData>
  <phoneticPr fontId="3"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4" tint="-0.499984740745262"/>
  </sheetPr>
  <dimension ref="A1:AL7"/>
  <sheetViews>
    <sheetView workbookViewId="0">
      <pane xSplit="1" topLeftCell="B1" activePane="topRight" state="frozen"/>
      <selection activeCell="G19" sqref="G19"/>
      <selection pane="topRight" activeCell="J15" sqref="A1:XFD1048576"/>
    </sheetView>
  </sheetViews>
  <sheetFormatPr defaultRowHeight="15"/>
  <cols>
    <col min="1" max="1" width="19.7109375" bestFit="1" customWidth="1"/>
  </cols>
  <sheetData>
    <row r="1" spans="1:38" s="60" customFormat="1">
      <c r="A1" s="60" t="str">
        <f>Private_Final!B4</f>
        <v>Year</v>
      </c>
      <c r="B1" s="60">
        <f>Private_Final!K4</f>
        <v>2014</v>
      </c>
      <c r="C1" s="60">
        <f>Private_Final!L4</f>
        <v>2015</v>
      </c>
      <c r="D1" s="60">
        <f>Private_Final!M4</f>
        <v>2016</v>
      </c>
      <c r="E1" s="60">
        <f>Private_Final!N4</f>
        <v>2017</v>
      </c>
      <c r="F1" s="60">
        <f>Private_Final!O4</f>
        <v>2018</v>
      </c>
      <c r="G1" s="60">
        <f>Private_Final!P4</f>
        <v>2019</v>
      </c>
      <c r="H1" s="60">
        <f>Private_Final!Q4</f>
        <v>2020</v>
      </c>
      <c r="I1" s="60">
        <f>Private_Final!R4</f>
        <v>2021</v>
      </c>
      <c r="J1" s="60">
        <f>Private_Final!S4</f>
        <v>2022</v>
      </c>
      <c r="K1" s="60">
        <f>Private_Final!T4</f>
        <v>2023</v>
      </c>
      <c r="L1" s="60">
        <f>Private_Final!U4</f>
        <v>2024</v>
      </c>
      <c r="M1" s="60">
        <f>Private_Final!V4</f>
        <v>2025</v>
      </c>
      <c r="N1" s="60">
        <f>Private_Final!W4</f>
        <v>2026</v>
      </c>
      <c r="O1" s="60">
        <f>Private_Final!X4</f>
        <v>2027</v>
      </c>
      <c r="P1" s="60">
        <f>Private_Final!Y4</f>
        <v>2028</v>
      </c>
      <c r="Q1" s="60">
        <f>Private_Final!Z4</f>
        <v>2029</v>
      </c>
      <c r="R1" s="60">
        <f>Private_Final!AA4</f>
        <v>2030</v>
      </c>
      <c r="S1" s="60">
        <f>Private_Final!AB4</f>
        <v>2031</v>
      </c>
      <c r="T1" s="60">
        <f>Private_Final!AC4</f>
        <v>2032</v>
      </c>
      <c r="U1" s="60">
        <f>Private_Final!AD4</f>
        <v>2033</v>
      </c>
      <c r="V1" s="60">
        <f>Private_Final!AE4</f>
        <v>2034</v>
      </c>
      <c r="W1" s="60">
        <f>Private_Final!AF4</f>
        <v>2035</v>
      </c>
      <c r="X1" s="60">
        <f>Private_Final!AG4</f>
        <v>2036</v>
      </c>
      <c r="Y1" s="60">
        <f>Private_Final!AH4</f>
        <v>2037</v>
      </c>
      <c r="Z1" s="60">
        <f>Private_Final!AI4</f>
        <v>2038</v>
      </c>
      <c r="AA1" s="60">
        <f>Private_Final!AJ4</f>
        <v>2039</v>
      </c>
      <c r="AB1" s="60">
        <f>Private_Final!AK4</f>
        <v>2040</v>
      </c>
      <c r="AC1" s="60">
        <f>Private_Final!AL4</f>
        <v>2041</v>
      </c>
      <c r="AD1" s="60">
        <f>Private_Final!AM4</f>
        <v>2042</v>
      </c>
      <c r="AE1" s="60">
        <f>Private_Final!AN4</f>
        <v>2043</v>
      </c>
      <c r="AF1" s="60">
        <f>Private_Final!AO4</f>
        <v>2044</v>
      </c>
      <c r="AG1" s="60">
        <f>Private_Final!AP4</f>
        <v>2045</v>
      </c>
      <c r="AH1" s="60">
        <f>Private_Final!AQ4</f>
        <v>2046</v>
      </c>
      <c r="AI1" s="60">
        <f>Private_Final!AR4</f>
        <v>2047</v>
      </c>
      <c r="AJ1" s="60">
        <f>Private_Final!AS4</f>
        <v>2048</v>
      </c>
      <c r="AK1" s="60">
        <f>Private_Final!AT4</f>
        <v>2049</v>
      </c>
      <c r="AL1" s="60">
        <f>Private_Final!AU4</f>
        <v>2050</v>
      </c>
    </row>
    <row r="2" spans="1:38" s="175" customFormat="1">
      <c r="A2" s="103" t="str">
        <f>Private_Final!B5</f>
        <v>electricity(BTU)</v>
      </c>
      <c r="B2" s="103">
        <f>Private_Final!K5</f>
        <v>1871201114785.543</v>
      </c>
      <c r="C2" s="103">
        <f>Private_Final!L5</f>
        <v>1782308796060.2549</v>
      </c>
      <c r="D2" s="103">
        <f>Private_Final!M5</f>
        <v>1890515478161.9255</v>
      </c>
      <c r="E2" s="103">
        <f>Private_Final!N5</f>
        <v>1753062540811.8535</v>
      </c>
      <c r="F2" s="103">
        <f>Private_Final!O5</f>
        <v>1774650371172.4722</v>
      </c>
      <c r="G2" s="103">
        <f>Private_Final!P5</f>
        <v>1794514895020.6912</v>
      </c>
      <c r="H2" s="103">
        <f>Private_Final!Q5</f>
        <v>1815417968395.3154</v>
      </c>
      <c r="I2" s="103">
        <f>Private_Final!R5</f>
        <v>1835175302095.5535</v>
      </c>
      <c r="J2" s="103">
        <f>Private_Final!S5</f>
        <v>1854787260810.2634</v>
      </c>
      <c r="K2" s="103">
        <f>Private_Final!T5</f>
        <v>1874103647699.2864</v>
      </c>
      <c r="L2" s="103">
        <f>Private_Final!U5</f>
        <v>1892361235590.1855</v>
      </c>
      <c r="M2" s="103">
        <f>Private_Final!V5</f>
        <v>1910034964885.2886</v>
      </c>
      <c r="N2" s="103">
        <f>Private_Final!W5</f>
        <v>1926844457800.4976</v>
      </c>
      <c r="O2" s="103">
        <f>Private_Final!X5</f>
        <v>1943197160699.583</v>
      </c>
      <c r="P2" s="103">
        <f>Private_Final!Y5</f>
        <v>1959904494950.0286</v>
      </c>
      <c r="Q2" s="103">
        <f>Private_Final!Z5</f>
        <v>1976594696236.8542</v>
      </c>
      <c r="R2" s="103">
        <f>Private_Final!AA5</f>
        <v>1992839901240.8367</v>
      </c>
      <c r="S2" s="103">
        <f>Private_Final!AB5</f>
        <v>2008908878678.9478</v>
      </c>
      <c r="T2" s="103">
        <f>Private_Final!AC5</f>
        <v>2024872959539.855</v>
      </c>
      <c r="U2" s="103">
        <f>Private_Final!AD5</f>
        <v>2040931231470.0393</v>
      </c>
      <c r="V2" s="103">
        <f>Private_Final!AE5</f>
        <v>2056574123774.2788</v>
      </c>
      <c r="W2" s="103">
        <f>Private_Final!AF5</f>
        <v>2071437237533.8635</v>
      </c>
      <c r="X2" s="103">
        <f>Private_Final!AG5</f>
        <v>2085688612159.321</v>
      </c>
      <c r="Y2" s="103">
        <f>Private_Final!AH5</f>
        <v>2099267596580.6406</v>
      </c>
      <c r="Z2" s="103">
        <f>Private_Final!AI5</f>
        <v>2112009503646.4204</v>
      </c>
      <c r="AA2" s="103">
        <f>Private_Final!AJ5</f>
        <v>2123643676936.4873</v>
      </c>
      <c r="AB2" s="103">
        <f>Private_Final!AK5</f>
        <v>2134389741239.2598</v>
      </c>
      <c r="AC2" s="103">
        <f>Private_Final!AL5</f>
        <v>2144079295725.5303</v>
      </c>
      <c r="AD2" s="103">
        <f>Private_Final!AM5</f>
        <v>2152829867382.2661</v>
      </c>
      <c r="AE2" s="103">
        <f>Private_Final!AN5</f>
        <v>2161050200489.2979</v>
      </c>
      <c r="AF2" s="103">
        <f>Private_Final!AO5</f>
        <v>2168627380034.4763</v>
      </c>
      <c r="AG2" s="103">
        <f>Private_Final!AP5</f>
        <v>2175367539302.5935</v>
      </c>
      <c r="AH2" s="103">
        <f>Private_Final!AQ5</f>
        <v>2181366575161.4636</v>
      </c>
      <c r="AI2" s="103">
        <f>Private_Final!AR5</f>
        <v>2186348529520.1089</v>
      </c>
      <c r="AJ2" s="103">
        <f>Private_Final!AS5</f>
        <v>2190729673471.698</v>
      </c>
      <c r="AK2" s="103">
        <f>Private_Final!AT5</f>
        <v>2194260845368.3008</v>
      </c>
      <c r="AL2" s="103">
        <f>Private_Final!AU5</f>
        <v>2196986066722.2549</v>
      </c>
    </row>
    <row r="3" spans="1:38" s="175" customFormat="1">
      <c r="A3" s="103" t="str">
        <f>Private_Final!B6</f>
        <v>coal(BTU)</v>
      </c>
      <c r="B3" s="103">
        <f>Private_Final!K6</f>
        <v>0</v>
      </c>
      <c r="C3" s="103">
        <f>Private_Final!L6</f>
        <v>0</v>
      </c>
      <c r="D3" s="103">
        <f>Private_Final!M6</f>
        <v>0</v>
      </c>
      <c r="E3" s="103">
        <f>Private_Final!N6</f>
        <v>0</v>
      </c>
      <c r="F3" s="103">
        <f>Private_Final!O6</f>
        <v>0</v>
      </c>
      <c r="G3" s="103">
        <f>Private_Final!P6</f>
        <v>0</v>
      </c>
      <c r="H3" s="103">
        <f>Private_Final!Q6</f>
        <v>0</v>
      </c>
      <c r="I3" s="103">
        <f>Private_Final!R6</f>
        <v>0</v>
      </c>
      <c r="J3" s="103">
        <f>Private_Final!S6</f>
        <v>0</v>
      </c>
      <c r="K3" s="103">
        <f>Private_Final!T6</f>
        <v>0</v>
      </c>
      <c r="L3" s="103">
        <f>Private_Final!U6</f>
        <v>0</v>
      </c>
      <c r="M3" s="103">
        <f>Private_Final!V6</f>
        <v>0</v>
      </c>
      <c r="N3" s="103">
        <f>Private_Final!W6</f>
        <v>0</v>
      </c>
      <c r="O3" s="103">
        <f>Private_Final!X6</f>
        <v>0</v>
      </c>
      <c r="P3" s="103">
        <f>Private_Final!Y6</f>
        <v>0</v>
      </c>
      <c r="Q3" s="103">
        <f>Private_Final!Z6</f>
        <v>0</v>
      </c>
      <c r="R3" s="103">
        <f>Private_Final!AA6</f>
        <v>0</v>
      </c>
      <c r="S3" s="103">
        <f>Private_Final!AB6</f>
        <v>0</v>
      </c>
      <c r="T3" s="103">
        <f>Private_Final!AC6</f>
        <v>0</v>
      </c>
      <c r="U3" s="103">
        <f>Private_Final!AD6</f>
        <v>0</v>
      </c>
      <c r="V3" s="103">
        <f>Private_Final!AE6</f>
        <v>0</v>
      </c>
      <c r="W3" s="103">
        <f>Private_Final!AF6</f>
        <v>0</v>
      </c>
      <c r="X3" s="103">
        <f>Private_Final!AG6</f>
        <v>0</v>
      </c>
      <c r="Y3" s="103">
        <f>Private_Final!AH6</f>
        <v>0</v>
      </c>
      <c r="Z3" s="103">
        <f>Private_Final!AI6</f>
        <v>0</v>
      </c>
      <c r="AA3" s="103">
        <f>Private_Final!AJ6</f>
        <v>0</v>
      </c>
      <c r="AB3" s="103">
        <f>Private_Final!AK6</f>
        <v>0</v>
      </c>
      <c r="AC3" s="103">
        <f>Private_Final!AL6</f>
        <v>0</v>
      </c>
      <c r="AD3" s="103">
        <f>Private_Final!AM6</f>
        <v>0</v>
      </c>
      <c r="AE3" s="103">
        <f>Private_Final!AN6</f>
        <v>0</v>
      </c>
      <c r="AF3" s="103">
        <f>Private_Final!AO6</f>
        <v>0</v>
      </c>
      <c r="AG3" s="103">
        <f>Private_Final!AP6</f>
        <v>0</v>
      </c>
      <c r="AH3" s="103">
        <f>Private_Final!AQ6</f>
        <v>0</v>
      </c>
      <c r="AI3" s="103">
        <f>Private_Final!AR6</f>
        <v>0</v>
      </c>
      <c r="AJ3" s="103">
        <f>Private_Final!AS6</f>
        <v>0</v>
      </c>
      <c r="AK3" s="103">
        <f>Private_Final!AT6</f>
        <v>0</v>
      </c>
      <c r="AL3" s="103">
        <f>Private_Final!AU6</f>
        <v>0</v>
      </c>
    </row>
    <row r="4" spans="1:38" s="175" customFormat="1">
      <c r="A4" s="103" t="str">
        <f>Private_Final!B7</f>
        <v>natural gas(BTU)</v>
      </c>
      <c r="B4" s="103">
        <f>Private_Final!K7</f>
        <v>0</v>
      </c>
      <c r="C4" s="103">
        <f>Private_Final!L7</f>
        <v>0</v>
      </c>
      <c r="D4" s="103">
        <f>Private_Final!M7</f>
        <v>0</v>
      </c>
      <c r="E4" s="103">
        <f>Private_Final!N7</f>
        <v>0</v>
      </c>
      <c r="F4" s="103">
        <f>Private_Final!O7</f>
        <v>0</v>
      </c>
      <c r="G4" s="103">
        <f>Private_Final!P7</f>
        <v>0</v>
      </c>
      <c r="H4" s="103">
        <f>Private_Final!Q7</f>
        <v>0</v>
      </c>
      <c r="I4" s="103">
        <f>Private_Final!R7</f>
        <v>0</v>
      </c>
      <c r="J4" s="103">
        <f>Private_Final!S7</f>
        <v>0</v>
      </c>
      <c r="K4" s="103">
        <f>Private_Final!T7</f>
        <v>0</v>
      </c>
      <c r="L4" s="103">
        <f>Private_Final!U7</f>
        <v>0</v>
      </c>
      <c r="M4" s="103">
        <f>Private_Final!V7</f>
        <v>0</v>
      </c>
      <c r="N4" s="103">
        <f>Private_Final!W7</f>
        <v>0</v>
      </c>
      <c r="O4" s="103">
        <f>Private_Final!X7</f>
        <v>0</v>
      </c>
      <c r="P4" s="103">
        <f>Private_Final!Y7</f>
        <v>0</v>
      </c>
      <c r="Q4" s="103">
        <f>Private_Final!Z7</f>
        <v>0</v>
      </c>
      <c r="R4" s="103">
        <f>Private_Final!AA7</f>
        <v>0</v>
      </c>
      <c r="S4" s="103">
        <f>Private_Final!AB7</f>
        <v>0</v>
      </c>
      <c r="T4" s="103">
        <f>Private_Final!AC7</f>
        <v>0</v>
      </c>
      <c r="U4" s="103">
        <f>Private_Final!AD7</f>
        <v>0</v>
      </c>
      <c r="V4" s="103">
        <f>Private_Final!AE7</f>
        <v>0</v>
      </c>
      <c r="W4" s="103">
        <f>Private_Final!AF7</f>
        <v>0</v>
      </c>
      <c r="X4" s="103">
        <f>Private_Final!AG7</f>
        <v>0</v>
      </c>
      <c r="Y4" s="103">
        <f>Private_Final!AH7</f>
        <v>0</v>
      </c>
      <c r="Z4" s="103">
        <f>Private_Final!AI7</f>
        <v>0</v>
      </c>
      <c r="AA4" s="103">
        <f>Private_Final!AJ7</f>
        <v>0</v>
      </c>
      <c r="AB4" s="103">
        <f>Private_Final!AK7</f>
        <v>0</v>
      </c>
      <c r="AC4" s="103">
        <f>Private_Final!AL7</f>
        <v>0</v>
      </c>
      <c r="AD4" s="103">
        <f>Private_Final!AM7</f>
        <v>0</v>
      </c>
      <c r="AE4" s="103">
        <f>Private_Final!AN7</f>
        <v>0</v>
      </c>
      <c r="AF4" s="103">
        <f>Private_Final!AO7</f>
        <v>0</v>
      </c>
      <c r="AG4" s="103">
        <f>Private_Final!AP7</f>
        <v>0</v>
      </c>
      <c r="AH4" s="103">
        <f>Private_Final!AQ7</f>
        <v>0</v>
      </c>
      <c r="AI4" s="103">
        <f>Private_Final!AR7</f>
        <v>0</v>
      </c>
      <c r="AJ4" s="103">
        <f>Private_Final!AS7</f>
        <v>0</v>
      </c>
      <c r="AK4" s="103">
        <f>Private_Final!AT7</f>
        <v>0</v>
      </c>
      <c r="AL4" s="103">
        <f>Private_Final!AU7</f>
        <v>0</v>
      </c>
    </row>
    <row r="5" spans="1:38" s="175" customFormat="1">
      <c r="A5" s="103" t="str">
        <f>Private_Final!B8</f>
        <v>petroleum diesel (BTU)</v>
      </c>
      <c r="B5" s="103">
        <f>Private_Final!K8</f>
        <v>0</v>
      </c>
      <c r="C5" s="103">
        <f>Private_Final!L8</f>
        <v>0</v>
      </c>
      <c r="D5" s="103">
        <f>Private_Final!M8</f>
        <v>0</v>
      </c>
      <c r="E5" s="103">
        <f>Private_Final!N8</f>
        <v>0</v>
      </c>
      <c r="F5" s="103">
        <f>Private_Final!O8</f>
        <v>0</v>
      </c>
      <c r="G5" s="103">
        <f>Private_Final!P8</f>
        <v>0</v>
      </c>
      <c r="H5" s="103">
        <f>Private_Final!Q8</f>
        <v>0</v>
      </c>
      <c r="I5" s="103">
        <f>Private_Final!R8</f>
        <v>0</v>
      </c>
      <c r="J5" s="103">
        <f>Private_Final!S8</f>
        <v>0</v>
      </c>
      <c r="K5" s="103">
        <f>Private_Final!T8</f>
        <v>0</v>
      </c>
      <c r="L5" s="103">
        <f>Private_Final!U8</f>
        <v>0</v>
      </c>
      <c r="M5" s="103">
        <f>Private_Final!V8</f>
        <v>0</v>
      </c>
      <c r="N5" s="103">
        <f>Private_Final!W8</f>
        <v>0</v>
      </c>
      <c r="O5" s="103">
        <f>Private_Final!X8</f>
        <v>0</v>
      </c>
      <c r="P5" s="103">
        <f>Private_Final!Y8</f>
        <v>0</v>
      </c>
      <c r="Q5" s="103">
        <f>Private_Final!Z8</f>
        <v>0</v>
      </c>
      <c r="R5" s="103">
        <f>Private_Final!AA8</f>
        <v>0</v>
      </c>
      <c r="S5" s="103">
        <f>Private_Final!AB8</f>
        <v>0</v>
      </c>
      <c r="T5" s="103">
        <f>Private_Final!AC8</f>
        <v>0</v>
      </c>
      <c r="U5" s="103">
        <f>Private_Final!AD8</f>
        <v>0</v>
      </c>
      <c r="V5" s="103">
        <f>Private_Final!AE8</f>
        <v>0</v>
      </c>
      <c r="W5" s="103">
        <f>Private_Final!AF8</f>
        <v>0</v>
      </c>
      <c r="X5" s="103">
        <f>Private_Final!AG8</f>
        <v>0</v>
      </c>
      <c r="Y5" s="103">
        <f>Private_Final!AH8</f>
        <v>0</v>
      </c>
      <c r="Z5" s="103">
        <f>Private_Final!AI8</f>
        <v>0</v>
      </c>
      <c r="AA5" s="103">
        <f>Private_Final!AJ8</f>
        <v>0</v>
      </c>
      <c r="AB5" s="103">
        <f>Private_Final!AK8</f>
        <v>0</v>
      </c>
      <c r="AC5" s="103">
        <f>Private_Final!AL8</f>
        <v>0</v>
      </c>
      <c r="AD5" s="103">
        <f>Private_Final!AM8</f>
        <v>0</v>
      </c>
      <c r="AE5" s="103">
        <f>Private_Final!AN8</f>
        <v>0</v>
      </c>
      <c r="AF5" s="103">
        <f>Private_Final!AO8</f>
        <v>0</v>
      </c>
      <c r="AG5" s="103">
        <f>Private_Final!AP8</f>
        <v>0</v>
      </c>
      <c r="AH5" s="103">
        <f>Private_Final!AQ8</f>
        <v>0</v>
      </c>
      <c r="AI5" s="103">
        <f>Private_Final!AR8</f>
        <v>0</v>
      </c>
      <c r="AJ5" s="103">
        <f>Private_Final!AS8</f>
        <v>0</v>
      </c>
      <c r="AK5" s="103">
        <f>Private_Final!AT8</f>
        <v>0</v>
      </c>
      <c r="AL5" s="103">
        <f>Private_Final!AU8</f>
        <v>0</v>
      </c>
    </row>
    <row r="6" spans="1:38" s="175" customFormat="1">
      <c r="A6" s="103" t="str">
        <f>Private_Final!B9</f>
        <v>heat (BTU)</v>
      </c>
      <c r="B6" s="103">
        <f>Private_Final!K9</f>
        <v>0</v>
      </c>
      <c r="C6" s="103">
        <f>Private_Final!L9</f>
        <v>0</v>
      </c>
      <c r="D6" s="103">
        <f>Private_Final!M9</f>
        <v>0</v>
      </c>
      <c r="E6" s="103">
        <f>Private_Final!N9</f>
        <v>0</v>
      </c>
      <c r="F6" s="103">
        <f>Private_Final!O9</f>
        <v>0</v>
      </c>
      <c r="G6" s="103">
        <f>Private_Final!P9</f>
        <v>0</v>
      </c>
      <c r="H6" s="103">
        <f>Private_Final!Q9</f>
        <v>0</v>
      </c>
      <c r="I6" s="103">
        <f>Private_Final!R9</f>
        <v>0</v>
      </c>
      <c r="J6" s="103">
        <f>Private_Final!S9</f>
        <v>0</v>
      </c>
      <c r="K6" s="103">
        <f>Private_Final!T9</f>
        <v>0</v>
      </c>
      <c r="L6" s="103">
        <f>Private_Final!U9</f>
        <v>0</v>
      </c>
      <c r="M6" s="103">
        <f>Private_Final!V9</f>
        <v>0</v>
      </c>
      <c r="N6" s="103">
        <f>Private_Final!W9</f>
        <v>0</v>
      </c>
      <c r="O6" s="103">
        <f>Private_Final!X9</f>
        <v>0</v>
      </c>
      <c r="P6" s="103">
        <f>Private_Final!Y9</f>
        <v>0</v>
      </c>
      <c r="Q6" s="103">
        <f>Private_Final!Z9</f>
        <v>0</v>
      </c>
      <c r="R6" s="103">
        <f>Private_Final!AA9</f>
        <v>0</v>
      </c>
      <c r="S6" s="103">
        <f>Private_Final!AB9</f>
        <v>0</v>
      </c>
      <c r="T6" s="103">
        <f>Private_Final!AC9</f>
        <v>0</v>
      </c>
      <c r="U6" s="103">
        <f>Private_Final!AD9</f>
        <v>0</v>
      </c>
      <c r="V6" s="103">
        <f>Private_Final!AE9</f>
        <v>0</v>
      </c>
      <c r="W6" s="103">
        <f>Private_Final!AF9</f>
        <v>0</v>
      </c>
      <c r="X6" s="103">
        <f>Private_Final!AG9</f>
        <v>0</v>
      </c>
      <c r="Y6" s="103">
        <f>Private_Final!AH9</f>
        <v>0</v>
      </c>
      <c r="Z6" s="103">
        <f>Private_Final!AI9</f>
        <v>0</v>
      </c>
      <c r="AA6" s="103">
        <f>Private_Final!AJ9</f>
        <v>0</v>
      </c>
      <c r="AB6" s="103">
        <f>Private_Final!AK9</f>
        <v>0</v>
      </c>
      <c r="AC6" s="103">
        <f>Private_Final!AL9</f>
        <v>0</v>
      </c>
      <c r="AD6" s="103">
        <f>Private_Final!AM9</f>
        <v>0</v>
      </c>
      <c r="AE6" s="103">
        <f>Private_Final!AN9</f>
        <v>0</v>
      </c>
      <c r="AF6" s="103">
        <f>Private_Final!AO9</f>
        <v>0</v>
      </c>
      <c r="AG6" s="103">
        <f>Private_Final!AP9</f>
        <v>0</v>
      </c>
      <c r="AH6" s="103">
        <f>Private_Final!AQ9</f>
        <v>0</v>
      </c>
      <c r="AI6" s="103">
        <f>Private_Final!AR9</f>
        <v>0</v>
      </c>
      <c r="AJ6" s="103">
        <f>Private_Final!AS9</f>
        <v>0</v>
      </c>
      <c r="AK6" s="103">
        <f>Private_Final!AT9</f>
        <v>0</v>
      </c>
      <c r="AL6" s="103">
        <f>Private_Final!AU9</f>
        <v>0</v>
      </c>
    </row>
    <row r="7" spans="1:38" s="175" customFormat="1">
      <c r="A7" s="103" t="str">
        <f>Private_Final!B10</f>
        <v>biomass (BTU)</v>
      </c>
      <c r="B7" s="103">
        <f>Private_Final!K10</f>
        <v>0</v>
      </c>
      <c r="C7" s="103">
        <f>Private_Final!L10</f>
        <v>0</v>
      </c>
      <c r="D7" s="103">
        <f>Private_Final!M10</f>
        <v>0</v>
      </c>
      <c r="E7" s="103">
        <f>Private_Final!N10</f>
        <v>0</v>
      </c>
      <c r="F7" s="103">
        <f>Private_Final!O10</f>
        <v>0</v>
      </c>
      <c r="G7" s="103">
        <f>Private_Final!P10</f>
        <v>0</v>
      </c>
      <c r="H7" s="103">
        <f>Private_Final!Q10</f>
        <v>0</v>
      </c>
      <c r="I7" s="103">
        <f>Private_Final!R10</f>
        <v>0</v>
      </c>
      <c r="J7" s="103">
        <f>Private_Final!S10</f>
        <v>0</v>
      </c>
      <c r="K7" s="103">
        <f>Private_Final!T10</f>
        <v>0</v>
      </c>
      <c r="L7" s="103">
        <f>Private_Final!U10</f>
        <v>0</v>
      </c>
      <c r="M7" s="103">
        <f>Private_Final!V10</f>
        <v>0</v>
      </c>
      <c r="N7" s="103">
        <f>Private_Final!W10</f>
        <v>0</v>
      </c>
      <c r="O7" s="103">
        <f>Private_Final!X10</f>
        <v>0</v>
      </c>
      <c r="P7" s="103">
        <f>Private_Final!Y10</f>
        <v>0</v>
      </c>
      <c r="Q7" s="103">
        <f>Private_Final!Z10</f>
        <v>0</v>
      </c>
      <c r="R7" s="103">
        <f>Private_Final!AA10</f>
        <v>0</v>
      </c>
      <c r="S7" s="103">
        <f>Private_Final!AB10</f>
        <v>0</v>
      </c>
      <c r="T7" s="103">
        <f>Private_Final!AC10</f>
        <v>0</v>
      </c>
      <c r="U7" s="103">
        <f>Private_Final!AD10</f>
        <v>0</v>
      </c>
      <c r="V7" s="103">
        <f>Private_Final!AE10</f>
        <v>0</v>
      </c>
      <c r="W7" s="103">
        <f>Private_Final!AF10</f>
        <v>0</v>
      </c>
      <c r="X7" s="103">
        <f>Private_Final!AG10</f>
        <v>0</v>
      </c>
      <c r="Y7" s="103">
        <f>Private_Final!AH10</f>
        <v>0</v>
      </c>
      <c r="Z7" s="103">
        <f>Private_Final!AI10</f>
        <v>0</v>
      </c>
      <c r="AA7" s="103">
        <f>Private_Final!AJ10</f>
        <v>0</v>
      </c>
      <c r="AB7" s="103">
        <f>Private_Final!AK10</f>
        <v>0</v>
      </c>
      <c r="AC7" s="103">
        <f>Private_Final!AL10</f>
        <v>0</v>
      </c>
      <c r="AD7" s="103">
        <f>Private_Final!AM10</f>
        <v>0</v>
      </c>
      <c r="AE7" s="103">
        <f>Private_Final!AN10</f>
        <v>0</v>
      </c>
      <c r="AF7" s="103">
        <f>Private_Final!AO10</f>
        <v>0</v>
      </c>
      <c r="AG7" s="103">
        <f>Private_Final!AP10</f>
        <v>0</v>
      </c>
      <c r="AH7" s="103">
        <f>Private_Final!AQ10</f>
        <v>0</v>
      </c>
      <c r="AI7" s="103">
        <f>Private_Final!AR10</f>
        <v>0</v>
      </c>
      <c r="AJ7" s="103">
        <f>Private_Final!AS10</f>
        <v>0</v>
      </c>
      <c r="AK7" s="103">
        <f>Private_Final!AT10</f>
        <v>0</v>
      </c>
      <c r="AL7" s="103">
        <f>Private_Final!AU10</f>
        <v>0</v>
      </c>
    </row>
  </sheetData>
  <phoneticPr fontId="3"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4" tint="-0.499984740745262"/>
  </sheetPr>
  <dimension ref="A1:AL7"/>
  <sheetViews>
    <sheetView workbookViewId="0">
      <pane xSplit="1" topLeftCell="B1" activePane="topRight" state="frozen"/>
      <selection activeCell="AJ11" sqref="AJ11"/>
      <selection pane="topRight" activeCell="F14" sqref="A1:XFD1048576"/>
    </sheetView>
  </sheetViews>
  <sheetFormatPr defaultColWidth="8.7109375" defaultRowHeight="15"/>
  <cols>
    <col min="1" max="1" width="19.7109375" style="103" bestFit="1" customWidth="1"/>
    <col min="2" max="16384" width="8.7109375" style="103"/>
  </cols>
  <sheetData>
    <row r="1" spans="1:38" s="60" customFormat="1">
      <c r="A1" s="60" t="str">
        <f>Private_Final!B31</f>
        <v>Year</v>
      </c>
      <c r="B1" s="60">
        <f>Private_Final!K31</f>
        <v>2014</v>
      </c>
      <c r="C1" s="60">
        <f>Private_Final!L31</f>
        <v>2015</v>
      </c>
      <c r="D1" s="60">
        <f>Private_Final!M31</f>
        <v>2016</v>
      </c>
      <c r="E1" s="60">
        <f>Private_Final!N31</f>
        <v>2017</v>
      </c>
      <c r="F1" s="60">
        <f>Private_Final!O31</f>
        <v>2018</v>
      </c>
      <c r="G1" s="60">
        <f>Private_Final!P31</f>
        <v>2019</v>
      </c>
      <c r="H1" s="60">
        <f>Private_Final!Q31</f>
        <v>2020</v>
      </c>
      <c r="I1" s="60">
        <f>Private_Final!R31</f>
        <v>2021</v>
      </c>
      <c r="J1" s="60">
        <f>Private_Final!S31</f>
        <v>2022</v>
      </c>
      <c r="K1" s="60">
        <f>Private_Final!T31</f>
        <v>2023</v>
      </c>
      <c r="L1" s="60">
        <f>Private_Final!U31</f>
        <v>2024</v>
      </c>
      <c r="M1" s="60">
        <f>Private_Final!V31</f>
        <v>2025</v>
      </c>
      <c r="N1" s="60">
        <f>Private_Final!W31</f>
        <v>2026</v>
      </c>
      <c r="O1" s="60">
        <f>Private_Final!X31</f>
        <v>2027</v>
      </c>
      <c r="P1" s="60">
        <f>Private_Final!Y31</f>
        <v>2028</v>
      </c>
      <c r="Q1" s="60">
        <f>Private_Final!Z31</f>
        <v>2029</v>
      </c>
      <c r="R1" s="60">
        <f>Private_Final!AA31</f>
        <v>2030</v>
      </c>
      <c r="S1" s="60">
        <f>Private_Final!AB31</f>
        <v>2031</v>
      </c>
      <c r="T1" s="60">
        <f>Private_Final!AC31</f>
        <v>2032</v>
      </c>
      <c r="U1" s="60">
        <f>Private_Final!AD31</f>
        <v>2033</v>
      </c>
      <c r="V1" s="60">
        <f>Private_Final!AE31</f>
        <v>2034</v>
      </c>
      <c r="W1" s="60">
        <f>Private_Final!AF31</f>
        <v>2035</v>
      </c>
      <c r="X1" s="60">
        <f>Private_Final!AG31</f>
        <v>2036</v>
      </c>
      <c r="Y1" s="60">
        <f>Private_Final!AH31</f>
        <v>2037</v>
      </c>
      <c r="Z1" s="60">
        <f>Private_Final!AI31</f>
        <v>2038</v>
      </c>
      <c r="AA1" s="60">
        <f>Private_Final!AJ31</f>
        <v>2039</v>
      </c>
      <c r="AB1" s="60">
        <f>Private_Final!AK31</f>
        <v>2040</v>
      </c>
      <c r="AC1" s="60">
        <f>Private_Final!AL31</f>
        <v>2041</v>
      </c>
      <c r="AD1" s="60">
        <f>Private_Final!AM31</f>
        <v>2042</v>
      </c>
      <c r="AE1" s="60">
        <f>Private_Final!AN31</f>
        <v>2043</v>
      </c>
      <c r="AF1" s="60">
        <f>Private_Final!AO31</f>
        <v>2044</v>
      </c>
      <c r="AG1" s="60">
        <f>Private_Final!AP31</f>
        <v>2045</v>
      </c>
      <c r="AH1" s="60">
        <f>Private_Final!AQ31</f>
        <v>2046</v>
      </c>
      <c r="AI1" s="60">
        <f>Private_Final!AR31</f>
        <v>2047</v>
      </c>
      <c r="AJ1" s="60">
        <f>Private_Final!AS31</f>
        <v>2048</v>
      </c>
      <c r="AK1" s="60">
        <f>Private_Final!AT31</f>
        <v>2049</v>
      </c>
      <c r="AL1" s="60">
        <f>Private_Final!AU31</f>
        <v>2050</v>
      </c>
    </row>
    <row r="2" spans="1:38" s="175" customFormat="1">
      <c r="A2" s="103" t="str">
        <f>Private_Final!B32</f>
        <v>electricity(BTU)</v>
      </c>
      <c r="B2" s="103">
        <f>Private_Final!K32</f>
        <v>8863064397335.9375</v>
      </c>
      <c r="C2" s="103">
        <f>Private_Final!L32</f>
        <v>8476266555735.8057</v>
      </c>
      <c r="D2" s="103">
        <f>Private_Final!M32</f>
        <v>8904354819781.1816</v>
      </c>
      <c r="E2" s="103">
        <f>Private_Final!N32</f>
        <v>8483823746508.6074</v>
      </c>
      <c r="F2" s="103">
        <f>Private_Final!O32</f>
        <v>8597508520272.3242</v>
      </c>
      <c r="G2" s="103">
        <f>Private_Final!P32</f>
        <v>8703059700763.1367</v>
      </c>
      <c r="H2" s="103">
        <f>Private_Final!Q32</f>
        <v>8813859270336.3262</v>
      </c>
      <c r="I2" s="103">
        <f>Private_Final!R32</f>
        <v>8919307333429.2598</v>
      </c>
      <c r="J2" s="103">
        <f>Private_Final!S32</f>
        <v>9024253206751.7246</v>
      </c>
      <c r="K2" s="103">
        <f>Private_Final!T32</f>
        <v>9127963081405.0488</v>
      </c>
      <c r="L2" s="103">
        <f>Private_Final!U32</f>
        <v>9226711037280.7754</v>
      </c>
      <c r="M2" s="103">
        <f>Private_Final!V32</f>
        <v>9322798749856.084</v>
      </c>
      <c r="N2" s="103">
        <f>Private_Final!W32</f>
        <v>9414847159587.9023</v>
      </c>
      <c r="O2" s="103">
        <f>Private_Final!X32</f>
        <v>9504835766293.207</v>
      </c>
      <c r="P2" s="103">
        <f>Private_Final!Y32</f>
        <v>9596730605401.9883</v>
      </c>
      <c r="Q2" s="103">
        <f>Private_Final!Z32</f>
        <v>9688714914651.8379</v>
      </c>
      <c r="R2" s="103">
        <f>Private_Final!AA32</f>
        <v>9778688939815.4922</v>
      </c>
      <c r="S2" s="103">
        <f>Private_Final!AB32</f>
        <v>9867965970580.9023</v>
      </c>
      <c r="T2" s="103">
        <f>Private_Final!AC32</f>
        <v>9956894018010.7441</v>
      </c>
      <c r="U2" s="103">
        <f>Private_Final!AD32</f>
        <v>10046451454358.389</v>
      </c>
      <c r="V2" s="103">
        <f>Private_Final!AE32</f>
        <v>10134128747685.201</v>
      </c>
      <c r="W2" s="103">
        <f>Private_Final!AF32</f>
        <v>10218121898486.037</v>
      </c>
      <c r="X2" s="103">
        <f>Private_Final!AG32</f>
        <v>10299248551708.984</v>
      </c>
      <c r="Y2" s="103">
        <f>Private_Final!AH32</f>
        <v>10377199367730.084</v>
      </c>
      <c r="Z2" s="103">
        <f>Private_Final!AI32</f>
        <v>10451148931458.295</v>
      </c>
      <c r="AA2" s="103">
        <f>Private_Final!AJ32</f>
        <v>10519743475853.893</v>
      </c>
      <c r="AB2" s="103">
        <f>Private_Final!AK32</f>
        <v>10584054830440.205</v>
      </c>
      <c r="AC2" s="103">
        <f>Private_Final!AL32</f>
        <v>10643233221477.318</v>
      </c>
      <c r="AD2" s="103">
        <f>Private_Final!AM32</f>
        <v>10697846211679.564</v>
      </c>
      <c r="AE2" s="103">
        <f>Private_Final!AN32</f>
        <v>10749912433217.471</v>
      </c>
      <c r="AF2" s="103">
        <f>Private_Final!AO32</f>
        <v>10798861359151.771</v>
      </c>
      <c r="AG2" s="103">
        <f>Private_Final!AP32</f>
        <v>10843716592052.061</v>
      </c>
      <c r="AH2" s="103">
        <f>Private_Final!AQ32</f>
        <v>10884943619379.672</v>
      </c>
      <c r="AI2" s="103">
        <f>Private_Final!AR32</f>
        <v>10921152446139.344</v>
      </c>
      <c r="AJ2" s="103">
        <f>Private_Final!AS32</f>
        <v>10954408733669.672</v>
      </c>
      <c r="AK2" s="103">
        <f>Private_Final!AT32</f>
        <v>10983455937702.781</v>
      </c>
      <c r="AL2" s="103">
        <f>Private_Final!AU32</f>
        <v>11008501401820.369</v>
      </c>
    </row>
    <row r="3" spans="1:38" s="175" customFormat="1">
      <c r="A3" s="103" t="str">
        <f>Private_Final!B33</f>
        <v>coal(BTU)</v>
      </c>
      <c r="B3" s="103">
        <f>Private_Final!K33</f>
        <v>0</v>
      </c>
      <c r="C3" s="103">
        <f>Private_Final!L33</f>
        <v>0</v>
      </c>
      <c r="D3" s="103">
        <f>Private_Final!M33</f>
        <v>0</v>
      </c>
      <c r="E3" s="103">
        <f>Private_Final!N33</f>
        <v>0</v>
      </c>
      <c r="F3" s="103">
        <f>Private_Final!O33</f>
        <v>0</v>
      </c>
      <c r="G3" s="103">
        <f>Private_Final!P33</f>
        <v>0</v>
      </c>
      <c r="H3" s="103">
        <f>Private_Final!Q33</f>
        <v>0</v>
      </c>
      <c r="I3" s="103">
        <f>Private_Final!R33</f>
        <v>0</v>
      </c>
      <c r="J3" s="103">
        <f>Private_Final!S33</f>
        <v>0</v>
      </c>
      <c r="K3" s="103">
        <f>Private_Final!T33</f>
        <v>0</v>
      </c>
      <c r="L3" s="103">
        <f>Private_Final!U33</f>
        <v>0</v>
      </c>
      <c r="M3" s="103">
        <f>Private_Final!V33</f>
        <v>0</v>
      </c>
      <c r="N3" s="103">
        <f>Private_Final!W33</f>
        <v>0</v>
      </c>
      <c r="O3" s="103">
        <f>Private_Final!X33</f>
        <v>0</v>
      </c>
      <c r="P3" s="103">
        <f>Private_Final!Y33</f>
        <v>0</v>
      </c>
      <c r="Q3" s="103">
        <f>Private_Final!Z33</f>
        <v>0</v>
      </c>
      <c r="R3" s="103">
        <f>Private_Final!AA33</f>
        <v>0</v>
      </c>
      <c r="S3" s="103">
        <f>Private_Final!AB33</f>
        <v>0</v>
      </c>
      <c r="T3" s="103">
        <f>Private_Final!AC33</f>
        <v>0</v>
      </c>
      <c r="U3" s="103">
        <f>Private_Final!AD33</f>
        <v>0</v>
      </c>
      <c r="V3" s="103">
        <f>Private_Final!AE33</f>
        <v>0</v>
      </c>
      <c r="W3" s="103">
        <f>Private_Final!AF33</f>
        <v>0</v>
      </c>
      <c r="X3" s="103">
        <f>Private_Final!AG33</f>
        <v>0</v>
      </c>
      <c r="Y3" s="103">
        <f>Private_Final!AH33</f>
        <v>0</v>
      </c>
      <c r="Z3" s="103">
        <f>Private_Final!AI33</f>
        <v>0</v>
      </c>
      <c r="AA3" s="103">
        <f>Private_Final!AJ33</f>
        <v>0</v>
      </c>
      <c r="AB3" s="103">
        <f>Private_Final!AK33</f>
        <v>0</v>
      </c>
      <c r="AC3" s="103">
        <f>Private_Final!AL33</f>
        <v>0</v>
      </c>
      <c r="AD3" s="103">
        <f>Private_Final!AM33</f>
        <v>0</v>
      </c>
      <c r="AE3" s="103">
        <f>Private_Final!AN33</f>
        <v>0</v>
      </c>
      <c r="AF3" s="103">
        <f>Private_Final!AO33</f>
        <v>0</v>
      </c>
      <c r="AG3" s="103">
        <f>Private_Final!AP33</f>
        <v>0</v>
      </c>
      <c r="AH3" s="103">
        <f>Private_Final!AQ33</f>
        <v>0</v>
      </c>
      <c r="AI3" s="103">
        <f>Private_Final!AR33</f>
        <v>0</v>
      </c>
      <c r="AJ3" s="103">
        <f>Private_Final!AS33</f>
        <v>0</v>
      </c>
      <c r="AK3" s="103">
        <f>Private_Final!AT33</f>
        <v>0</v>
      </c>
      <c r="AL3" s="103">
        <f>Private_Final!AU33</f>
        <v>0</v>
      </c>
    </row>
    <row r="4" spans="1:38" s="175" customFormat="1">
      <c r="A4" s="103" t="str">
        <f>Private_Final!B34</f>
        <v>natural gas(BTU)</v>
      </c>
      <c r="B4" s="103">
        <f>Private_Final!K34</f>
        <v>8665594147072.1289</v>
      </c>
      <c r="C4" s="103">
        <f>Private_Final!L34</f>
        <v>8280305625496.6895</v>
      </c>
      <c r="D4" s="103">
        <f>Private_Final!M34</f>
        <v>8608770085646.9375</v>
      </c>
      <c r="E4" s="103">
        <f>Private_Final!N34</f>
        <v>8588917867231.9063</v>
      </c>
      <c r="F4" s="103">
        <f>Private_Final!O34</f>
        <v>8571012752199.4551</v>
      </c>
      <c r="G4" s="103">
        <f>Private_Final!P34</f>
        <v>8541895862033.6455</v>
      </c>
      <c r="H4" s="103">
        <f>Private_Final!Q34</f>
        <v>8514881452575.1143</v>
      </c>
      <c r="I4" s="103">
        <f>Private_Final!R34</f>
        <v>8479659615534.0605</v>
      </c>
      <c r="J4" s="103">
        <f>Private_Final!S34</f>
        <v>8441022482331.2256</v>
      </c>
      <c r="K4" s="103">
        <f>Private_Final!T34</f>
        <v>8398327376080.0293</v>
      </c>
      <c r="L4" s="103">
        <f>Private_Final!U34</f>
        <v>8348269066278.9092</v>
      </c>
      <c r="M4" s="103">
        <f>Private_Final!V34</f>
        <v>8293131041474.2246</v>
      </c>
      <c r="N4" s="103">
        <f>Private_Final!W34</f>
        <v>8231837539730.6455</v>
      </c>
      <c r="O4" s="103">
        <f>Private_Final!X34</f>
        <v>8166281534511.7627</v>
      </c>
      <c r="P4" s="103">
        <f>Private_Final!Y34</f>
        <v>8099911974313.8252</v>
      </c>
      <c r="Q4" s="103">
        <f>Private_Final!Z34</f>
        <v>8031144194800.7822</v>
      </c>
      <c r="R4" s="103">
        <f>Private_Final!AA34</f>
        <v>7958273134257.8574</v>
      </c>
      <c r="S4" s="103">
        <f>Private_Final!AB34</f>
        <v>7882446405512.2539</v>
      </c>
      <c r="T4" s="103">
        <f>Private_Final!AC34</f>
        <v>7803975765171.1895</v>
      </c>
      <c r="U4" s="103">
        <f>Private_Final!AD34</f>
        <v>7723636564462.3662</v>
      </c>
      <c r="V4" s="103">
        <f>Private_Final!AE34</f>
        <v>7639516218955.1924</v>
      </c>
      <c r="W4" s="103">
        <f>Private_Final!AF34</f>
        <v>7550373338395.8711</v>
      </c>
      <c r="X4" s="103">
        <f>Private_Final!AG34</f>
        <v>7456971738776.3018</v>
      </c>
      <c r="Y4" s="103">
        <f>Private_Final!AH34</f>
        <v>7359226693599.3535</v>
      </c>
      <c r="Z4" s="103">
        <f>Private_Final!AI34</f>
        <v>7256712922506.8066</v>
      </c>
      <c r="AA4" s="103">
        <f>Private_Final!AJ34</f>
        <v>7148694334110.209</v>
      </c>
      <c r="AB4" s="103">
        <f>Private_Final!AK34</f>
        <v>7036126520629.5283</v>
      </c>
      <c r="AC4" s="103">
        <f>Private_Final!AL34</f>
        <v>6918651747517.2451</v>
      </c>
      <c r="AD4" s="103">
        <f>Private_Final!AM34</f>
        <v>6796861946713.0811</v>
      </c>
      <c r="AE4" s="103">
        <f>Private_Final!AN34</f>
        <v>6672215418952.9121</v>
      </c>
      <c r="AF4" s="103">
        <f>Private_Final!AO34</f>
        <v>6544482263398.7168</v>
      </c>
      <c r="AG4" s="103">
        <f>Private_Final!AP34</f>
        <v>6413225399937.7324</v>
      </c>
      <c r="AH4" s="103">
        <f>Private_Final!AQ34</f>
        <v>6278895851477.4258</v>
      </c>
      <c r="AI4" s="103">
        <f>Private_Final!AR34</f>
        <v>6140873467420.1006</v>
      </c>
      <c r="AJ4" s="103">
        <f>Private_Final!AS34</f>
        <v>6000511069310.7559</v>
      </c>
      <c r="AK4" s="103">
        <f>Private_Final!AT34</f>
        <v>5857269163424.0479</v>
      </c>
      <c r="AL4" s="103">
        <f>Private_Final!AU34</f>
        <v>5711439890095.0762</v>
      </c>
    </row>
    <row r="5" spans="1:38" s="175" customFormat="1">
      <c r="A5" s="103" t="str">
        <f>Private_Final!B35</f>
        <v>petroleum diesel (BTU)</v>
      </c>
      <c r="B5" s="103">
        <f>Private_Final!K35</f>
        <v>0</v>
      </c>
      <c r="C5" s="103">
        <f>Private_Final!L35</f>
        <v>0</v>
      </c>
      <c r="D5" s="103">
        <f>Private_Final!M35</f>
        <v>0</v>
      </c>
      <c r="E5" s="103">
        <f>Private_Final!N35</f>
        <v>0</v>
      </c>
      <c r="F5" s="103">
        <f>Private_Final!O35</f>
        <v>0</v>
      </c>
      <c r="G5" s="103">
        <f>Private_Final!P35</f>
        <v>0</v>
      </c>
      <c r="H5" s="103">
        <f>Private_Final!Q35</f>
        <v>0</v>
      </c>
      <c r="I5" s="103">
        <f>Private_Final!R35</f>
        <v>0</v>
      </c>
      <c r="J5" s="103">
        <f>Private_Final!S35</f>
        <v>0</v>
      </c>
      <c r="K5" s="103">
        <f>Private_Final!T35</f>
        <v>0</v>
      </c>
      <c r="L5" s="103">
        <f>Private_Final!U35</f>
        <v>0</v>
      </c>
      <c r="M5" s="103">
        <f>Private_Final!V35</f>
        <v>0</v>
      </c>
      <c r="N5" s="103">
        <f>Private_Final!W35</f>
        <v>0</v>
      </c>
      <c r="O5" s="103">
        <f>Private_Final!X35</f>
        <v>0</v>
      </c>
      <c r="P5" s="103">
        <f>Private_Final!Y35</f>
        <v>0</v>
      </c>
      <c r="Q5" s="103">
        <f>Private_Final!Z35</f>
        <v>0</v>
      </c>
      <c r="R5" s="103">
        <f>Private_Final!AA35</f>
        <v>0</v>
      </c>
      <c r="S5" s="103">
        <f>Private_Final!AB35</f>
        <v>0</v>
      </c>
      <c r="T5" s="103">
        <f>Private_Final!AC35</f>
        <v>0</v>
      </c>
      <c r="U5" s="103">
        <f>Private_Final!AD35</f>
        <v>0</v>
      </c>
      <c r="V5" s="103">
        <f>Private_Final!AE35</f>
        <v>0</v>
      </c>
      <c r="W5" s="103">
        <f>Private_Final!AF35</f>
        <v>0</v>
      </c>
      <c r="X5" s="103">
        <f>Private_Final!AG35</f>
        <v>0</v>
      </c>
      <c r="Y5" s="103">
        <f>Private_Final!AH35</f>
        <v>0</v>
      </c>
      <c r="Z5" s="103">
        <f>Private_Final!AI35</f>
        <v>0</v>
      </c>
      <c r="AA5" s="103">
        <f>Private_Final!AJ35</f>
        <v>0</v>
      </c>
      <c r="AB5" s="103">
        <f>Private_Final!AK35</f>
        <v>0</v>
      </c>
      <c r="AC5" s="103">
        <f>Private_Final!AL35</f>
        <v>0</v>
      </c>
      <c r="AD5" s="103">
        <f>Private_Final!AM35</f>
        <v>0</v>
      </c>
      <c r="AE5" s="103">
        <f>Private_Final!AN35</f>
        <v>0</v>
      </c>
      <c r="AF5" s="103">
        <f>Private_Final!AO35</f>
        <v>0</v>
      </c>
      <c r="AG5" s="103">
        <f>Private_Final!AP35</f>
        <v>0</v>
      </c>
      <c r="AH5" s="103">
        <f>Private_Final!AQ35</f>
        <v>0</v>
      </c>
      <c r="AI5" s="103">
        <f>Private_Final!AR35</f>
        <v>0</v>
      </c>
      <c r="AJ5" s="103">
        <f>Private_Final!AS35</f>
        <v>0</v>
      </c>
      <c r="AK5" s="103">
        <f>Private_Final!AT35</f>
        <v>0</v>
      </c>
      <c r="AL5" s="103">
        <f>Private_Final!AU35</f>
        <v>0</v>
      </c>
    </row>
    <row r="6" spans="1:38">
      <c r="A6" s="103" t="str">
        <f>Private_Final!B36</f>
        <v>heat (BTU)</v>
      </c>
      <c r="B6" s="103">
        <f>Private_Final!K36</f>
        <v>0</v>
      </c>
      <c r="C6" s="103">
        <f>Private_Final!L36</f>
        <v>0</v>
      </c>
      <c r="D6" s="103">
        <f>Private_Final!M36</f>
        <v>0</v>
      </c>
      <c r="E6" s="103">
        <f>Private_Final!N36</f>
        <v>0</v>
      </c>
      <c r="F6" s="103">
        <f>Private_Final!O36</f>
        <v>0</v>
      </c>
      <c r="G6" s="103">
        <f>Private_Final!P36</f>
        <v>0</v>
      </c>
      <c r="H6" s="103">
        <f>Private_Final!Q36</f>
        <v>0</v>
      </c>
      <c r="I6" s="103">
        <f>Private_Final!R36</f>
        <v>0</v>
      </c>
      <c r="J6" s="103">
        <f>Private_Final!S36</f>
        <v>0</v>
      </c>
      <c r="K6" s="103">
        <f>Private_Final!T36</f>
        <v>0</v>
      </c>
      <c r="L6" s="103">
        <f>Private_Final!U36</f>
        <v>0</v>
      </c>
      <c r="M6" s="103">
        <f>Private_Final!V36</f>
        <v>0</v>
      </c>
      <c r="N6" s="103">
        <f>Private_Final!W36</f>
        <v>0</v>
      </c>
      <c r="O6" s="103">
        <f>Private_Final!X36</f>
        <v>0</v>
      </c>
      <c r="P6" s="103">
        <f>Private_Final!Y36</f>
        <v>0</v>
      </c>
      <c r="Q6" s="103">
        <f>Private_Final!Z36</f>
        <v>0</v>
      </c>
      <c r="R6" s="103">
        <f>Private_Final!AA36</f>
        <v>0</v>
      </c>
      <c r="S6" s="103">
        <f>Private_Final!AB36</f>
        <v>0</v>
      </c>
      <c r="T6" s="103">
        <f>Private_Final!AC36</f>
        <v>0</v>
      </c>
      <c r="U6" s="103">
        <f>Private_Final!AD36</f>
        <v>0</v>
      </c>
      <c r="V6" s="103">
        <f>Private_Final!AE36</f>
        <v>0</v>
      </c>
      <c r="W6" s="103">
        <f>Private_Final!AF36</f>
        <v>0</v>
      </c>
      <c r="X6" s="103">
        <f>Private_Final!AG36</f>
        <v>0</v>
      </c>
      <c r="Y6" s="103">
        <f>Private_Final!AH36</f>
        <v>0</v>
      </c>
      <c r="Z6" s="103">
        <f>Private_Final!AI36</f>
        <v>0</v>
      </c>
      <c r="AA6" s="103">
        <f>Private_Final!AJ36</f>
        <v>0</v>
      </c>
      <c r="AB6" s="103">
        <f>Private_Final!AK36</f>
        <v>0</v>
      </c>
      <c r="AC6" s="103">
        <f>Private_Final!AL36</f>
        <v>0</v>
      </c>
      <c r="AD6" s="103">
        <f>Private_Final!AM36</f>
        <v>0</v>
      </c>
      <c r="AE6" s="103">
        <f>Private_Final!AN36</f>
        <v>0</v>
      </c>
      <c r="AF6" s="103">
        <f>Private_Final!AO36</f>
        <v>0</v>
      </c>
      <c r="AG6" s="103">
        <f>Private_Final!AP36</f>
        <v>0</v>
      </c>
      <c r="AH6" s="103">
        <f>Private_Final!AQ36</f>
        <v>0</v>
      </c>
      <c r="AI6" s="103">
        <f>Private_Final!AR36</f>
        <v>0</v>
      </c>
      <c r="AJ6" s="103">
        <f>Private_Final!AS36</f>
        <v>0</v>
      </c>
      <c r="AK6" s="103">
        <f>Private_Final!AT36</f>
        <v>0</v>
      </c>
      <c r="AL6" s="103">
        <f>Private_Final!AU36</f>
        <v>0</v>
      </c>
    </row>
    <row r="7" spans="1:38">
      <c r="A7" s="103" t="str">
        <f>Private_Final!B37</f>
        <v>biomass (BTU)</v>
      </c>
      <c r="B7" s="103">
        <f>Private_Final!K37</f>
        <v>0</v>
      </c>
      <c r="C7" s="103">
        <f>Private_Final!L37</f>
        <v>0</v>
      </c>
      <c r="D7" s="103">
        <f>Private_Final!M37</f>
        <v>0</v>
      </c>
      <c r="E7" s="103">
        <f>Private_Final!N37</f>
        <v>0</v>
      </c>
      <c r="F7" s="103">
        <f>Private_Final!O37</f>
        <v>0</v>
      </c>
      <c r="G7" s="103">
        <f>Private_Final!P37</f>
        <v>0</v>
      </c>
      <c r="H7" s="103">
        <f>Private_Final!Q37</f>
        <v>0</v>
      </c>
      <c r="I7" s="103">
        <f>Private_Final!R37</f>
        <v>0</v>
      </c>
      <c r="J7" s="103">
        <f>Private_Final!S37</f>
        <v>0</v>
      </c>
      <c r="K7" s="103">
        <f>Private_Final!T37</f>
        <v>0</v>
      </c>
      <c r="L7" s="103">
        <f>Private_Final!U37</f>
        <v>0</v>
      </c>
      <c r="M7" s="103">
        <f>Private_Final!V37</f>
        <v>0</v>
      </c>
      <c r="N7" s="103">
        <f>Private_Final!W37</f>
        <v>0</v>
      </c>
      <c r="O7" s="103">
        <f>Private_Final!X37</f>
        <v>0</v>
      </c>
      <c r="P7" s="103">
        <f>Private_Final!Y37</f>
        <v>0</v>
      </c>
      <c r="Q7" s="103">
        <f>Private_Final!Z37</f>
        <v>0</v>
      </c>
      <c r="R7" s="103">
        <f>Private_Final!AA37</f>
        <v>0</v>
      </c>
      <c r="S7" s="103">
        <f>Private_Final!AB37</f>
        <v>0</v>
      </c>
      <c r="T7" s="103">
        <f>Private_Final!AC37</f>
        <v>0</v>
      </c>
      <c r="U7" s="103">
        <f>Private_Final!AD37</f>
        <v>0</v>
      </c>
      <c r="V7" s="103">
        <f>Private_Final!AE37</f>
        <v>0</v>
      </c>
      <c r="W7" s="103">
        <f>Private_Final!AF37</f>
        <v>0</v>
      </c>
      <c r="X7" s="103">
        <f>Private_Final!AG37</f>
        <v>0</v>
      </c>
      <c r="Y7" s="103">
        <f>Private_Final!AH37</f>
        <v>0</v>
      </c>
      <c r="Z7" s="103">
        <f>Private_Final!AI37</f>
        <v>0</v>
      </c>
      <c r="AA7" s="103">
        <f>Private_Final!AJ37</f>
        <v>0</v>
      </c>
      <c r="AB7" s="103">
        <f>Private_Final!AK37</f>
        <v>0</v>
      </c>
      <c r="AC7" s="103">
        <f>Private_Final!AL37</f>
        <v>0</v>
      </c>
      <c r="AD7" s="103">
        <f>Private_Final!AM37</f>
        <v>0</v>
      </c>
      <c r="AE7" s="103">
        <f>Private_Final!AN37</f>
        <v>0</v>
      </c>
      <c r="AF7" s="103">
        <f>Private_Final!AO37</f>
        <v>0</v>
      </c>
      <c r="AG7" s="103">
        <f>Private_Final!AP37</f>
        <v>0</v>
      </c>
      <c r="AH7" s="103">
        <f>Private_Final!AQ37</f>
        <v>0</v>
      </c>
      <c r="AI7" s="103">
        <f>Private_Final!AR37</f>
        <v>0</v>
      </c>
      <c r="AJ7" s="103">
        <f>Private_Final!AS37</f>
        <v>0</v>
      </c>
      <c r="AK7" s="103">
        <f>Private_Final!AT37</f>
        <v>0</v>
      </c>
      <c r="AL7" s="103">
        <f>Private_Final!AU37</f>
        <v>0</v>
      </c>
    </row>
  </sheetData>
  <phoneticPr fontId="3"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4" tint="-0.499984740745262"/>
  </sheetPr>
  <dimension ref="A1:AL7"/>
  <sheetViews>
    <sheetView zoomScale="97" workbookViewId="0">
      <pane xSplit="1" topLeftCell="B1" activePane="topRight" state="frozen"/>
      <selection activeCell="AJ11" sqref="AJ11"/>
      <selection pane="topRight" activeCell="H12" sqref="A1:XFD1048576"/>
    </sheetView>
  </sheetViews>
  <sheetFormatPr defaultColWidth="8.7109375" defaultRowHeight="15"/>
  <cols>
    <col min="1" max="1" width="19.7109375" style="103" bestFit="1" customWidth="1"/>
    <col min="2" max="16384" width="8.7109375" style="103"/>
  </cols>
  <sheetData>
    <row r="1" spans="1:38" s="60" customFormat="1">
      <c r="A1" s="60" t="str">
        <f>Private_Final!B40</f>
        <v>Year</v>
      </c>
      <c r="B1" s="60">
        <f>Private_Final!K40</f>
        <v>2014</v>
      </c>
      <c r="C1" s="60">
        <f>Private_Final!L40</f>
        <v>2015</v>
      </c>
      <c r="D1" s="60">
        <f>Private_Final!M40</f>
        <v>2016</v>
      </c>
      <c r="E1" s="60">
        <f>Private_Final!N40</f>
        <v>2017</v>
      </c>
      <c r="F1" s="60">
        <f>Private_Final!O40</f>
        <v>2018</v>
      </c>
      <c r="G1" s="60">
        <f>Private_Final!P40</f>
        <v>2019</v>
      </c>
      <c r="H1" s="60">
        <f>Private_Final!Q40</f>
        <v>2020</v>
      </c>
      <c r="I1" s="60">
        <f>Private_Final!R40</f>
        <v>2021</v>
      </c>
      <c r="J1" s="60">
        <f>Private_Final!S40</f>
        <v>2022</v>
      </c>
      <c r="K1" s="60">
        <f>Private_Final!T40</f>
        <v>2023</v>
      </c>
      <c r="L1" s="60">
        <f>Private_Final!U40</f>
        <v>2024</v>
      </c>
      <c r="M1" s="60">
        <f>Private_Final!V40</f>
        <v>2025</v>
      </c>
      <c r="N1" s="60">
        <f>Private_Final!W40</f>
        <v>2026</v>
      </c>
      <c r="O1" s="60">
        <f>Private_Final!X40</f>
        <v>2027</v>
      </c>
      <c r="P1" s="60">
        <f>Private_Final!Y40</f>
        <v>2028</v>
      </c>
      <c r="Q1" s="60">
        <f>Private_Final!Z40</f>
        <v>2029</v>
      </c>
      <c r="R1" s="60">
        <f>Private_Final!AA40</f>
        <v>2030</v>
      </c>
      <c r="S1" s="60">
        <f>Private_Final!AB40</f>
        <v>2031</v>
      </c>
      <c r="T1" s="60">
        <f>Private_Final!AC40</f>
        <v>2032</v>
      </c>
      <c r="U1" s="60">
        <f>Private_Final!AD40</f>
        <v>2033</v>
      </c>
      <c r="V1" s="60">
        <f>Private_Final!AE40</f>
        <v>2034</v>
      </c>
      <c r="W1" s="60">
        <f>Private_Final!AF40</f>
        <v>2035</v>
      </c>
      <c r="X1" s="60">
        <f>Private_Final!AG40</f>
        <v>2036</v>
      </c>
      <c r="Y1" s="60">
        <f>Private_Final!AH40</f>
        <v>2037</v>
      </c>
      <c r="Z1" s="60">
        <f>Private_Final!AI40</f>
        <v>2038</v>
      </c>
      <c r="AA1" s="60">
        <f>Private_Final!AJ40</f>
        <v>2039</v>
      </c>
      <c r="AB1" s="60">
        <f>Private_Final!AK40</f>
        <v>2040</v>
      </c>
      <c r="AC1" s="60">
        <f>Private_Final!AL40</f>
        <v>2041</v>
      </c>
      <c r="AD1" s="60">
        <f>Private_Final!AM40</f>
        <v>2042</v>
      </c>
      <c r="AE1" s="60">
        <f>Private_Final!AN40</f>
        <v>2043</v>
      </c>
      <c r="AF1" s="60">
        <f>Private_Final!AO40</f>
        <v>2044</v>
      </c>
      <c r="AG1" s="60">
        <f>Private_Final!AP40</f>
        <v>2045</v>
      </c>
      <c r="AH1" s="60">
        <f>Private_Final!AQ40</f>
        <v>2046</v>
      </c>
      <c r="AI1" s="60">
        <f>Private_Final!AR40</f>
        <v>2047</v>
      </c>
      <c r="AJ1" s="60">
        <f>Private_Final!AS40</f>
        <v>2048</v>
      </c>
      <c r="AK1" s="60">
        <f>Private_Final!AT40</f>
        <v>2049</v>
      </c>
      <c r="AL1" s="60">
        <f>Private_Final!AU40</f>
        <v>2050</v>
      </c>
    </row>
    <row r="2" spans="1:38" s="175" customFormat="1">
      <c r="A2" s="103" t="str">
        <f>Private_Final!B41</f>
        <v>electricity(BTU)</v>
      </c>
      <c r="B2" s="103">
        <f>Private_Final!K41</f>
        <v>1923278688997.4248</v>
      </c>
      <c r="C2" s="103">
        <f>Private_Final!L41</f>
        <v>1831568586906.1414</v>
      </c>
      <c r="D2" s="103">
        <f>Private_Final!M41</f>
        <v>1943453500568.9275</v>
      </c>
      <c r="E2" s="103">
        <f>Private_Final!N41</f>
        <v>2100735374183.9329</v>
      </c>
      <c r="F2" s="103">
        <f>Private_Final!O41</f>
        <v>2137880630243.282</v>
      </c>
      <c r="G2" s="103">
        <f>Private_Final!P41</f>
        <v>2173213245097.6921</v>
      </c>
      <c r="H2" s="103">
        <f>Private_Final!Q41</f>
        <v>2210062611404.2798</v>
      </c>
      <c r="I2" s="103">
        <f>Private_Final!R41</f>
        <v>2245775526066.2422</v>
      </c>
      <c r="J2" s="103">
        <f>Private_Final!S41</f>
        <v>2281560690655.0581</v>
      </c>
      <c r="K2" s="103">
        <f>Private_Final!T41</f>
        <v>2317229623633.9692</v>
      </c>
      <c r="L2" s="103">
        <f>Private_Final!U41</f>
        <v>2351828151468.7354</v>
      </c>
      <c r="M2" s="103">
        <f>Private_Final!V41</f>
        <v>2385929365544.2134</v>
      </c>
      <c r="N2" s="103">
        <f>Private_Final!W41</f>
        <v>2419170119648.1011</v>
      </c>
      <c r="O2" s="103">
        <f>Private_Final!X41</f>
        <v>2452048081189.2002</v>
      </c>
      <c r="P2" s="103">
        <f>Private_Final!Y41</f>
        <v>2485583601014.1138</v>
      </c>
      <c r="Q2" s="103">
        <f>Private_Final!Z41</f>
        <v>2519309599177.5884</v>
      </c>
      <c r="R2" s="103">
        <f>Private_Final!AA41</f>
        <v>2552677688434.4976</v>
      </c>
      <c r="S2" s="103">
        <f>Private_Final!AB41</f>
        <v>2586025366529.375</v>
      </c>
      <c r="T2" s="103">
        <f>Private_Final!AC41</f>
        <v>2619441550320.8721</v>
      </c>
      <c r="U2" s="103">
        <f>Private_Final!AD41</f>
        <v>2653183051535.667</v>
      </c>
      <c r="V2" s="103">
        <f>Private_Final!AE41</f>
        <v>2686585992815.1196</v>
      </c>
      <c r="W2" s="103">
        <f>Private_Final!AF41</f>
        <v>2719164111812.2188</v>
      </c>
      <c r="X2" s="103">
        <f>Private_Final!AG41</f>
        <v>2751124196591.9893</v>
      </c>
      <c r="Y2" s="103">
        <f>Private_Final!AH41</f>
        <v>2782374199183.5068</v>
      </c>
      <c r="Z2" s="103">
        <f>Private_Final!AI41</f>
        <v>2812681979409.9663</v>
      </c>
      <c r="AA2" s="103">
        <f>Private_Final!AJ41</f>
        <v>2841669412864.6035</v>
      </c>
      <c r="AB2" s="103">
        <f>Private_Final!AK41</f>
        <v>2869610661726.9536</v>
      </c>
      <c r="AC2" s="103">
        <f>Private_Final!AL41</f>
        <v>2896261318062.8838</v>
      </c>
      <c r="AD2" s="103">
        <f>Private_Final!AM41</f>
        <v>2921760747158.8564</v>
      </c>
      <c r="AE2" s="103">
        <f>Private_Final!AN41</f>
        <v>2946648383732.9468</v>
      </c>
      <c r="AF2" s="103">
        <f>Private_Final!AO41</f>
        <v>2970759440414.0103</v>
      </c>
      <c r="AG2" s="103">
        <f>Private_Final!AP41</f>
        <v>2993814851511.2822</v>
      </c>
      <c r="AH2" s="103">
        <f>Private_Final!AQ41</f>
        <v>3015931247699.9233</v>
      </c>
      <c r="AI2" s="103">
        <f>Private_Final!AR41</f>
        <v>3036711211999.7197</v>
      </c>
      <c r="AJ2" s="103">
        <f>Private_Final!AS41</f>
        <v>3056716178279.624</v>
      </c>
      <c r="AK2" s="103">
        <f>Private_Final!AT41</f>
        <v>3075585456566.772</v>
      </c>
      <c r="AL2" s="103">
        <f>Private_Final!AU41</f>
        <v>3093364827251.0674</v>
      </c>
    </row>
    <row r="3" spans="1:38" s="175" customFormat="1">
      <c r="A3" s="103" t="str">
        <f>Private_Final!B42</f>
        <v>coal(BTU)</v>
      </c>
      <c r="B3" s="103">
        <f>Private_Final!K42</f>
        <v>0</v>
      </c>
      <c r="C3" s="103">
        <f>Private_Final!L42</f>
        <v>0</v>
      </c>
      <c r="D3" s="103">
        <f>Private_Final!M42</f>
        <v>0</v>
      </c>
      <c r="E3" s="103">
        <f>Private_Final!N42</f>
        <v>0</v>
      </c>
      <c r="F3" s="103">
        <f>Private_Final!O42</f>
        <v>0</v>
      </c>
      <c r="G3" s="103">
        <f>Private_Final!P42</f>
        <v>0</v>
      </c>
      <c r="H3" s="103">
        <f>Private_Final!Q42</f>
        <v>0</v>
      </c>
      <c r="I3" s="103">
        <f>Private_Final!R42</f>
        <v>0</v>
      </c>
      <c r="J3" s="103">
        <f>Private_Final!S42</f>
        <v>0</v>
      </c>
      <c r="K3" s="103">
        <f>Private_Final!T42</f>
        <v>0</v>
      </c>
      <c r="L3" s="103">
        <f>Private_Final!U42</f>
        <v>0</v>
      </c>
      <c r="M3" s="103">
        <f>Private_Final!V42</f>
        <v>0</v>
      </c>
      <c r="N3" s="103">
        <f>Private_Final!W42</f>
        <v>0</v>
      </c>
      <c r="O3" s="103">
        <f>Private_Final!X42</f>
        <v>0</v>
      </c>
      <c r="P3" s="103">
        <f>Private_Final!Y42</f>
        <v>0</v>
      </c>
      <c r="Q3" s="103">
        <f>Private_Final!Z42</f>
        <v>0</v>
      </c>
      <c r="R3" s="103">
        <f>Private_Final!AA42</f>
        <v>0</v>
      </c>
      <c r="S3" s="103">
        <f>Private_Final!AB42</f>
        <v>0</v>
      </c>
      <c r="T3" s="103">
        <f>Private_Final!AC42</f>
        <v>0</v>
      </c>
      <c r="U3" s="103">
        <f>Private_Final!AD42</f>
        <v>0</v>
      </c>
      <c r="V3" s="103">
        <f>Private_Final!AE42</f>
        <v>0</v>
      </c>
      <c r="W3" s="103">
        <f>Private_Final!AF42</f>
        <v>0</v>
      </c>
      <c r="X3" s="103">
        <f>Private_Final!AG42</f>
        <v>0</v>
      </c>
      <c r="Y3" s="103">
        <f>Private_Final!AH42</f>
        <v>0</v>
      </c>
      <c r="Z3" s="103">
        <f>Private_Final!AI42</f>
        <v>0</v>
      </c>
      <c r="AA3" s="103">
        <f>Private_Final!AJ42</f>
        <v>0</v>
      </c>
      <c r="AB3" s="103">
        <f>Private_Final!AK42</f>
        <v>0</v>
      </c>
      <c r="AC3" s="103">
        <f>Private_Final!AL42</f>
        <v>0</v>
      </c>
      <c r="AD3" s="103">
        <f>Private_Final!AM42</f>
        <v>0</v>
      </c>
      <c r="AE3" s="103">
        <f>Private_Final!AN42</f>
        <v>0</v>
      </c>
      <c r="AF3" s="103">
        <f>Private_Final!AO42</f>
        <v>0</v>
      </c>
      <c r="AG3" s="103">
        <f>Private_Final!AP42</f>
        <v>0</v>
      </c>
      <c r="AH3" s="103">
        <f>Private_Final!AQ42</f>
        <v>0</v>
      </c>
      <c r="AI3" s="103">
        <f>Private_Final!AR42</f>
        <v>0</v>
      </c>
      <c r="AJ3" s="103">
        <f>Private_Final!AS42</f>
        <v>0</v>
      </c>
      <c r="AK3" s="103">
        <f>Private_Final!AT42</f>
        <v>0</v>
      </c>
      <c r="AL3" s="103">
        <f>Private_Final!AU42</f>
        <v>0</v>
      </c>
    </row>
    <row r="4" spans="1:38" s="175" customFormat="1">
      <c r="A4" s="103" t="str">
        <f>Private_Final!B43</f>
        <v>natural gas(BTU)</v>
      </c>
      <c r="B4" s="103">
        <f>Private_Final!K43</f>
        <v>1089052927.8713243</v>
      </c>
      <c r="C4" s="103">
        <f>Private_Final!L43</f>
        <v>1096874503.3112583</v>
      </c>
      <c r="D4" s="103">
        <f>Private_Final!M43</f>
        <v>1091237176.5302243</v>
      </c>
      <c r="E4" s="103">
        <f>Private_Final!N43</f>
        <v>544291373.08186996</v>
      </c>
      <c r="F4" s="103">
        <f>Private_Final!O43</f>
        <v>543156701.66029513</v>
      </c>
      <c r="G4" s="103">
        <f>Private_Final!P43</f>
        <v>541311524.84370387</v>
      </c>
      <c r="H4" s="103">
        <f>Private_Final!Q43</f>
        <v>539599585.08080578</v>
      </c>
      <c r="I4" s="103">
        <f>Private_Final!R43</f>
        <v>537367529.50152469</v>
      </c>
      <c r="J4" s="103">
        <f>Private_Final!S43</f>
        <v>534919041.97282803</v>
      </c>
      <c r="K4" s="103">
        <f>Private_Final!T43</f>
        <v>532213395.1888485</v>
      </c>
      <c r="L4" s="103">
        <f>Private_Final!U43</f>
        <v>529041132.21032369</v>
      </c>
      <c r="M4" s="103">
        <f>Private_Final!V43</f>
        <v>525546960.80318278</v>
      </c>
      <c r="N4" s="103">
        <f>Private_Final!W43</f>
        <v>521662708.4746924</v>
      </c>
      <c r="O4" s="103">
        <f>Private_Final!X43</f>
        <v>517508335.52039057</v>
      </c>
      <c r="P4" s="103">
        <f>Private_Final!Y43</f>
        <v>513302406.48376584</v>
      </c>
      <c r="Q4" s="103">
        <f>Private_Final!Z43</f>
        <v>508944499.03680497</v>
      </c>
      <c r="R4" s="103">
        <f>Private_Final!AA43</f>
        <v>504326561.10632807</v>
      </c>
      <c r="S4" s="103">
        <f>Private_Final!AB43</f>
        <v>499521318.47352695</v>
      </c>
      <c r="T4" s="103">
        <f>Private_Final!AC43</f>
        <v>494548527.57738847</v>
      </c>
      <c r="U4" s="103">
        <f>Private_Final!AD43</f>
        <v>489457323.47670263</v>
      </c>
      <c r="V4" s="103">
        <f>Private_Final!AE43</f>
        <v>484126503.10235697</v>
      </c>
      <c r="W4" s="103">
        <f>Private_Final!AF43</f>
        <v>478477397.87046081</v>
      </c>
      <c r="X4" s="103">
        <f>Private_Final!AG43</f>
        <v>472558411.83626759</v>
      </c>
      <c r="Y4" s="103">
        <f>Private_Final!AH43</f>
        <v>466364175.76675248</v>
      </c>
      <c r="Z4" s="103">
        <f>Private_Final!AI43</f>
        <v>459867739.06887245</v>
      </c>
      <c r="AA4" s="103">
        <f>Private_Final!AJ43</f>
        <v>453022454.63309312</v>
      </c>
      <c r="AB4" s="103">
        <f>Private_Final!AK43</f>
        <v>445888879.6343174</v>
      </c>
      <c r="AC4" s="103">
        <f>Private_Final!AL43</f>
        <v>438444343.94912833</v>
      </c>
      <c r="AD4" s="103">
        <f>Private_Final!AM43</f>
        <v>430726359.10729283</v>
      </c>
      <c r="AE4" s="103">
        <f>Private_Final!AN43</f>
        <v>422827339.60411358</v>
      </c>
      <c r="AF4" s="103">
        <f>Private_Final!AO43</f>
        <v>414732716.31170583</v>
      </c>
      <c r="AG4" s="103">
        <f>Private_Final!AP43</f>
        <v>406414790.87057871</v>
      </c>
      <c r="AH4" s="103">
        <f>Private_Final!AQ43</f>
        <v>397902145.21403211</v>
      </c>
      <c r="AI4" s="103">
        <f>Private_Final!AR43</f>
        <v>389155479.55767429</v>
      </c>
      <c r="AJ4" s="103">
        <f>Private_Final!AS43</f>
        <v>380260524.03743696</v>
      </c>
      <c r="AK4" s="103">
        <f>Private_Final!AT43</f>
        <v>371183090.20431232</v>
      </c>
      <c r="AL4" s="103">
        <f>Private_Final!AU43</f>
        <v>361941691.38752067</v>
      </c>
    </row>
    <row r="5" spans="1:38" s="175" customFormat="1">
      <c r="A5" s="103" t="str">
        <f>Private_Final!B44</f>
        <v>petroleum diesel (BTU)</v>
      </c>
      <c r="B5" s="103">
        <f>Private_Final!K44</f>
        <v>0</v>
      </c>
      <c r="C5" s="103">
        <f>Private_Final!L44</f>
        <v>0</v>
      </c>
      <c r="D5" s="103">
        <f>Private_Final!M44</f>
        <v>0</v>
      </c>
      <c r="E5" s="103">
        <f>Private_Final!N44</f>
        <v>0</v>
      </c>
      <c r="F5" s="103">
        <f>Private_Final!O44</f>
        <v>0</v>
      </c>
      <c r="G5" s="103">
        <f>Private_Final!P44</f>
        <v>0</v>
      </c>
      <c r="H5" s="103">
        <f>Private_Final!Q44</f>
        <v>0</v>
      </c>
      <c r="I5" s="103">
        <f>Private_Final!R44</f>
        <v>0</v>
      </c>
      <c r="J5" s="103">
        <f>Private_Final!S44</f>
        <v>0</v>
      </c>
      <c r="K5" s="103">
        <f>Private_Final!T44</f>
        <v>0</v>
      </c>
      <c r="L5" s="103">
        <f>Private_Final!U44</f>
        <v>0</v>
      </c>
      <c r="M5" s="103">
        <f>Private_Final!V44</f>
        <v>0</v>
      </c>
      <c r="N5" s="103">
        <f>Private_Final!W44</f>
        <v>0</v>
      </c>
      <c r="O5" s="103">
        <f>Private_Final!X44</f>
        <v>0</v>
      </c>
      <c r="P5" s="103">
        <f>Private_Final!Y44</f>
        <v>0</v>
      </c>
      <c r="Q5" s="103">
        <f>Private_Final!Z44</f>
        <v>0</v>
      </c>
      <c r="R5" s="103">
        <f>Private_Final!AA44</f>
        <v>0</v>
      </c>
      <c r="S5" s="103">
        <f>Private_Final!AB44</f>
        <v>0</v>
      </c>
      <c r="T5" s="103">
        <f>Private_Final!AC44</f>
        <v>0</v>
      </c>
      <c r="U5" s="103">
        <f>Private_Final!AD44</f>
        <v>0</v>
      </c>
      <c r="V5" s="103">
        <f>Private_Final!AE44</f>
        <v>0</v>
      </c>
      <c r="W5" s="103">
        <f>Private_Final!AF44</f>
        <v>0</v>
      </c>
      <c r="X5" s="103">
        <f>Private_Final!AG44</f>
        <v>0</v>
      </c>
      <c r="Y5" s="103">
        <f>Private_Final!AH44</f>
        <v>0</v>
      </c>
      <c r="Z5" s="103">
        <f>Private_Final!AI44</f>
        <v>0</v>
      </c>
      <c r="AA5" s="103">
        <f>Private_Final!AJ44</f>
        <v>0</v>
      </c>
      <c r="AB5" s="103">
        <f>Private_Final!AK44</f>
        <v>0</v>
      </c>
      <c r="AC5" s="103">
        <f>Private_Final!AL44</f>
        <v>0</v>
      </c>
      <c r="AD5" s="103">
        <f>Private_Final!AM44</f>
        <v>0</v>
      </c>
      <c r="AE5" s="103">
        <f>Private_Final!AN44</f>
        <v>0</v>
      </c>
      <c r="AF5" s="103">
        <f>Private_Final!AO44</f>
        <v>0</v>
      </c>
      <c r="AG5" s="103">
        <f>Private_Final!AP44</f>
        <v>0</v>
      </c>
      <c r="AH5" s="103">
        <f>Private_Final!AQ44</f>
        <v>0</v>
      </c>
      <c r="AI5" s="103">
        <f>Private_Final!AR44</f>
        <v>0</v>
      </c>
      <c r="AJ5" s="103">
        <f>Private_Final!AS44</f>
        <v>0</v>
      </c>
      <c r="AK5" s="103">
        <f>Private_Final!AT44</f>
        <v>0</v>
      </c>
      <c r="AL5" s="103">
        <f>Private_Final!AU44</f>
        <v>0</v>
      </c>
    </row>
    <row r="6" spans="1:38" s="175" customFormat="1">
      <c r="A6" s="103" t="str">
        <f>Private_Final!B45</f>
        <v>heat (BTU)</v>
      </c>
      <c r="B6" s="103">
        <f>Private_Final!K45</f>
        <v>0</v>
      </c>
      <c r="C6" s="103">
        <f>Private_Final!L45</f>
        <v>0</v>
      </c>
      <c r="D6" s="103">
        <f>Private_Final!M45</f>
        <v>0</v>
      </c>
      <c r="E6" s="103">
        <f>Private_Final!N45</f>
        <v>0</v>
      </c>
      <c r="F6" s="103">
        <f>Private_Final!O45</f>
        <v>0</v>
      </c>
      <c r="G6" s="103">
        <f>Private_Final!P45</f>
        <v>0</v>
      </c>
      <c r="H6" s="103">
        <f>Private_Final!Q45</f>
        <v>0</v>
      </c>
      <c r="I6" s="103">
        <f>Private_Final!R45</f>
        <v>0</v>
      </c>
      <c r="J6" s="103">
        <f>Private_Final!S45</f>
        <v>0</v>
      </c>
      <c r="K6" s="103">
        <f>Private_Final!T45</f>
        <v>0</v>
      </c>
      <c r="L6" s="103">
        <f>Private_Final!U45</f>
        <v>0</v>
      </c>
      <c r="M6" s="103">
        <f>Private_Final!V45</f>
        <v>0</v>
      </c>
      <c r="N6" s="103">
        <f>Private_Final!W45</f>
        <v>0</v>
      </c>
      <c r="O6" s="103">
        <f>Private_Final!X45</f>
        <v>0</v>
      </c>
      <c r="P6" s="103">
        <f>Private_Final!Y45</f>
        <v>0</v>
      </c>
      <c r="Q6" s="103">
        <f>Private_Final!Z45</f>
        <v>0</v>
      </c>
      <c r="R6" s="103">
        <f>Private_Final!AA45</f>
        <v>0</v>
      </c>
      <c r="S6" s="103">
        <f>Private_Final!AB45</f>
        <v>0</v>
      </c>
      <c r="T6" s="103">
        <f>Private_Final!AC45</f>
        <v>0</v>
      </c>
      <c r="U6" s="103">
        <f>Private_Final!AD45</f>
        <v>0</v>
      </c>
      <c r="V6" s="103">
        <f>Private_Final!AE45</f>
        <v>0</v>
      </c>
      <c r="W6" s="103">
        <f>Private_Final!AF45</f>
        <v>0</v>
      </c>
      <c r="X6" s="103">
        <f>Private_Final!AG45</f>
        <v>0</v>
      </c>
      <c r="Y6" s="103">
        <f>Private_Final!AH45</f>
        <v>0</v>
      </c>
      <c r="Z6" s="103">
        <f>Private_Final!AI45</f>
        <v>0</v>
      </c>
      <c r="AA6" s="103">
        <f>Private_Final!AJ45</f>
        <v>0</v>
      </c>
      <c r="AB6" s="103">
        <f>Private_Final!AK45</f>
        <v>0</v>
      </c>
      <c r="AC6" s="103">
        <f>Private_Final!AL45</f>
        <v>0</v>
      </c>
      <c r="AD6" s="103">
        <f>Private_Final!AM45</f>
        <v>0</v>
      </c>
      <c r="AE6" s="103">
        <f>Private_Final!AN45</f>
        <v>0</v>
      </c>
      <c r="AF6" s="103">
        <f>Private_Final!AO45</f>
        <v>0</v>
      </c>
      <c r="AG6" s="103">
        <f>Private_Final!AP45</f>
        <v>0</v>
      </c>
      <c r="AH6" s="103">
        <f>Private_Final!AQ45</f>
        <v>0</v>
      </c>
      <c r="AI6" s="103">
        <f>Private_Final!AR45</f>
        <v>0</v>
      </c>
      <c r="AJ6" s="103">
        <f>Private_Final!AS45</f>
        <v>0</v>
      </c>
      <c r="AK6" s="103">
        <f>Private_Final!AT45</f>
        <v>0</v>
      </c>
      <c r="AL6" s="103">
        <f>Private_Final!AU45</f>
        <v>0</v>
      </c>
    </row>
    <row r="7" spans="1:38" s="175" customFormat="1">
      <c r="A7" s="103" t="str">
        <f>Private_Final!B46</f>
        <v>biomass (BTU)</v>
      </c>
      <c r="B7" s="103">
        <f>Private_Final!K46</f>
        <v>0</v>
      </c>
      <c r="C7" s="103">
        <f>Private_Final!L46</f>
        <v>0</v>
      </c>
      <c r="D7" s="103">
        <f>Private_Final!M46</f>
        <v>0</v>
      </c>
      <c r="E7" s="103">
        <f>Private_Final!N46</f>
        <v>0</v>
      </c>
      <c r="F7" s="103">
        <f>Private_Final!O46</f>
        <v>0</v>
      </c>
      <c r="G7" s="103">
        <f>Private_Final!P46</f>
        <v>0</v>
      </c>
      <c r="H7" s="103">
        <f>Private_Final!Q46</f>
        <v>0</v>
      </c>
      <c r="I7" s="103">
        <f>Private_Final!R46</f>
        <v>0</v>
      </c>
      <c r="J7" s="103">
        <f>Private_Final!S46</f>
        <v>0</v>
      </c>
      <c r="K7" s="103">
        <f>Private_Final!T46</f>
        <v>0</v>
      </c>
      <c r="L7" s="103">
        <f>Private_Final!U46</f>
        <v>0</v>
      </c>
      <c r="M7" s="103">
        <f>Private_Final!V46</f>
        <v>0</v>
      </c>
      <c r="N7" s="103">
        <f>Private_Final!W46</f>
        <v>0</v>
      </c>
      <c r="O7" s="103">
        <f>Private_Final!X46</f>
        <v>0</v>
      </c>
      <c r="P7" s="103">
        <f>Private_Final!Y46</f>
        <v>0</v>
      </c>
      <c r="Q7" s="103">
        <f>Private_Final!Z46</f>
        <v>0</v>
      </c>
      <c r="R7" s="103">
        <f>Private_Final!AA46</f>
        <v>0</v>
      </c>
      <c r="S7" s="103">
        <f>Private_Final!AB46</f>
        <v>0</v>
      </c>
      <c r="T7" s="103">
        <f>Private_Final!AC46</f>
        <v>0</v>
      </c>
      <c r="U7" s="103">
        <f>Private_Final!AD46</f>
        <v>0</v>
      </c>
      <c r="V7" s="103">
        <f>Private_Final!AE46</f>
        <v>0</v>
      </c>
      <c r="W7" s="103">
        <f>Private_Final!AF46</f>
        <v>0</v>
      </c>
      <c r="X7" s="103">
        <f>Private_Final!AG46</f>
        <v>0</v>
      </c>
      <c r="Y7" s="103">
        <f>Private_Final!AH46</f>
        <v>0</v>
      </c>
      <c r="Z7" s="103">
        <f>Private_Final!AI46</f>
        <v>0</v>
      </c>
      <c r="AA7" s="103">
        <f>Private_Final!AJ46</f>
        <v>0</v>
      </c>
      <c r="AB7" s="103">
        <f>Private_Final!AK46</f>
        <v>0</v>
      </c>
      <c r="AC7" s="103">
        <f>Private_Final!AL46</f>
        <v>0</v>
      </c>
      <c r="AD7" s="103">
        <f>Private_Final!AM46</f>
        <v>0</v>
      </c>
      <c r="AE7" s="103">
        <f>Private_Final!AN46</f>
        <v>0</v>
      </c>
      <c r="AF7" s="103">
        <f>Private_Final!AO46</f>
        <v>0</v>
      </c>
      <c r="AG7" s="103">
        <f>Private_Final!AP46</f>
        <v>0</v>
      </c>
      <c r="AH7" s="103">
        <f>Private_Final!AQ46</f>
        <v>0</v>
      </c>
      <c r="AI7" s="103">
        <f>Private_Final!AR46</f>
        <v>0</v>
      </c>
      <c r="AJ7" s="103">
        <f>Private_Final!AS46</f>
        <v>0</v>
      </c>
      <c r="AK7" s="103">
        <f>Private_Final!AT46</f>
        <v>0</v>
      </c>
      <c r="AL7" s="103">
        <f>Private_Final!AU46</f>
        <v>0</v>
      </c>
    </row>
  </sheetData>
  <phoneticPr fontId="3"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4" tint="-0.499984740745262"/>
  </sheetPr>
  <dimension ref="A1:AL7"/>
  <sheetViews>
    <sheetView workbookViewId="0">
      <pane xSplit="1" topLeftCell="B1" activePane="topRight" state="frozen"/>
      <selection activeCell="G19" sqref="G19"/>
      <selection pane="topRight" activeCell="C2" sqref="C2"/>
    </sheetView>
  </sheetViews>
  <sheetFormatPr defaultColWidth="8.7109375" defaultRowHeight="15"/>
  <cols>
    <col min="1" max="1" width="19.7109375" style="103" bestFit="1" customWidth="1"/>
    <col min="2" max="16384" width="8.7109375" style="103"/>
  </cols>
  <sheetData>
    <row r="1" spans="1:38" s="60" customFormat="1">
      <c r="A1" s="60" t="str">
        <f>Public_Final!B22</f>
        <v>Year</v>
      </c>
      <c r="B1" s="60">
        <f>Public_Final!K22</f>
        <v>2014</v>
      </c>
      <c r="C1" s="60">
        <f>Public_Final!L22</f>
        <v>2015</v>
      </c>
      <c r="D1" s="60">
        <f>Public_Final!M22</f>
        <v>2016</v>
      </c>
      <c r="E1" s="60">
        <f>Public_Final!N22</f>
        <v>2017</v>
      </c>
      <c r="F1" s="60">
        <f>Public_Final!O22</f>
        <v>2018</v>
      </c>
      <c r="G1" s="60">
        <f>Public_Final!P22</f>
        <v>2019</v>
      </c>
      <c r="H1" s="60">
        <f>Public_Final!Q22</f>
        <v>2020</v>
      </c>
      <c r="I1" s="60">
        <f>Public_Final!R22</f>
        <v>2021</v>
      </c>
      <c r="J1" s="60">
        <f>Public_Final!S22</f>
        <v>2022</v>
      </c>
      <c r="K1" s="60">
        <f>Public_Final!T22</f>
        <v>2023</v>
      </c>
      <c r="L1" s="60">
        <f>Public_Final!U22</f>
        <v>2024</v>
      </c>
      <c r="M1" s="60">
        <f>Public_Final!V22</f>
        <v>2025</v>
      </c>
      <c r="N1" s="60">
        <f>Public_Final!W22</f>
        <v>2026</v>
      </c>
      <c r="O1" s="60">
        <f>Public_Final!X22</f>
        <v>2027</v>
      </c>
      <c r="P1" s="60">
        <f>Public_Final!Y22</f>
        <v>2028</v>
      </c>
      <c r="Q1" s="60">
        <f>Public_Final!Z22</f>
        <v>2029</v>
      </c>
      <c r="R1" s="60">
        <f>Public_Final!AA22</f>
        <v>2030</v>
      </c>
      <c r="S1" s="60">
        <f>Public_Final!AB22</f>
        <v>2031</v>
      </c>
      <c r="T1" s="60">
        <f>Public_Final!AC22</f>
        <v>2032</v>
      </c>
      <c r="U1" s="60">
        <f>Public_Final!AD22</f>
        <v>2033</v>
      </c>
      <c r="V1" s="60">
        <f>Public_Final!AE22</f>
        <v>2034</v>
      </c>
      <c r="W1" s="60">
        <f>Public_Final!AF22</f>
        <v>2035</v>
      </c>
      <c r="X1" s="60">
        <f>Public_Final!AG22</f>
        <v>2036</v>
      </c>
      <c r="Y1" s="60">
        <f>Public_Final!AH22</f>
        <v>2037</v>
      </c>
      <c r="Z1" s="60">
        <f>Public_Final!AI22</f>
        <v>2038</v>
      </c>
      <c r="AA1" s="60">
        <f>Public_Final!AJ22</f>
        <v>2039</v>
      </c>
      <c r="AB1" s="60">
        <f>Public_Final!AK22</f>
        <v>2040</v>
      </c>
      <c r="AC1" s="60">
        <f>Public_Final!AL22</f>
        <v>2041</v>
      </c>
      <c r="AD1" s="60">
        <f>Public_Final!AM22</f>
        <v>2042</v>
      </c>
      <c r="AE1" s="60">
        <f>Public_Final!AN22</f>
        <v>2043</v>
      </c>
      <c r="AF1" s="60">
        <f>Public_Final!AO22</f>
        <v>2044</v>
      </c>
      <c r="AG1" s="60">
        <f>Public_Final!AP22</f>
        <v>2045</v>
      </c>
      <c r="AH1" s="60">
        <f>Public_Final!AQ22</f>
        <v>2046</v>
      </c>
      <c r="AI1" s="60">
        <f>Public_Final!AR22</f>
        <v>2047</v>
      </c>
      <c r="AJ1" s="60">
        <f>Public_Final!AS22</f>
        <v>2048</v>
      </c>
      <c r="AK1" s="60">
        <f>Public_Final!AT22</f>
        <v>2049</v>
      </c>
      <c r="AL1" s="60">
        <f>Public_Final!AU22</f>
        <v>2050</v>
      </c>
    </row>
    <row r="2" spans="1:38">
      <c r="A2" s="103" t="str">
        <f>Public_Final!B23</f>
        <v>electricity(BTU)</v>
      </c>
      <c r="B2" s="103">
        <f>Public_Final!K23</f>
        <v>0</v>
      </c>
      <c r="C2" s="103">
        <f>Public_Final!L23</f>
        <v>0</v>
      </c>
      <c r="D2" s="103">
        <f>Public_Final!M23</f>
        <v>0</v>
      </c>
      <c r="E2" s="103">
        <f>Public_Final!N23</f>
        <v>0</v>
      </c>
      <c r="F2" s="103">
        <f>Public_Final!O23</f>
        <v>0</v>
      </c>
      <c r="G2" s="103">
        <f>Public_Final!P23</f>
        <v>0</v>
      </c>
      <c r="H2" s="103">
        <f>Public_Final!Q23</f>
        <v>0</v>
      </c>
      <c r="I2" s="103">
        <f>Public_Final!R23</f>
        <v>0</v>
      </c>
      <c r="J2" s="103">
        <f>Public_Final!S23</f>
        <v>0</v>
      </c>
      <c r="K2" s="103">
        <f>Public_Final!T23</f>
        <v>0</v>
      </c>
      <c r="L2" s="103">
        <f>Public_Final!U23</f>
        <v>0</v>
      </c>
      <c r="M2" s="103">
        <f>Public_Final!V23</f>
        <v>0</v>
      </c>
      <c r="N2" s="103">
        <f>Public_Final!W23</f>
        <v>0</v>
      </c>
      <c r="O2" s="103">
        <f>Public_Final!X23</f>
        <v>0</v>
      </c>
      <c r="P2" s="103">
        <f>Public_Final!Y23</f>
        <v>0</v>
      </c>
      <c r="Q2" s="103">
        <f>Public_Final!Z23</f>
        <v>0</v>
      </c>
      <c r="R2" s="103">
        <f>Public_Final!AA23</f>
        <v>0</v>
      </c>
      <c r="S2" s="103">
        <f>Public_Final!AB23</f>
        <v>0</v>
      </c>
      <c r="T2" s="103">
        <f>Public_Final!AC23</f>
        <v>0</v>
      </c>
      <c r="U2" s="103">
        <f>Public_Final!AD23</f>
        <v>0</v>
      </c>
      <c r="V2" s="103">
        <f>Public_Final!AE23</f>
        <v>0</v>
      </c>
      <c r="W2" s="103">
        <f>Public_Final!AF23</f>
        <v>0</v>
      </c>
      <c r="X2" s="103">
        <f>Public_Final!AG23</f>
        <v>0</v>
      </c>
      <c r="Y2" s="103">
        <f>Public_Final!AH23</f>
        <v>0</v>
      </c>
      <c r="Z2" s="103">
        <f>Public_Final!AI23</f>
        <v>0</v>
      </c>
      <c r="AA2" s="103">
        <f>Public_Final!AJ23</f>
        <v>0</v>
      </c>
      <c r="AB2" s="103">
        <f>Public_Final!AK23</f>
        <v>0</v>
      </c>
      <c r="AC2" s="103">
        <f>Public_Final!AL23</f>
        <v>0</v>
      </c>
      <c r="AD2" s="103">
        <f>Public_Final!AM23</f>
        <v>0</v>
      </c>
      <c r="AE2" s="103">
        <f>Public_Final!AN23</f>
        <v>0</v>
      </c>
      <c r="AF2" s="103">
        <f>Public_Final!AO23</f>
        <v>0</v>
      </c>
      <c r="AG2" s="103">
        <f>Public_Final!AP23</f>
        <v>0</v>
      </c>
      <c r="AH2" s="103">
        <f>Public_Final!AQ23</f>
        <v>0</v>
      </c>
      <c r="AI2" s="103">
        <f>Public_Final!AR23</f>
        <v>0</v>
      </c>
      <c r="AJ2" s="103">
        <f>Public_Final!AS23</f>
        <v>0</v>
      </c>
      <c r="AK2" s="103">
        <f>Public_Final!AT23</f>
        <v>0</v>
      </c>
      <c r="AL2" s="103">
        <f>Public_Final!AU23</f>
        <v>0</v>
      </c>
    </row>
    <row r="3" spans="1:38">
      <c r="A3" s="103" t="str">
        <f>Public_Final!B24</f>
        <v>coal(BTU)</v>
      </c>
      <c r="B3" s="103">
        <f>Public_Final!K24</f>
        <v>0</v>
      </c>
      <c r="C3" s="103">
        <f>Public_Final!L24</f>
        <v>0</v>
      </c>
      <c r="D3" s="103">
        <f>Public_Final!M24</f>
        <v>0</v>
      </c>
      <c r="E3" s="103">
        <f>Public_Final!N24</f>
        <v>0</v>
      </c>
      <c r="F3" s="103">
        <f>Public_Final!O24</f>
        <v>0</v>
      </c>
      <c r="G3" s="103">
        <f>Public_Final!P24</f>
        <v>0</v>
      </c>
      <c r="H3" s="103">
        <f>Public_Final!Q24</f>
        <v>0</v>
      </c>
      <c r="I3" s="103">
        <f>Public_Final!R24</f>
        <v>0</v>
      </c>
      <c r="J3" s="103">
        <f>Public_Final!S24</f>
        <v>0</v>
      </c>
      <c r="K3" s="103">
        <f>Public_Final!T24</f>
        <v>0</v>
      </c>
      <c r="L3" s="103">
        <f>Public_Final!U24</f>
        <v>0</v>
      </c>
      <c r="M3" s="103">
        <f>Public_Final!V24</f>
        <v>0</v>
      </c>
      <c r="N3" s="103">
        <f>Public_Final!W24</f>
        <v>0</v>
      </c>
      <c r="O3" s="103">
        <f>Public_Final!X24</f>
        <v>0</v>
      </c>
      <c r="P3" s="103">
        <f>Public_Final!Y24</f>
        <v>0</v>
      </c>
      <c r="Q3" s="103">
        <f>Public_Final!Z24</f>
        <v>0</v>
      </c>
      <c r="R3" s="103">
        <f>Public_Final!AA24</f>
        <v>0</v>
      </c>
      <c r="S3" s="103">
        <f>Public_Final!AB24</f>
        <v>0</v>
      </c>
      <c r="T3" s="103">
        <f>Public_Final!AC24</f>
        <v>0</v>
      </c>
      <c r="U3" s="103">
        <f>Public_Final!AD24</f>
        <v>0</v>
      </c>
      <c r="V3" s="103">
        <f>Public_Final!AE24</f>
        <v>0</v>
      </c>
      <c r="W3" s="103">
        <f>Public_Final!AF24</f>
        <v>0</v>
      </c>
      <c r="X3" s="103">
        <f>Public_Final!AG24</f>
        <v>0</v>
      </c>
      <c r="Y3" s="103">
        <f>Public_Final!AH24</f>
        <v>0</v>
      </c>
      <c r="Z3" s="103">
        <f>Public_Final!AI24</f>
        <v>0</v>
      </c>
      <c r="AA3" s="103">
        <f>Public_Final!AJ24</f>
        <v>0</v>
      </c>
      <c r="AB3" s="103">
        <f>Public_Final!AK24</f>
        <v>0</v>
      </c>
      <c r="AC3" s="103">
        <f>Public_Final!AL24</f>
        <v>0</v>
      </c>
      <c r="AD3" s="103">
        <f>Public_Final!AM24</f>
        <v>0</v>
      </c>
      <c r="AE3" s="103">
        <f>Public_Final!AN24</f>
        <v>0</v>
      </c>
      <c r="AF3" s="103">
        <f>Public_Final!AO24</f>
        <v>0</v>
      </c>
      <c r="AG3" s="103">
        <f>Public_Final!AP24</f>
        <v>0</v>
      </c>
      <c r="AH3" s="103">
        <f>Public_Final!AQ24</f>
        <v>0</v>
      </c>
      <c r="AI3" s="103">
        <f>Public_Final!AR24</f>
        <v>0</v>
      </c>
      <c r="AJ3" s="103">
        <f>Public_Final!AS24</f>
        <v>0</v>
      </c>
      <c r="AK3" s="103">
        <f>Public_Final!AT24</f>
        <v>0</v>
      </c>
      <c r="AL3" s="103">
        <f>Public_Final!AU24</f>
        <v>0</v>
      </c>
    </row>
    <row r="4" spans="1:38">
      <c r="A4" s="103" t="str">
        <f>Public_Final!B25</f>
        <v>natural gas(BTU)</v>
      </c>
      <c r="B4" s="103">
        <f>Public_Final!K25</f>
        <v>0</v>
      </c>
      <c r="C4" s="103">
        <f>Public_Final!L25</f>
        <v>0</v>
      </c>
      <c r="D4" s="103">
        <f>Public_Final!M25</f>
        <v>0</v>
      </c>
      <c r="E4" s="103">
        <f>Public_Final!N25</f>
        <v>0</v>
      </c>
      <c r="F4" s="103">
        <f>Public_Final!O25</f>
        <v>0</v>
      </c>
      <c r="G4" s="103">
        <f>Public_Final!P25</f>
        <v>0</v>
      </c>
      <c r="H4" s="103">
        <f>Public_Final!Q25</f>
        <v>0</v>
      </c>
      <c r="I4" s="103">
        <f>Public_Final!R25</f>
        <v>0</v>
      </c>
      <c r="J4" s="103">
        <f>Public_Final!S25</f>
        <v>0</v>
      </c>
      <c r="K4" s="103">
        <f>Public_Final!T25</f>
        <v>0</v>
      </c>
      <c r="L4" s="103">
        <f>Public_Final!U25</f>
        <v>0</v>
      </c>
      <c r="M4" s="103">
        <f>Public_Final!V25</f>
        <v>0</v>
      </c>
      <c r="N4" s="103">
        <f>Public_Final!W25</f>
        <v>0</v>
      </c>
      <c r="O4" s="103">
        <f>Public_Final!X25</f>
        <v>0</v>
      </c>
      <c r="P4" s="103">
        <f>Public_Final!Y25</f>
        <v>0</v>
      </c>
      <c r="Q4" s="103">
        <f>Public_Final!Z25</f>
        <v>0</v>
      </c>
      <c r="R4" s="103">
        <f>Public_Final!AA25</f>
        <v>0</v>
      </c>
      <c r="S4" s="103">
        <f>Public_Final!AB25</f>
        <v>0</v>
      </c>
      <c r="T4" s="103">
        <f>Public_Final!AC25</f>
        <v>0</v>
      </c>
      <c r="U4" s="103">
        <f>Public_Final!AD25</f>
        <v>0</v>
      </c>
      <c r="V4" s="103">
        <f>Public_Final!AE25</f>
        <v>0</v>
      </c>
      <c r="W4" s="103">
        <f>Public_Final!AF25</f>
        <v>0</v>
      </c>
      <c r="X4" s="103">
        <f>Public_Final!AG25</f>
        <v>0</v>
      </c>
      <c r="Y4" s="103">
        <f>Public_Final!AH25</f>
        <v>0</v>
      </c>
      <c r="Z4" s="103">
        <f>Public_Final!AI25</f>
        <v>0</v>
      </c>
      <c r="AA4" s="103">
        <f>Public_Final!AJ25</f>
        <v>0</v>
      </c>
      <c r="AB4" s="103">
        <f>Public_Final!AK25</f>
        <v>0</v>
      </c>
      <c r="AC4" s="103">
        <f>Public_Final!AL25</f>
        <v>0</v>
      </c>
      <c r="AD4" s="103">
        <f>Public_Final!AM25</f>
        <v>0</v>
      </c>
      <c r="AE4" s="103">
        <f>Public_Final!AN25</f>
        <v>0</v>
      </c>
      <c r="AF4" s="103">
        <f>Public_Final!AO25</f>
        <v>0</v>
      </c>
      <c r="AG4" s="103">
        <f>Public_Final!AP25</f>
        <v>0</v>
      </c>
      <c r="AH4" s="103">
        <f>Public_Final!AQ25</f>
        <v>0</v>
      </c>
      <c r="AI4" s="103">
        <f>Public_Final!AR25</f>
        <v>0</v>
      </c>
      <c r="AJ4" s="103">
        <f>Public_Final!AS25</f>
        <v>0</v>
      </c>
      <c r="AK4" s="103">
        <f>Public_Final!AT25</f>
        <v>0</v>
      </c>
      <c r="AL4" s="103">
        <f>Public_Final!AU25</f>
        <v>0</v>
      </c>
    </row>
    <row r="5" spans="1:38">
      <c r="A5" s="103" t="str">
        <f>Public_Final!B26</f>
        <v>petroleum diesel (BTU)</v>
      </c>
      <c r="B5" s="103">
        <f>Public_Final!K26</f>
        <v>0</v>
      </c>
      <c r="C5" s="103">
        <f>Public_Final!L26</f>
        <v>0</v>
      </c>
      <c r="D5" s="103">
        <f>Public_Final!M26</f>
        <v>0</v>
      </c>
      <c r="E5" s="103">
        <f>Public_Final!N26</f>
        <v>0</v>
      </c>
      <c r="F5" s="103">
        <f>Public_Final!O26</f>
        <v>0</v>
      </c>
      <c r="G5" s="103">
        <f>Public_Final!P26</f>
        <v>0</v>
      </c>
      <c r="H5" s="103">
        <f>Public_Final!Q26</f>
        <v>0</v>
      </c>
      <c r="I5" s="103">
        <f>Public_Final!R26</f>
        <v>0</v>
      </c>
      <c r="J5" s="103">
        <f>Public_Final!S26</f>
        <v>0</v>
      </c>
      <c r="K5" s="103">
        <f>Public_Final!T26</f>
        <v>0</v>
      </c>
      <c r="L5" s="103">
        <f>Public_Final!U26</f>
        <v>0</v>
      </c>
      <c r="M5" s="103">
        <f>Public_Final!V26</f>
        <v>0</v>
      </c>
      <c r="N5" s="103">
        <f>Public_Final!W26</f>
        <v>0</v>
      </c>
      <c r="O5" s="103">
        <f>Public_Final!X26</f>
        <v>0</v>
      </c>
      <c r="P5" s="103">
        <f>Public_Final!Y26</f>
        <v>0</v>
      </c>
      <c r="Q5" s="103">
        <f>Public_Final!Z26</f>
        <v>0</v>
      </c>
      <c r="R5" s="103">
        <f>Public_Final!AA26</f>
        <v>0</v>
      </c>
      <c r="S5" s="103">
        <f>Public_Final!AB26</f>
        <v>0</v>
      </c>
      <c r="T5" s="103">
        <f>Public_Final!AC26</f>
        <v>0</v>
      </c>
      <c r="U5" s="103">
        <f>Public_Final!AD26</f>
        <v>0</v>
      </c>
      <c r="V5" s="103">
        <f>Public_Final!AE26</f>
        <v>0</v>
      </c>
      <c r="W5" s="103">
        <f>Public_Final!AF26</f>
        <v>0</v>
      </c>
      <c r="X5" s="103">
        <f>Public_Final!AG26</f>
        <v>0</v>
      </c>
      <c r="Y5" s="103">
        <f>Public_Final!AH26</f>
        <v>0</v>
      </c>
      <c r="Z5" s="103">
        <f>Public_Final!AI26</f>
        <v>0</v>
      </c>
      <c r="AA5" s="103">
        <f>Public_Final!AJ26</f>
        <v>0</v>
      </c>
      <c r="AB5" s="103">
        <f>Public_Final!AK26</f>
        <v>0</v>
      </c>
      <c r="AC5" s="103">
        <f>Public_Final!AL26</f>
        <v>0</v>
      </c>
      <c r="AD5" s="103">
        <f>Public_Final!AM26</f>
        <v>0</v>
      </c>
      <c r="AE5" s="103">
        <f>Public_Final!AN26</f>
        <v>0</v>
      </c>
      <c r="AF5" s="103">
        <f>Public_Final!AO26</f>
        <v>0</v>
      </c>
      <c r="AG5" s="103">
        <f>Public_Final!AP26</f>
        <v>0</v>
      </c>
      <c r="AH5" s="103">
        <f>Public_Final!AQ26</f>
        <v>0</v>
      </c>
      <c r="AI5" s="103">
        <f>Public_Final!AR26</f>
        <v>0</v>
      </c>
      <c r="AJ5" s="103">
        <f>Public_Final!AS26</f>
        <v>0</v>
      </c>
      <c r="AK5" s="103">
        <f>Public_Final!AT26</f>
        <v>0</v>
      </c>
      <c r="AL5" s="103">
        <f>Public_Final!AU26</f>
        <v>0</v>
      </c>
    </row>
    <row r="6" spans="1:38">
      <c r="A6" s="103" t="str">
        <f>Public_Final!B27</f>
        <v>heat (BTU)</v>
      </c>
      <c r="B6" s="103">
        <f>Public_Final!K27</f>
        <v>0</v>
      </c>
      <c r="C6" s="103">
        <f>Public_Final!L27</f>
        <v>0</v>
      </c>
      <c r="D6" s="103">
        <f>Public_Final!M27</f>
        <v>0</v>
      </c>
      <c r="E6" s="103">
        <f>Public_Final!N27</f>
        <v>0</v>
      </c>
      <c r="F6" s="103">
        <f>Public_Final!O27</f>
        <v>0</v>
      </c>
      <c r="G6" s="103">
        <f>Public_Final!P27</f>
        <v>0</v>
      </c>
      <c r="H6" s="103">
        <f>Public_Final!Q27</f>
        <v>0</v>
      </c>
      <c r="I6" s="103">
        <f>Public_Final!R27</f>
        <v>0</v>
      </c>
      <c r="J6" s="103">
        <f>Public_Final!S27</f>
        <v>0</v>
      </c>
      <c r="K6" s="103">
        <f>Public_Final!T27</f>
        <v>0</v>
      </c>
      <c r="L6" s="103">
        <f>Public_Final!U27</f>
        <v>0</v>
      </c>
      <c r="M6" s="103">
        <f>Public_Final!V27</f>
        <v>0</v>
      </c>
      <c r="N6" s="103">
        <f>Public_Final!W27</f>
        <v>0</v>
      </c>
      <c r="O6" s="103">
        <f>Public_Final!X27</f>
        <v>0</v>
      </c>
      <c r="P6" s="103">
        <f>Public_Final!Y27</f>
        <v>0</v>
      </c>
      <c r="Q6" s="103">
        <f>Public_Final!Z27</f>
        <v>0</v>
      </c>
      <c r="R6" s="103">
        <f>Public_Final!AA27</f>
        <v>0</v>
      </c>
      <c r="S6" s="103">
        <f>Public_Final!AB27</f>
        <v>0</v>
      </c>
      <c r="T6" s="103">
        <f>Public_Final!AC27</f>
        <v>0</v>
      </c>
      <c r="U6" s="103">
        <f>Public_Final!AD27</f>
        <v>0</v>
      </c>
      <c r="V6" s="103">
        <f>Public_Final!AE27</f>
        <v>0</v>
      </c>
      <c r="W6" s="103">
        <f>Public_Final!AF27</f>
        <v>0</v>
      </c>
      <c r="X6" s="103">
        <f>Public_Final!AG27</f>
        <v>0</v>
      </c>
      <c r="Y6" s="103">
        <f>Public_Final!AH27</f>
        <v>0</v>
      </c>
      <c r="Z6" s="103">
        <f>Public_Final!AI27</f>
        <v>0</v>
      </c>
      <c r="AA6" s="103">
        <f>Public_Final!AJ27</f>
        <v>0</v>
      </c>
      <c r="AB6" s="103">
        <f>Public_Final!AK27</f>
        <v>0</v>
      </c>
      <c r="AC6" s="103">
        <f>Public_Final!AL27</f>
        <v>0</v>
      </c>
      <c r="AD6" s="103">
        <f>Public_Final!AM27</f>
        <v>0</v>
      </c>
      <c r="AE6" s="103">
        <f>Public_Final!AN27</f>
        <v>0</v>
      </c>
      <c r="AF6" s="103">
        <f>Public_Final!AO27</f>
        <v>0</v>
      </c>
      <c r="AG6" s="103">
        <f>Public_Final!AP27</f>
        <v>0</v>
      </c>
      <c r="AH6" s="103">
        <f>Public_Final!AQ27</f>
        <v>0</v>
      </c>
      <c r="AI6" s="103">
        <f>Public_Final!AR27</f>
        <v>0</v>
      </c>
      <c r="AJ6" s="103">
        <f>Public_Final!AS27</f>
        <v>0</v>
      </c>
      <c r="AK6" s="103">
        <f>Public_Final!AT27</f>
        <v>0</v>
      </c>
      <c r="AL6" s="103">
        <f>Public_Final!AU27</f>
        <v>0</v>
      </c>
    </row>
    <row r="7" spans="1:38">
      <c r="A7" s="103" t="str">
        <f>Public_Final!B28</f>
        <v>biomass (BTU)</v>
      </c>
      <c r="B7" s="103">
        <f>Public_Final!K28</f>
        <v>0</v>
      </c>
      <c r="C7" s="103">
        <f>Public_Final!L28</f>
        <v>0</v>
      </c>
      <c r="D7" s="103">
        <f>Public_Final!M28</f>
        <v>0</v>
      </c>
      <c r="E7" s="103">
        <f>Public_Final!N28</f>
        <v>0</v>
      </c>
      <c r="F7" s="103">
        <f>Public_Final!O28</f>
        <v>0</v>
      </c>
      <c r="G7" s="103">
        <f>Public_Final!P28</f>
        <v>0</v>
      </c>
      <c r="H7" s="103">
        <f>Public_Final!Q28</f>
        <v>0</v>
      </c>
      <c r="I7" s="103">
        <f>Public_Final!R28</f>
        <v>0</v>
      </c>
      <c r="J7" s="103">
        <f>Public_Final!S28</f>
        <v>0</v>
      </c>
      <c r="K7" s="103">
        <f>Public_Final!T28</f>
        <v>0</v>
      </c>
      <c r="L7" s="103">
        <f>Public_Final!U28</f>
        <v>0</v>
      </c>
      <c r="M7" s="103">
        <f>Public_Final!V28</f>
        <v>0</v>
      </c>
      <c r="N7" s="103">
        <f>Public_Final!W28</f>
        <v>0</v>
      </c>
      <c r="O7" s="103">
        <f>Public_Final!X28</f>
        <v>0</v>
      </c>
      <c r="P7" s="103">
        <f>Public_Final!Y28</f>
        <v>0</v>
      </c>
      <c r="Q7" s="103">
        <f>Public_Final!Z28</f>
        <v>0</v>
      </c>
      <c r="R7" s="103">
        <f>Public_Final!AA28</f>
        <v>0</v>
      </c>
      <c r="S7" s="103">
        <f>Public_Final!AB28</f>
        <v>0</v>
      </c>
      <c r="T7" s="103">
        <f>Public_Final!AC28</f>
        <v>0</v>
      </c>
      <c r="U7" s="103">
        <f>Public_Final!AD28</f>
        <v>0</v>
      </c>
      <c r="V7" s="103">
        <f>Public_Final!AE28</f>
        <v>0</v>
      </c>
      <c r="W7" s="103">
        <f>Public_Final!AF28</f>
        <v>0</v>
      </c>
      <c r="X7" s="103">
        <f>Public_Final!AG28</f>
        <v>0</v>
      </c>
      <c r="Y7" s="103">
        <f>Public_Final!AH28</f>
        <v>0</v>
      </c>
      <c r="Z7" s="103">
        <f>Public_Final!AI28</f>
        <v>0</v>
      </c>
      <c r="AA7" s="103">
        <f>Public_Final!AJ28</f>
        <v>0</v>
      </c>
      <c r="AB7" s="103">
        <f>Public_Final!AK28</f>
        <v>0</v>
      </c>
      <c r="AC7" s="103">
        <f>Public_Final!AL28</f>
        <v>0</v>
      </c>
      <c r="AD7" s="103">
        <f>Public_Final!AM28</f>
        <v>0</v>
      </c>
      <c r="AE7" s="103">
        <f>Public_Final!AN28</f>
        <v>0</v>
      </c>
      <c r="AF7" s="103">
        <f>Public_Final!AO28</f>
        <v>0</v>
      </c>
      <c r="AG7" s="103">
        <f>Public_Final!AP28</f>
        <v>0</v>
      </c>
      <c r="AH7" s="103">
        <f>Public_Final!AQ28</f>
        <v>0</v>
      </c>
      <c r="AI7" s="103">
        <f>Public_Final!AR28</f>
        <v>0</v>
      </c>
      <c r="AJ7" s="103">
        <f>Public_Final!AS28</f>
        <v>0</v>
      </c>
      <c r="AK7" s="103">
        <f>Public_Final!AT28</f>
        <v>0</v>
      </c>
      <c r="AL7" s="103">
        <f>Public_Final!AU28</f>
        <v>0</v>
      </c>
    </row>
  </sheetData>
  <phoneticPr fontId="3"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4" tint="-0.499984740745262"/>
  </sheetPr>
  <dimension ref="A1:AL7"/>
  <sheetViews>
    <sheetView workbookViewId="0">
      <pane xSplit="1" topLeftCell="B1" activePane="topRight" state="frozen"/>
      <selection activeCell="G19" sqref="G19"/>
      <selection pane="topRight" activeCell="H14" sqref="H14"/>
    </sheetView>
  </sheetViews>
  <sheetFormatPr defaultColWidth="8.7109375" defaultRowHeight="15"/>
  <cols>
    <col min="1" max="1" width="19.7109375" style="103" bestFit="1" customWidth="1"/>
    <col min="2" max="16384" width="8.7109375" style="103"/>
  </cols>
  <sheetData>
    <row r="1" spans="1:38" s="60" customFormat="1">
      <c r="A1" s="60" t="str">
        <f>Public_Final!B13</f>
        <v>Year</v>
      </c>
      <c r="B1" s="60">
        <f>Public_Final!K13</f>
        <v>2014</v>
      </c>
      <c r="C1" s="60">
        <f>Public_Final!L13</f>
        <v>2015</v>
      </c>
      <c r="D1" s="60">
        <f>Public_Final!M13</f>
        <v>2016</v>
      </c>
      <c r="E1" s="60">
        <f>Public_Final!N13</f>
        <v>2017</v>
      </c>
      <c r="F1" s="60">
        <f>Public_Final!O13</f>
        <v>2018</v>
      </c>
      <c r="G1" s="60">
        <f>Public_Final!P13</f>
        <v>2019</v>
      </c>
      <c r="H1" s="60">
        <f>Public_Final!Q13</f>
        <v>2020</v>
      </c>
      <c r="I1" s="60">
        <f>Public_Final!R13</f>
        <v>2021</v>
      </c>
      <c r="J1" s="60">
        <f>Public_Final!S13</f>
        <v>2022</v>
      </c>
      <c r="K1" s="60">
        <f>Public_Final!T13</f>
        <v>2023</v>
      </c>
      <c r="L1" s="60">
        <f>Public_Final!U13</f>
        <v>2024</v>
      </c>
      <c r="M1" s="60">
        <f>Public_Final!V13</f>
        <v>2025</v>
      </c>
      <c r="N1" s="60">
        <f>Public_Final!W13</f>
        <v>2026</v>
      </c>
      <c r="O1" s="60">
        <f>Public_Final!X13</f>
        <v>2027</v>
      </c>
      <c r="P1" s="60">
        <f>Public_Final!Y13</f>
        <v>2028</v>
      </c>
      <c r="Q1" s="60">
        <f>Public_Final!Z13</f>
        <v>2029</v>
      </c>
      <c r="R1" s="60">
        <f>Public_Final!AA13</f>
        <v>2030</v>
      </c>
      <c r="S1" s="60">
        <f>Public_Final!AB13</f>
        <v>2031</v>
      </c>
      <c r="T1" s="60">
        <f>Public_Final!AC13</f>
        <v>2032</v>
      </c>
      <c r="U1" s="60">
        <f>Public_Final!AD13</f>
        <v>2033</v>
      </c>
      <c r="V1" s="60">
        <f>Public_Final!AE13</f>
        <v>2034</v>
      </c>
      <c r="W1" s="60">
        <f>Public_Final!AF13</f>
        <v>2035</v>
      </c>
      <c r="X1" s="60">
        <f>Public_Final!AG13</f>
        <v>2036</v>
      </c>
      <c r="Y1" s="60">
        <f>Public_Final!AH13</f>
        <v>2037</v>
      </c>
      <c r="Z1" s="60">
        <f>Public_Final!AI13</f>
        <v>2038</v>
      </c>
      <c r="AA1" s="60">
        <f>Public_Final!AJ13</f>
        <v>2039</v>
      </c>
      <c r="AB1" s="60">
        <f>Public_Final!AK13</f>
        <v>2040</v>
      </c>
      <c r="AC1" s="60">
        <f>Public_Final!AL13</f>
        <v>2041</v>
      </c>
      <c r="AD1" s="60">
        <f>Public_Final!AM13</f>
        <v>2042</v>
      </c>
      <c r="AE1" s="60">
        <f>Public_Final!AN13</f>
        <v>2043</v>
      </c>
      <c r="AF1" s="60">
        <f>Public_Final!AO13</f>
        <v>2044</v>
      </c>
      <c r="AG1" s="60">
        <f>Public_Final!AP13</f>
        <v>2045</v>
      </c>
      <c r="AH1" s="60">
        <f>Public_Final!AQ13</f>
        <v>2046</v>
      </c>
      <c r="AI1" s="60">
        <f>Public_Final!AR13</f>
        <v>2047</v>
      </c>
      <c r="AJ1" s="60">
        <f>Public_Final!AS13</f>
        <v>2048</v>
      </c>
      <c r="AK1" s="60">
        <f>Public_Final!AT13</f>
        <v>2049</v>
      </c>
      <c r="AL1" s="60">
        <f>Public_Final!AU13</f>
        <v>2050</v>
      </c>
    </row>
    <row r="2" spans="1:38">
      <c r="A2" s="103" t="str">
        <f>Public_Final!B14</f>
        <v>electricity(BTU)</v>
      </c>
      <c r="B2" s="103">
        <f>Public_Final!K14</f>
        <v>6047137756136.6738</v>
      </c>
      <c r="C2" s="103">
        <f>Public_Final!L14</f>
        <v>5911846019846.5459</v>
      </c>
      <c r="D2" s="103">
        <f>Public_Final!M14</f>
        <v>5835848195041.8164</v>
      </c>
      <c r="E2" s="103">
        <f>Public_Final!N14</f>
        <v>5563288021164.7363</v>
      </c>
      <c r="F2" s="103">
        <f>Public_Final!O14</f>
        <v>5766250255427.0527</v>
      </c>
      <c r="G2" s="103">
        <f>Public_Final!P14</f>
        <v>5964975328694.8174</v>
      </c>
      <c r="H2" s="103">
        <f>Public_Final!Q14</f>
        <v>6168339568729.3301</v>
      </c>
      <c r="I2" s="103">
        <f>Public_Final!R14</f>
        <v>6368867667464.1973</v>
      </c>
      <c r="J2" s="103">
        <f>Public_Final!S14</f>
        <v>6569732116376.3408</v>
      </c>
      <c r="K2" s="103">
        <f>Public_Final!T14</f>
        <v>6770238628686.9414</v>
      </c>
      <c r="L2" s="103">
        <f>Public_Final!U14</f>
        <v>6967395303898.1699</v>
      </c>
      <c r="M2" s="103">
        <f>Public_Final!V14</f>
        <v>7162647587341.7402</v>
      </c>
      <c r="N2" s="103">
        <f>Public_Final!W14</f>
        <v>7354693011957.9766</v>
      </c>
      <c r="O2" s="103">
        <f>Public_Final!X14</f>
        <v>7544830730120.7695</v>
      </c>
      <c r="P2" s="103">
        <f>Public_Final!Y14</f>
        <v>7736066536576.0791</v>
      </c>
      <c r="Q2" s="103">
        <f>Public_Final!Z14</f>
        <v>7926870468126.4541</v>
      </c>
      <c r="R2" s="103">
        <f>Public_Final!AA14</f>
        <v>8115389983878.1328</v>
      </c>
      <c r="S2" s="103">
        <f>Public_Final!AB14</f>
        <v>8302548742237.8027</v>
      </c>
      <c r="T2" s="103">
        <f>Public_Final!AC14</f>
        <v>8488510683745.7939</v>
      </c>
      <c r="U2" s="103">
        <f>Public_Final!AD14</f>
        <v>8674001413189.3516</v>
      </c>
      <c r="V2" s="103">
        <f>Public_Final!AE14</f>
        <v>8856741309442.4023</v>
      </c>
      <c r="W2" s="103">
        <f>Public_Final!AF14</f>
        <v>9034971549825.4082</v>
      </c>
      <c r="X2" s="103">
        <f>Public_Final!AG14</f>
        <v>9209210209896.1641</v>
      </c>
      <c r="Y2" s="103">
        <f>Public_Final!AH14</f>
        <v>9378996250423.6328</v>
      </c>
      <c r="Z2" s="103">
        <f>Public_Final!AI14</f>
        <v>9543392303110.8828</v>
      </c>
      <c r="AA2" s="103">
        <f>Public_Final!AJ14</f>
        <v>9700951077987.5898</v>
      </c>
      <c r="AB2" s="103">
        <f>Public_Final!AK14</f>
        <v>9852444742460.7656</v>
      </c>
      <c r="AC2" s="103">
        <f>Public_Final!AL14</f>
        <v>9996887844726.3301</v>
      </c>
      <c r="AD2" s="103">
        <f>Public_Final!AM14</f>
        <v>10134619500753.109</v>
      </c>
      <c r="AE2" s="103">
        <f>Public_Final!AN14</f>
        <v>10267393346388.535</v>
      </c>
      <c r="AF2" s="103">
        <f>Public_Final!AO14</f>
        <v>10394540815846.379</v>
      </c>
      <c r="AG2" s="103">
        <f>Public_Final!AP14</f>
        <v>10514989567206.639</v>
      </c>
      <c r="AH2" s="103">
        <f>Public_Final!AQ14</f>
        <v>10629055796449.539</v>
      </c>
      <c r="AI2" s="103">
        <f>Public_Final!AR14</f>
        <v>10735252871803.195</v>
      </c>
      <c r="AJ2" s="103">
        <f>Public_Final!AS14</f>
        <v>10835486102688.9</v>
      </c>
      <c r="AK2" s="103">
        <f>Public_Final!AT14</f>
        <v>10928414269549.217</v>
      </c>
      <c r="AL2" s="103">
        <f>Public_Final!AU14</f>
        <v>11014139753928.301</v>
      </c>
    </row>
    <row r="3" spans="1:38">
      <c r="A3" s="103" t="str">
        <f>Public_Final!B15</f>
        <v>coal(BTU)</v>
      </c>
      <c r="B3" s="103">
        <f>Public_Final!K15</f>
        <v>0</v>
      </c>
      <c r="C3" s="103">
        <f>Public_Final!L15</f>
        <v>0</v>
      </c>
      <c r="D3" s="103">
        <f>Public_Final!M15</f>
        <v>0</v>
      </c>
      <c r="E3" s="103">
        <f>Public_Final!N15</f>
        <v>0</v>
      </c>
      <c r="F3" s="103">
        <f>Public_Final!O15</f>
        <v>0</v>
      </c>
      <c r="G3" s="103">
        <f>Public_Final!P15</f>
        <v>0</v>
      </c>
      <c r="H3" s="103">
        <f>Public_Final!Q15</f>
        <v>0</v>
      </c>
      <c r="I3" s="103">
        <f>Public_Final!R15</f>
        <v>0</v>
      </c>
      <c r="J3" s="103">
        <f>Public_Final!S15</f>
        <v>0</v>
      </c>
      <c r="K3" s="103">
        <f>Public_Final!T15</f>
        <v>0</v>
      </c>
      <c r="L3" s="103">
        <f>Public_Final!U15</f>
        <v>0</v>
      </c>
      <c r="M3" s="103">
        <f>Public_Final!V15</f>
        <v>0</v>
      </c>
      <c r="N3" s="103">
        <f>Public_Final!W15</f>
        <v>0</v>
      </c>
      <c r="O3" s="103">
        <f>Public_Final!X15</f>
        <v>0</v>
      </c>
      <c r="P3" s="103">
        <f>Public_Final!Y15</f>
        <v>0</v>
      </c>
      <c r="Q3" s="103">
        <f>Public_Final!Z15</f>
        <v>0</v>
      </c>
      <c r="R3" s="103">
        <f>Public_Final!AA15</f>
        <v>0</v>
      </c>
      <c r="S3" s="103">
        <f>Public_Final!AB15</f>
        <v>0</v>
      </c>
      <c r="T3" s="103">
        <f>Public_Final!AC15</f>
        <v>0</v>
      </c>
      <c r="U3" s="103">
        <f>Public_Final!AD15</f>
        <v>0</v>
      </c>
      <c r="V3" s="103">
        <f>Public_Final!AE15</f>
        <v>0</v>
      </c>
      <c r="W3" s="103">
        <f>Public_Final!AF15</f>
        <v>0</v>
      </c>
      <c r="X3" s="103">
        <f>Public_Final!AG15</f>
        <v>0</v>
      </c>
      <c r="Y3" s="103">
        <f>Public_Final!AH15</f>
        <v>0</v>
      </c>
      <c r="Z3" s="103">
        <f>Public_Final!AI15</f>
        <v>0</v>
      </c>
      <c r="AA3" s="103">
        <f>Public_Final!AJ15</f>
        <v>0</v>
      </c>
      <c r="AB3" s="103">
        <f>Public_Final!AK15</f>
        <v>0</v>
      </c>
      <c r="AC3" s="103">
        <f>Public_Final!AL15</f>
        <v>0</v>
      </c>
      <c r="AD3" s="103">
        <f>Public_Final!AM15</f>
        <v>0</v>
      </c>
      <c r="AE3" s="103">
        <f>Public_Final!AN15</f>
        <v>0</v>
      </c>
      <c r="AF3" s="103">
        <f>Public_Final!AO15</f>
        <v>0</v>
      </c>
      <c r="AG3" s="103">
        <f>Public_Final!AP15</f>
        <v>0</v>
      </c>
      <c r="AH3" s="103">
        <f>Public_Final!AQ15</f>
        <v>0</v>
      </c>
      <c r="AI3" s="103">
        <f>Public_Final!AR15</f>
        <v>0</v>
      </c>
      <c r="AJ3" s="103">
        <f>Public_Final!AS15</f>
        <v>0</v>
      </c>
      <c r="AK3" s="103">
        <f>Public_Final!AT15</f>
        <v>0</v>
      </c>
      <c r="AL3" s="103">
        <f>Public_Final!AU15</f>
        <v>0</v>
      </c>
    </row>
    <row r="4" spans="1:38">
      <c r="A4" s="103" t="str">
        <f>Public_Final!B16</f>
        <v>natural gas(BTU)</v>
      </c>
      <c r="B4" s="103">
        <f>Public_Final!K16</f>
        <v>0</v>
      </c>
      <c r="C4" s="103">
        <f>Public_Final!L16</f>
        <v>0</v>
      </c>
      <c r="D4" s="103">
        <f>Public_Final!M16</f>
        <v>0</v>
      </c>
      <c r="E4" s="103">
        <f>Public_Final!N16</f>
        <v>0</v>
      </c>
      <c r="F4" s="103">
        <f>Public_Final!O16</f>
        <v>0</v>
      </c>
      <c r="G4" s="103">
        <f>Public_Final!P16</f>
        <v>0</v>
      </c>
      <c r="H4" s="103">
        <f>Public_Final!Q16</f>
        <v>0</v>
      </c>
      <c r="I4" s="103">
        <f>Public_Final!R16</f>
        <v>0</v>
      </c>
      <c r="J4" s="103">
        <f>Public_Final!S16</f>
        <v>0</v>
      </c>
      <c r="K4" s="103">
        <f>Public_Final!T16</f>
        <v>0</v>
      </c>
      <c r="L4" s="103">
        <f>Public_Final!U16</f>
        <v>0</v>
      </c>
      <c r="M4" s="103">
        <f>Public_Final!V16</f>
        <v>0</v>
      </c>
      <c r="N4" s="103">
        <f>Public_Final!W16</f>
        <v>0</v>
      </c>
      <c r="O4" s="103">
        <f>Public_Final!X16</f>
        <v>0</v>
      </c>
      <c r="P4" s="103">
        <f>Public_Final!Y16</f>
        <v>0</v>
      </c>
      <c r="Q4" s="103">
        <f>Public_Final!Z16</f>
        <v>0</v>
      </c>
      <c r="R4" s="103">
        <f>Public_Final!AA16</f>
        <v>0</v>
      </c>
      <c r="S4" s="103">
        <f>Public_Final!AB16</f>
        <v>0</v>
      </c>
      <c r="T4" s="103">
        <f>Public_Final!AC16</f>
        <v>0</v>
      </c>
      <c r="U4" s="103">
        <f>Public_Final!AD16</f>
        <v>0</v>
      </c>
      <c r="V4" s="103">
        <f>Public_Final!AE16</f>
        <v>0</v>
      </c>
      <c r="W4" s="103">
        <f>Public_Final!AF16</f>
        <v>0</v>
      </c>
      <c r="X4" s="103">
        <f>Public_Final!AG16</f>
        <v>0</v>
      </c>
      <c r="Y4" s="103">
        <f>Public_Final!AH16</f>
        <v>0</v>
      </c>
      <c r="Z4" s="103">
        <f>Public_Final!AI16</f>
        <v>0</v>
      </c>
      <c r="AA4" s="103">
        <f>Public_Final!AJ16</f>
        <v>0</v>
      </c>
      <c r="AB4" s="103">
        <f>Public_Final!AK16</f>
        <v>0</v>
      </c>
      <c r="AC4" s="103">
        <f>Public_Final!AL16</f>
        <v>0</v>
      </c>
      <c r="AD4" s="103">
        <f>Public_Final!AM16</f>
        <v>0</v>
      </c>
      <c r="AE4" s="103">
        <f>Public_Final!AN16</f>
        <v>0</v>
      </c>
      <c r="AF4" s="103">
        <f>Public_Final!AO16</f>
        <v>0</v>
      </c>
      <c r="AG4" s="103">
        <f>Public_Final!AP16</f>
        <v>0</v>
      </c>
      <c r="AH4" s="103">
        <f>Public_Final!AQ16</f>
        <v>0</v>
      </c>
      <c r="AI4" s="103">
        <f>Public_Final!AR16</f>
        <v>0</v>
      </c>
      <c r="AJ4" s="103">
        <f>Public_Final!AS16</f>
        <v>0</v>
      </c>
      <c r="AK4" s="103">
        <f>Public_Final!AT16</f>
        <v>0</v>
      </c>
      <c r="AL4" s="103">
        <f>Public_Final!AU16</f>
        <v>0</v>
      </c>
    </row>
    <row r="5" spans="1:38">
      <c r="A5" s="103" t="str">
        <f>Public_Final!B17</f>
        <v>petroleum diesel (BTU)</v>
      </c>
      <c r="B5" s="103">
        <f>Public_Final!K17</f>
        <v>0</v>
      </c>
      <c r="C5" s="103">
        <f>Public_Final!L17</f>
        <v>0</v>
      </c>
      <c r="D5" s="103">
        <f>Public_Final!M17</f>
        <v>0</v>
      </c>
      <c r="E5" s="103">
        <f>Public_Final!N17</f>
        <v>0</v>
      </c>
      <c r="F5" s="103">
        <f>Public_Final!O17</f>
        <v>0</v>
      </c>
      <c r="G5" s="103">
        <f>Public_Final!P17</f>
        <v>0</v>
      </c>
      <c r="H5" s="103">
        <f>Public_Final!Q17</f>
        <v>0</v>
      </c>
      <c r="I5" s="103">
        <f>Public_Final!R17</f>
        <v>0</v>
      </c>
      <c r="J5" s="103">
        <f>Public_Final!S17</f>
        <v>0</v>
      </c>
      <c r="K5" s="103">
        <f>Public_Final!T17</f>
        <v>0</v>
      </c>
      <c r="L5" s="103">
        <f>Public_Final!U17</f>
        <v>0</v>
      </c>
      <c r="M5" s="103">
        <f>Public_Final!V17</f>
        <v>0</v>
      </c>
      <c r="N5" s="103">
        <f>Public_Final!W17</f>
        <v>0</v>
      </c>
      <c r="O5" s="103">
        <f>Public_Final!X17</f>
        <v>0</v>
      </c>
      <c r="P5" s="103">
        <f>Public_Final!Y17</f>
        <v>0</v>
      </c>
      <c r="Q5" s="103">
        <f>Public_Final!Z17</f>
        <v>0</v>
      </c>
      <c r="R5" s="103">
        <f>Public_Final!AA17</f>
        <v>0</v>
      </c>
      <c r="S5" s="103">
        <f>Public_Final!AB17</f>
        <v>0</v>
      </c>
      <c r="T5" s="103">
        <f>Public_Final!AC17</f>
        <v>0</v>
      </c>
      <c r="U5" s="103">
        <f>Public_Final!AD17</f>
        <v>0</v>
      </c>
      <c r="V5" s="103">
        <f>Public_Final!AE17</f>
        <v>0</v>
      </c>
      <c r="W5" s="103">
        <f>Public_Final!AF17</f>
        <v>0</v>
      </c>
      <c r="X5" s="103">
        <f>Public_Final!AG17</f>
        <v>0</v>
      </c>
      <c r="Y5" s="103">
        <f>Public_Final!AH17</f>
        <v>0</v>
      </c>
      <c r="Z5" s="103">
        <f>Public_Final!AI17</f>
        <v>0</v>
      </c>
      <c r="AA5" s="103">
        <f>Public_Final!AJ17</f>
        <v>0</v>
      </c>
      <c r="AB5" s="103">
        <f>Public_Final!AK17</f>
        <v>0</v>
      </c>
      <c r="AC5" s="103">
        <f>Public_Final!AL17</f>
        <v>0</v>
      </c>
      <c r="AD5" s="103">
        <f>Public_Final!AM17</f>
        <v>0</v>
      </c>
      <c r="AE5" s="103">
        <f>Public_Final!AN17</f>
        <v>0</v>
      </c>
      <c r="AF5" s="103">
        <f>Public_Final!AO17</f>
        <v>0</v>
      </c>
      <c r="AG5" s="103">
        <f>Public_Final!AP17</f>
        <v>0</v>
      </c>
      <c r="AH5" s="103">
        <f>Public_Final!AQ17</f>
        <v>0</v>
      </c>
      <c r="AI5" s="103">
        <f>Public_Final!AR17</f>
        <v>0</v>
      </c>
      <c r="AJ5" s="103">
        <f>Public_Final!AS17</f>
        <v>0</v>
      </c>
      <c r="AK5" s="103">
        <f>Public_Final!AT17</f>
        <v>0</v>
      </c>
      <c r="AL5" s="103">
        <f>Public_Final!AU17</f>
        <v>0</v>
      </c>
    </row>
    <row r="6" spans="1:38">
      <c r="A6" s="103" t="str">
        <f>Public_Final!B18</f>
        <v>heat (BTU)</v>
      </c>
      <c r="B6" s="103">
        <f>Public_Final!K18</f>
        <v>0</v>
      </c>
      <c r="C6" s="103">
        <f>Public_Final!L18</f>
        <v>0</v>
      </c>
      <c r="D6" s="103">
        <f>Public_Final!M18</f>
        <v>0</v>
      </c>
      <c r="E6" s="103">
        <f>Public_Final!N18</f>
        <v>0</v>
      </c>
      <c r="F6" s="103">
        <f>Public_Final!O18</f>
        <v>0</v>
      </c>
      <c r="G6" s="103">
        <f>Public_Final!P18</f>
        <v>0</v>
      </c>
      <c r="H6" s="103">
        <f>Public_Final!Q18</f>
        <v>0</v>
      </c>
      <c r="I6" s="103">
        <f>Public_Final!R18</f>
        <v>0</v>
      </c>
      <c r="J6" s="103">
        <f>Public_Final!S18</f>
        <v>0</v>
      </c>
      <c r="K6" s="103">
        <f>Public_Final!T18</f>
        <v>0</v>
      </c>
      <c r="L6" s="103">
        <f>Public_Final!U18</f>
        <v>0</v>
      </c>
      <c r="M6" s="103">
        <f>Public_Final!V18</f>
        <v>0</v>
      </c>
      <c r="N6" s="103">
        <f>Public_Final!W18</f>
        <v>0</v>
      </c>
      <c r="O6" s="103">
        <f>Public_Final!X18</f>
        <v>0</v>
      </c>
      <c r="P6" s="103">
        <f>Public_Final!Y18</f>
        <v>0</v>
      </c>
      <c r="Q6" s="103">
        <f>Public_Final!Z18</f>
        <v>0</v>
      </c>
      <c r="R6" s="103">
        <f>Public_Final!AA18</f>
        <v>0</v>
      </c>
      <c r="S6" s="103">
        <f>Public_Final!AB18</f>
        <v>0</v>
      </c>
      <c r="T6" s="103">
        <f>Public_Final!AC18</f>
        <v>0</v>
      </c>
      <c r="U6" s="103">
        <f>Public_Final!AD18</f>
        <v>0</v>
      </c>
      <c r="V6" s="103">
        <f>Public_Final!AE18</f>
        <v>0</v>
      </c>
      <c r="W6" s="103">
        <f>Public_Final!AF18</f>
        <v>0</v>
      </c>
      <c r="X6" s="103">
        <f>Public_Final!AG18</f>
        <v>0</v>
      </c>
      <c r="Y6" s="103">
        <f>Public_Final!AH18</f>
        <v>0</v>
      </c>
      <c r="Z6" s="103">
        <f>Public_Final!AI18</f>
        <v>0</v>
      </c>
      <c r="AA6" s="103">
        <f>Public_Final!AJ18</f>
        <v>0</v>
      </c>
      <c r="AB6" s="103">
        <f>Public_Final!AK18</f>
        <v>0</v>
      </c>
      <c r="AC6" s="103">
        <f>Public_Final!AL18</f>
        <v>0</v>
      </c>
      <c r="AD6" s="103">
        <f>Public_Final!AM18</f>
        <v>0</v>
      </c>
      <c r="AE6" s="103">
        <f>Public_Final!AN18</f>
        <v>0</v>
      </c>
      <c r="AF6" s="103">
        <f>Public_Final!AO18</f>
        <v>0</v>
      </c>
      <c r="AG6" s="103">
        <f>Public_Final!AP18</f>
        <v>0</v>
      </c>
      <c r="AH6" s="103">
        <f>Public_Final!AQ18</f>
        <v>0</v>
      </c>
      <c r="AI6" s="103">
        <f>Public_Final!AR18</f>
        <v>0</v>
      </c>
      <c r="AJ6" s="103">
        <f>Public_Final!AS18</f>
        <v>0</v>
      </c>
      <c r="AK6" s="103">
        <f>Public_Final!AT18</f>
        <v>0</v>
      </c>
      <c r="AL6" s="103">
        <f>Public_Final!AU18</f>
        <v>0</v>
      </c>
    </row>
    <row r="7" spans="1:38">
      <c r="A7" s="103" t="str">
        <f>Public_Final!B19</f>
        <v>biomass (BTU)</v>
      </c>
      <c r="B7" s="103">
        <f>Public_Final!K19</f>
        <v>0</v>
      </c>
      <c r="C7" s="103">
        <f>Public_Final!L19</f>
        <v>0</v>
      </c>
      <c r="D7" s="103">
        <f>Public_Final!M19</f>
        <v>0</v>
      </c>
      <c r="E7" s="103">
        <f>Public_Final!N19</f>
        <v>0</v>
      </c>
      <c r="F7" s="103">
        <f>Public_Final!O19</f>
        <v>0</v>
      </c>
      <c r="G7" s="103">
        <f>Public_Final!P19</f>
        <v>0</v>
      </c>
      <c r="H7" s="103">
        <f>Public_Final!Q19</f>
        <v>0</v>
      </c>
      <c r="I7" s="103">
        <f>Public_Final!R19</f>
        <v>0</v>
      </c>
      <c r="J7" s="103">
        <f>Public_Final!S19</f>
        <v>0</v>
      </c>
      <c r="K7" s="103">
        <f>Public_Final!T19</f>
        <v>0</v>
      </c>
      <c r="L7" s="103">
        <f>Public_Final!U19</f>
        <v>0</v>
      </c>
      <c r="M7" s="103">
        <f>Public_Final!V19</f>
        <v>0</v>
      </c>
      <c r="N7" s="103">
        <f>Public_Final!W19</f>
        <v>0</v>
      </c>
      <c r="O7" s="103">
        <f>Public_Final!X19</f>
        <v>0</v>
      </c>
      <c r="P7" s="103">
        <f>Public_Final!Y19</f>
        <v>0</v>
      </c>
      <c r="Q7" s="103">
        <f>Public_Final!Z19</f>
        <v>0</v>
      </c>
      <c r="R7" s="103">
        <f>Public_Final!AA19</f>
        <v>0</v>
      </c>
      <c r="S7" s="103">
        <f>Public_Final!AB19</f>
        <v>0</v>
      </c>
      <c r="T7" s="103">
        <f>Public_Final!AC19</f>
        <v>0</v>
      </c>
      <c r="U7" s="103">
        <f>Public_Final!AD19</f>
        <v>0</v>
      </c>
      <c r="V7" s="103">
        <f>Public_Final!AE19</f>
        <v>0</v>
      </c>
      <c r="W7" s="103">
        <f>Public_Final!AF19</f>
        <v>0</v>
      </c>
      <c r="X7" s="103">
        <f>Public_Final!AG19</f>
        <v>0</v>
      </c>
      <c r="Y7" s="103">
        <f>Public_Final!AH19</f>
        <v>0</v>
      </c>
      <c r="Z7" s="103">
        <f>Public_Final!AI19</f>
        <v>0</v>
      </c>
      <c r="AA7" s="103">
        <f>Public_Final!AJ19</f>
        <v>0</v>
      </c>
      <c r="AB7" s="103">
        <f>Public_Final!AK19</f>
        <v>0</v>
      </c>
      <c r="AC7" s="103">
        <f>Public_Final!AL19</f>
        <v>0</v>
      </c>
      <c r="AD7" s="103">
        <f>Public_Final!AM19</f>
        <v>0</v>
      </c>
      <c r="AE7" s="103">
        <f>Public_Final!AN19</f>
        <v>0</v>
      </c>
      <c r="AF7" s="103">
        <f>Public_Final!AO19</f>
        <v>0</v>
      </c>
      <c r="AG7" s="103">
        <f>Public_Final!AP19</f>
        <v>0</v>
      </c>
      <c r="AH7" s="103">
        <f>Public_Final!AQ19</f>
        <v>0</v>
      </c>
      <c r="AI7" s="103">
        <f>Public_Final!AR19</f>
        <v>0</v>
      </c>
      <c r="AJ7" s="103">
        <f>Public_Final!AS19</f>
        <v>0</v>
      </c>
      <c r="AK7" s="103">
        <f>Public_Final!AT19</f>
        <v>0</v>
      </c>
      <c r="AL7" s="103">
        <f>Public_Final!AU19</f>
        <v>0</v>
      </c>
    </row>
  </sheetData>
  <phoneticPr fontId="3"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4" tint="-0.499984740745262"/>
  </sheetPr>
  <dimension ref="A1:AL7"/>
  <sheetViews>
    <sheetView workbookViewId="0">
      <pane xSplit="1" topLeftCell="B1" activePane="topRight" state="frozen"/>
      <selection activeCell="G19" sqref="G19"/>
      <selection pane="topRight" activeCell="H13" sqref="A1:XFD1048576"/>
    </sheetView>
  </sheetViews>
  <sheetFormatPr defaultColWidth="8.7109375" defaultRowHeight="15"/>
  <cols>
    <col min="1" max="1" width="19.7109375" style="103" bestFit="1" customWidth="1"/>
    <col min="2" max="16384" width="8.7109375" style="103"/>
  </cols>
  <sheetData>
    <row r="1" spans="1:38" s="60" customFormat="1">
      <c r="A1" s="60" t="str">
        <f>Public_Final!B4</f>
        <v>Year</v>
      </c>
      <c r="B1" s="60">
        <f>Public_Final!K4</f>
        <v>2014</v>
      </c>
      <c r="C1" s="60">
        <f>Public_Final!L4</f>
        <v>2015</v>
      </c>
      <c r="D1" s="60">
        <f>Public_Final!M4</f>
        <v>2016</v>
      </c>
      <c r="E1" s="60">
        <f>Public_Final!N4</f>
        <v>2017</v>
      </c>
      <c r="F1" s="60">
        <f>Public_Final!O4</f>
        <v>2018</v>
      </c>
      <c r="G1" s="60">
        <f>Public_Final!P4</f>
        <v>2019</v>
      </c>
      <c r="H1" s="60">
        <f>Public_Final!Q4</f>
        <v>2020</v>
      </c>
      <c r="I1" s="60">
        <f>Public_Final!R4</f>
        <v>2021</v>
      </c>
      <c r="J1" s="60">
        <f>Public_Final!S4</f>
        <v>2022</v>
      </c>
      <c r="K1" s="60">
        <f>Public_Final!T4</f>
        <v>2023</v>
      </c>
      <c r="L1" s="60">
        <f>Public_Final!U4</f>
        <v>2024</v>
      </c>
      <c r="M1" s="60">
        <f>Public_Final!V4</f>
        <v>2025</v>
      </c>
      <c r="N1" s="60">
        <f>Public_Final!W4</f>
        <v>2026</v>
      </c>
      <c r="O1" s="60">
        <f>Public_Final!X4</f>
        <v>2027</v>
      </c>
      <c r="P1" s="60">
        <f>Public_Final!Y4</f>
        <v>2028</v>
      </c>
      <c r="Q1" s="60">
        <f>Public_Final!Z4</f>
        <v>2029</v>
      </c>
      <c r="R1" s="60">
        <f>Public_Final!AA4</f>
        <v>2030</v>
      </c>
      <c r="S1" s="60">
        <f>Public_Final!AB4</f>
        <v>2031</v>
      </c>
      <c r="T1" s="60">
        <f>Public_Final!AC4</f>
        <v>2032</v>
      </c>
      <c r="U1" s="60">
        <f>Public_Final!AD4</f>
        <v>2033</v>
      </c>
      <c r="V1" s="60">
        <f>Public_Final!AE4</f>
        <v>2034</v>
      </c>
      <c r="W1" s="60">
        <f>Public_Final!AF4</f>
        <v>2035</v>
      </c>
      <c r="X1" s="60">
        <f>Public_Final!AG4</f>
        <v>2036</v>
      </c>
      <c r="Y1" s="60">
        <f>Public_Final!AH4</f>
        <v>2037</v>
      </c>
      <c r="Z1" s="60">
        <f>Public_Final!AI4</f>
        <v>2038</v>
      </c>
      <c r="AA1" s="60">
        <f>Public_Final!AJ4</f>
        <v>2039</v>
      </c>
      <c r="AB1" s="60">
        <f>Public_Final!AK4</f>
        <v>2040</v>
      </c>
      <c r="AC1" s="60">
        <f>Public_Final!AL4</f>
        <v>2041</v>
      </c>
      <c r="AD1" s="60">
        <f>Public_Final!AM4</f>
        <v>2042</v>
      </c>
      <c r="AE1" s="60">
        <f>Public_Final!AN4</f>
        <v>2043</v>
      </c>
      <c r="AF1" s="60">
        <f>Public_Final!AO4</f>
        <v>2044</v>
      </c>
      <c r="AG1" s="60">
        <f>Public_Final!AP4</f>
        <v>2045</v>
      </c>
      <c r="AH1" s="60">
        <f>Public_Final!AQ4</f>
        <v>2046</v>
      </c>
      <c r="AI1" s="60">
        <f>Public_Final!AR4</f>
        <v>2047</v>
      </c>
      <c r="AJ1" s="60">
        <f>Public_Final!AS4</f>
        <v>2048</v>
      </c>
      <c r="AK1" s="60">
        <f>Public_Final!AT4</f>
        <v>2049</v>
      </c>
      <c r="AL1" s="60">
        <f>Public_Final!AU4</f>
        <v>2050</v>
      </c>
    </row>
    <row r="2" spans="1:38" s="175" customFormat="1">
      <c r="A2" s="103" t="str">
        <f>Public_Final!B5</f>
        <v>electricity(BTU)</v>
      </c>
      <c r="B2" s="103">
        <f>Public_Final!K5</f>
        <v>1501693801840.5466</v>
      </c>
      <c r="C2" s="103">
        <f>Public_Final!L5</f>
        <v>1458351680524.2966</v>
      </c>
      <c r="D2" s="103">
        <f>Public_Final!M5</f>
        <v>1506627002058.0261</v>
      </c>
      <c r="E2" s="103">
        <f>Public_Final!N5</f>
        <v>1406582826999.4819</v>
      </c>
      <c r="F2" s="103">
        <f>Public_Final!O5</f>
        <v>1421744738572.0308</v>
      </c>
      <c r="G2" s="103">
        <f>Public_Final!P5</f>
        <v>1435153415740.4446</v>
      </c>
      <c r="H2" s="103">
        <f>Public_Final!Q5</f>
        <v>1449018285472.6243</v>
      </c>
      <c r="I2" s="103">
        <f>Public_Final!R5</f>
        <v>1461592249791.6628</v>
      </c>
      <c r="J2" s="103">
        <f>Public_Final!S5</f>
        <v>1473674309576.8711</v>
      </c>
      <c r="K2" s="103">
        <f>Public_Final!T5</f>
        <v>1485144721932.9797</v>
      </c>
      <c r="L2" s="103">
        <f>Public_Final!U5</f>
        <v>1495400950152.1001</v>
      </c>
      <c r="M2" s="103">
        <f>Public_Final!V5</f>
        <v>1504823641242.8157</v>
      </c>
      <c r="N2" s="103">
        <f>Public_Final!W5</f>
        <v>1513196563814.8411</v>
      </c>
      <c r="O2" s="103">
        <f>Public_Final!X5</f>
        <v>1520845441809.4482</v>
      </c>
      <c r="P2" s="103">
        <f>Public_Final!Y5</f>
        <v>1528407289281.9214</v>
      </c>
      <c r="Q2" s="103">
        <f>Public_Final!Z5</f>
        <v>1535590809268.8174</v>
      </c>
      <c r="R2" s="103">
        <f>Public_Final!AA5</f>
        <v>1542065677665.199</v>
      </c>
      <c r="S2" s="103">
        <f>Public_Final!AB5</f>
        <v>1548043982160.2637</v>
      </c>
      <c r="T2" s="103">
        <f>Public_Final!AC5</f>
        <v>1553583149264.0405</v>
      </c>
      <c r="U2" s="103">
        <f>Public_Final!AD5</f>
        <v>1558837392345.8174</v>
      </c>
      <c r="V2" s="103">
        <f>Public_Final!AE5</f>
        <v>1563419481297.2253</v>
      </c>
      <c r="W2" s="103">
        <f>Public_Final!AF5</f>
        <v>1567059535200.575</v>
      </c>
      <c r="X2" s="103">
        <f>Public_Final!AG5</f>
        <v>1569894324784.2678</v>
      </c>
      <c r="Y2" s="103">
        <f>Public_Final!AH5</f>
        <v>1571887302746.1436</v>
      </c>
      <c r="Z2" s="103">
        <f>Public_Final!AI5</f>
        <v>1572925837387.2166</v>
      </c>
      <c r="AA2" s="103">
        <f>Public_Final!AJ5</f>
        <v>1572821969585.9685</v>
      </c>
      <c r="AB2" s="103">
        <f>Public_Final!AK5</f>
        <v>1571753871906.3979</v>
      </c>
      <c r="AC2" s="103">
        <f>Public_Final!AL5</f>
        <v>1569612498449.1687</v>
      </c>
      <c r="AD2" s="103">
        <f>Public_Final!AM5</f>
        <v>1566500321660.2551</v>
      </c>
      <c r="AE2" s="103">
        <f>Public_Final!AN5</f>
        <v>1562728833643.979</v>
      </c>
      <c r="AF2" s="103">
        <f>Public_Final!AO5</f>
        <v>1558227632666.6289</v>
      </c>
      <c r="AG2" s="103">
        <f>Public_Final!AP5</f>
        <v>1552870869468.157</v>
      </c>
      <c r="AH2" s="103">
        <f>Public_Final!AQ5</f>
        <v>1546742122750.9929</v>
      </c>
      <c r="AI2" s="103">
        <f>Public_Final!AR5</f>
        <v>1539661585287.832</v>
      </c>
      <c r="AJ2" s="103">
        <f>Public_Final!AS5</f>
        <v>1531939235401.5554</v>
      </c>
      <c r="AK2" s="103">
        <f>Public_Final!AT5</f>
        <v>1523415103038.4424</v>
      </c>
      <c r="AL2" s="103">
        <f>Public_Final!AU5</f>
        <v>1514136520247.052</v>
      </c>
    </row>
    <row r="3" spans="1:38" s="175" customFormat="1">
      <c r="A3" s="103" t="str">
        <f>Public_Final!B6</f>
        <v>coal(BTU)</v>
      </c>
      <c r="B3" s="103">
        <f>Public_Final!K6</f>
        <v>0</v>
      </c>
      <c r="C3" s="103">
        <f>Public_Final!L6</f>
        <v>0</v>
      </c>
      <c r="D3" s="103">
        <f>Public_Final!M6</f>
        <v>0</v>
      </c>
      <c r="E3" s="103">
        <f>Public_Final!N6</f>
        <v>0</v>
      </c>
      <c r="F3" s="103">
        <f>Public_Final!O6</f>
        <v>0</v>
      </c>
      <c r="G3" s="103">
        <f>Public_Final!P6</f>
        <v>0</v>
      </c>
      <c r="H3" s="103">
        <f>Public_Final!Q6</f>
        <v>0</v>
      </c>
      <c r="I3" s="103">
        <f>Public_Final!R6</f>
        <v>0</v>
      </c>
      <c r="J3" s="103">
        <f>Public_Final!S6</f>
        <v>0</v>
      </c>
      <c r="K3" s="103">
        <f>Public_Final!T6</f>
        <v>0</v>
      </c>
      <c r="L3" s="103">
        <f>Public_Final!U6</f>
        <v>0</v>
      </c>
      <c r="M3" s="103">
        <f>Public_Final!V6</f>
        <v>0</v>
      </c>
      <c r="N3" s="103">
        <f>Public_Final!W6</f>
        <v>0</v>
      </c>
      <c r="O3" s="103">
        <f>Public_Final!X6</f>
        <v>0</v>
      </c>
      <c r="P3" s="103">
        <f>Public_Final!Y6</f>
        <v>0</v>
      </c>
      <c r="Q3" s="103">
        <f>Public_Final!Z6</f>
        <v>0</v>
      </c>
      <c r="R3" s="103">
        <f>Public_Final!AA6</f>
        <v>0</v>
      </c>
      <c r="S3" s="103">
        <f>Public_Final!AB6</f>
        <v>0</v>
      </c>
      <c r="T3" s="103">
        <f>Public_Final!AC6</f>
        <v>0</v>
      </c>
      <c r="U3" s="103">
        <f>Public_Final!AD6</f>
        <v>0</v>
      </c>
      <c r="V3" s="103">
        <f>Public_Final!AE6</f>
        <v>0</v>
      </c>
      <c r="W3" s="103">
        <f>Public_Final!AF6</f>
        <v>0</v>
      </c>
      <c r="X3" s="103">
        <f>Public_Final!AG6</f>
        <v>0</v>
      </c>
      <c r="Y3" s="103">
        <f>Public_Final!AH6</f>
        <v>0</v>
      </c>
      <c r="Z3" s="103">
        <f>Public_Final!AI6</f>
        <v>0</v>
      </c>
      <c r="AA3" s="103">
        <f>Public_Final!AJ6</f>
        <v>0</v>
      </c>
      <c r="AB3" s="103">
        <f>Public_Final!AK6</f>
        <v>0</v>
      </c>
      <c r="AC3" s="103">
        <f>Public_Final!AL6</f>
        <v>0</v>
      </c>
      <c r="AD3" s="103">
        <f>Public_Final!AM6</f>
        <v>0</v>
      </c>
      <c r="AE3" s="103">
        <f>Public_Final!AN6</f>
        <v>0</v>
      </c>
      <c r="AF3" s="103">
        <f>Public_Final!AO6</f>
        <v>0</v>
      </c>
      <c r="AG3" s="103">
        <f>Public_Final!AP6</f>
        <v>0</v>
      </c>
      <c r="AH3" s="103">
        <f>Public_Final!AQ6</f>
        <v>0</v>
      </c>
      <c r="AI3" s="103">
        <f>Public_Final!AR6</f>
        <v>0</v>
      </c>
      <c r="AJ3" s="103">
        <f>Public_Final!AS6</f>
        <v>0</v>
      </c>
      <c r="AK3" s="103">
        <f>Public_Final!AT6</f>
        <v>0</v>
      </c>
      <c r="AL3" s="103">
        <f>Public_Final!AU6</f>
        <v>0</v>
      </c>
    </row>
    <row r="4" spans="1:38" s="175" customFormat="1">
      <c r="A4" s="103" t="str">
        <f>Public_Final!B7</f>
        <v>natural gas(BTU)</v>
      </c>
      <c r="B4" s="103">
        <f>Public_Final!K7</f>
        <v>0</v>
      </c>
      <c r="C4" s="103">
        <f>Public_Final!L7</f>
        <v>0</v>
      </c>
      <c r="D4" s="103">
        <f>Public_Final!M7</f>
        <v>0</v>
      </c>
      <c r="E4" s="103">
        <f>Public_Final!N7</f>
        <v>0</v>
      </c>
      <c r="F4" s="103">
        <f>Public_Final!O7</f>
        <v>0</v>
      </c>
      <c r="G4" s="103">
        <f>Public_Final!P7</f>
        <v>0</v>
      </c>
      <c r="H4" s="103">
        <f>Public_Final!Q7</f>
        <v>0</v>
      </c>
      <c r="I4" s="103">
        <f>Public_Final!R7</f>
        <v>0</v>
      </c>
      <c r="J4" s="103">
        <f>Public_Final!S7</f>
        <v>0</v>
      </c>
      <c r="K4" s="103">
        <f>Public_Final!T7</f>
        <v>0</v>
      </c>
      <c r="L4" s="103">
        <f>Public_Final!U7</f>
        <v>0</v>
      </c>
      <c r="M4" s="103">
        <f>Public_Final!V7</f>
        <v>0</v>
      </c>
      <c r="N4" s="103">
        <f>Public_Final!W7</f>
        <v>0</v>
      </c>
      <c r="O4" s="103">
        <f>Public_Final!X7</f>
        <v>0</v>
      </c>
      <c r="P4" s="103">
        <f>Public_Final!Y7</f>
        <v>0</v>
      </c>
      <c r="Q4" s="103">
        <f>Public_Final!Z7</f>
        <v>0</v>
      </c>
      <c r="R4" s="103">
        <f>Public_Final!AA7</f>
        <v>0</v>
      </c>
      <c r="S4" s="103">
        <f>Public_Final!AB7</f>
        <v>0</v>
      </c>
      <c r="T4" s="103">
        <f>Public_Final!AC7</f>
        <v>0</v>
      </c>
      <c r="U4" s="103">
        <f>Public_Final!AD7</f>
        <v>0</v>
      </c>
      <c r="V4" s="103">
        <f>Public_Final!AE7</f>
        <v>0</v>
      </c>
      <c r="W4" s="103">
        <f>Public_Final!AF7</f>
        <v>0</v>
      </c>
      <c r="X4" s="103">
        <f>Public_Final!AG7</f>
        <v>0</v>
      </c>
      <c r="Y4" s="103">
        <f>Public_Final!AH7</f>
        <v>0</v>
      </c>
      <c r="Z4" s="103">
        <f>Public_Final!AI7</f>
        <v>0</v>
      </c>
      <c r="AA4" s="103">
        <f>Public_Final!AJ7</f>
        <v>0</v>
      </c>
      <c r="AB4" s="103">
        <f>Public_Final!AK7</f>
        <v>0</v>
      </c>
      <c r="AC4" s="103">
        <f>Public_Final!AL7</f>
        <v>0</v>
      </c>
      <c r="AD4" s="103">
        <f>Public_Final!AM7</f>
        <v>0</v>
      </c>
      <c r="AE4" s="103">
        <f>Public_Final!AN7</f>
        <v>0</v>
      </c>
      <c r="AF4" s="103">
        <f>Public_Final!AO7</f>
        <v>0</v>
      </c>
      <c r="AG4" s="103">
        <f>Public_Final!AP7</f>
        <v>0</v>
      </c>
      <c r="AH4" s="103">
        <f>Public_Final!AQ7</f>
        <v>0</v>
      </c>
      <c r="AI4" s="103">
        <f>Public_Final!AR7</f>
        <v>0</v>
      </c>
      <c r="AJ4" s="103">
        <f>Public_Final!AS7</f>
        <v>0</v>
      </c>
      <c r="AK4" s="103">
        <f>Public_Final!AT7</f>
        <v>0</v>
      </c>
      <c r="AL4" s="103">
        <f>Public_Final!AU7</f>
        <v>0</v>
      </c>
    </row>
    <row r="5" spans="1:38" s="175" customFormat="1">
      <c r="A5" s="103" t="str">
        <f>Public_Final!B8</f>
        <v>petroleum diesel (BTU)</v>
      </c>
      <c r="B5" s="103">
        <f>Public_Final!K8</f>
        <v>0</v>
      </c>
      <c r="C5" s="103">
        <f>Public_Final!L8</f>
        <v>0</v>
      </c>
      <c r="D5" s="103">
        <f>Public_Final!M8</f>
        <v>0</v>
      </c>
      <c r="E5" s="103">
        <f>Public_Final!N8</f>
        <v>0</v>
      </c>
      <c r="F5" s="103">
        <f>Public_Final!O8</f>
        <v>0</v>
      </c>
      <c r="G5" s="103">
        <f>Public_Final!P8</f>
        <v>0</v>
      </c>
      <c r="H5" s="103">
        <f>Public_Final!Q8</f>
        <v>0</v>
      </c>
      <c r="I5" s="103">
        <f>Public_Final!R8</f>
        <v>0</v>
      </c>
      <c r="J5" s="103">
        <f>Public_Final!S8</f>
        <v>0</v>
      </c>
      <c r="K5" s="103">
        <f>Public_Final!T8</f>
        <v>0</v>
      </c>
      <c r="L5" s="103">
        <f>Public_Final!U8</f>
        <v>0</v>
      </c>
      <c r="M5" s="103">
        <f>Public_Final!V8</f>
        <v>0</v>
      </c>
      <c r="N5" s="103">
        <f>Public_Final!W8</f>
        <v>0</v>
      </c>
      <c r="O5" s="103">
        <f>Public_Final!X8</f>
        <v>0</v>
      </c>
      <c r="P5" s="103">
        <f>Public_Final!Y8</f>
        <v>0</v>
      </c>
      <c r="Q5" s="103">
        <f>Public_Final!Z8</f>
        <v>0</v>
      </c>
      <c r="R5" s="103">
        <f>Public_Final!AA8</f>
        <v>0</v>
      </c>
      <c r="S5" s="103">
        <f>Public_Final!AB8</f>
        <v>0</v>
      </c>
      <c r="T5" s="103">
        <f>Public_Final!AC8</f>
        <v>0</v>
      </c>
      <c r="U5" s="103">
        <f>Public_Final!AD8</f>
        <v>0</v>
      </c>
      <c r="V5" s="103">
        <f>Public_Final!AE8</f>
        <v>0</v>
      </c>
      <c r="W5" s="103">
        <f>Public_Final!AF8</f>
        <v>0</v>
      </c>
      <c r="X5" s="103">
        <f>Public_Final!AG8</f>
        <v>0</v>
      </c>
      <c r="Y5" s="103">
        <f>Public_Final!AH8</f>
        <v>0</v>
      </c>
      <c r="Z5" s="103">
        <f>Public_Final!AI8</f>
        <v>0</v>
      </c>
      <c r="AA5" s="103">
        <f>Public_Final!AJ8</f>
        <v>0</v>
      </c>
      <c r="AB5" s="103">
        <f>Public_Final!AK8</f>
        <v>0</v>
      </c>
      <c r="AC5" s="103">
        <f>Public_Final!AL8</f>
        <v>0</v>
      </c>
      <c r="AD5" s="103">
        <f>Public_Final!AM8</f>
        <v>0</v>
      </c>
      <c r="AE5" s="103">
        <f>Public_Final!AN8</f>
        <v>0</v>
      </c>
      <c r="AF5" s="103">
        <f>Public_Final!AO8</f>
        <v>0</v>
      </c>
      <c r="AG5" s="103">
        <f>Public_Final!AP8</f>
        <v>0</v>
      </c>
      <c r="AH5" s="103">
        <f>Public_Final!AQ8</f>
        <v>0</v>
      </c>
      <c r="AI5" s="103">
        <f>Public_Final!AR8</f>
        <v>0</v>
      </c>
      <c r="AJ5" s="103">
        <f>Public_Final!AS8</f>
        <v>0</v>
      </c>
      <c r="AK5" s="103">
        <f>Public_Final!AT8</f>
        <v>0</v>
      </c>
      <c r="AL5" s="103">
        <f>Public_Final!AU8</f>
        <v>0</v>
      </c>
    </row>
    <row r="6" spans="1:38">
      <c r="A6" s="103" t="str">
        <f>Public_Final!B9</f>
        <v>heat (BTU)</v>
      </c>
      <c r="B6" s="103">
        <f>Public_Final!K9</f>
        <v>0</v>
      </c>
      <c r="C6" s="103">
        <f>Public_Final!L9</f>
        <v>0</v>
      </c>
      <c r="D6" s="103">
        <f>Public_Final!M9</f>
        <v>0</v>
      </c>
      <c r="E6" s="103">
        <f>Public_Final!N9</f>
        <v>0</v>
      </c>
      <c r="F6" s="103">
        <f>Public_Final!O9</f>
        <v>0</v>
      </c>
      <c r="G6" s="103">
        <f>Public_Final!P9</f>
        <v>0</v>
      </c>
      <c r="H6" s="103">
        <f>Public_Final!Q9</f>
        <v>0</v>
      </c>
      <c r="I6" s="103">
        <f>Public_Final!R9</f>
        <v>0</v>
      </c>
      <c r="J6" s="103">
        <f>Public_Final!S9</f>
        <v>0</v>
      </c>
      <c r="K6" s="103">
        <f>Public_Final!T9</f>
        <v>0</v>
      </c>
      <c r="L6" s="103">
        <f>Public_Final!U9</f>
        <v>0</v>
      </c>
      <c r="M6" s="103">
        <f>Public_Final!V9</f>
        <v>0</v>
      </c>
      <c r="N6" s="103">
        <f>Public_Final!W9</f>
        <v>0</v>
      </c>
      <c r="O6" s="103">
        <f>Public_Final!X9</f>
        <v>0</v>
      </c>
      <c r="P6" s="103">
        <f>Public_Final!Y9</f>
        <v>0</v>
      </c>
      <c r="Q6" s="103">
        <f>Public_Final!Z9</f>
        <v>0</v>
      </c>
      <c r="R6" s="103">
        <f>Public_Final!AA9</f>
        <v>0</v>
      </c>
      <c r="S6" s="103">
        <f>Public_Final!AB9</f>
        <v>0</v>
      </c>
      <c r="T6" s="103">
        <f>Public_Final!AC9</f>
        <v>0</v>
      </c>
      <c r="U6" s="103">
        <f>Public_Final!AD9</f>
        <v>0</v>
      </c>
      <c r="V6" s="103">
        <f>Public_Final!AE9</f>
        <v>0</v>
      </c>
      <c r="W6" s="103">
        <f>Public_Final!AF9</f>
        <v>0</v>
      </c>
      <c r="X6" s="103">
        <f>Public_Final!AG9</f>
        <v>0</v>
      </c>
      <c r="Y6" s="103">
        <f>Public_Final!AH9</f>
        <v>0</v>
      </c>
      <c r="Z6" s="103">
        <f>Public_Final!AI9</f>
        <v>0</v>
      </c>
      <c r="AA6" s="103">
        <f>Public_Final!AJ9</f>
        <v>0</v>
      </c>
      <c r="AB6" s="103">
        <f>Public_Final!AK9</f>
        <v>0</v>
      </c>
      <c r="AC6" s="103">
        <f>Public_Final!AL9</f>
        <v>0</v>
      </c>
      <c r="AD6" s="103">
        <f>Public_Final!AM9</f>
        <v>0</v>
      </c>
      <c r="AE6" s="103">
        <f>Public_Final!AN9</f>
        <v>0</v>
      </c>
      <c r="AF6" s="103">
        <f>Public_Final!AO9</f>
        <v>0</v>
      </c>
      <c r="AG6" s="103">
        <f>Public_Final!AP9</f>
        <v>0</v>
      </c>
      <c r="AH6" s="103">
        <f>Public_Final!AQ9</f>
        <v>0</v>
      </c>
      <c r="AI6" s="103">
        <f>Public_Final!AR9</f>
        <v>0</v>
      </c>
      <c r="AJ6" s="103">
        <f>Public_Final!AS9</f>
        <v>0</v>
      </c>
      <c r="AK6" s="103">
        <f>Public_Final!AT9</f>
        <v>0</v>
      </c>
      <c r="AL6" s="103">
        <f>Public_Final!AU9</f>
        <v>0</v>
      </c>
    </row>
    <row r="7" spans="1:38">
      <c r="A7" s="103" t="str">
        <f>Public_Final!B10</f>
        <v>biomass (BTU)</v>
      </c>
      <c r="B7" s="103">
        <f>Public_Final!K10</f>
        <v>0</v>
      </c>
      <c r="C7" s="103">
        <f>Public_Final!L10</f>
        <v>0</v>
      </c>
      <c r="D7" s="103">
        <f>Public_Final!M10</f>
        <v>0</v>
      </c>
      <c r="E7" s="103">
        <f>Public_Final!N10</f>
        <v>0</v>
      </c>
      <c r="F7" s="103">
        <f>Public_Final!O10</f>
        <v>0</v>
      </c>
      <c r="G7" s="103">
        <f>Public_Final!P10</f>
        <v>0</v>
      </c>
      <c r="H7" s="103">
        <f>Public_Final!Q10</f>
        <v>0</v>
      </c>
      <c r="I7" s="103">
        <f>Public_Final!R10</f>
        <v>0</v>
      </c>
      <c r="J7" s="103">
        <f>Public_Final!S10</f>
        <v>0</v>
      </c>
      <c r="K7" s="103">
        <f>Public_Final!T10</f>
        <v>0</v>
      </c>
      <c r="L7" s="103">
        <f>Public_Final!U10</f>
        <v>0</v>
      </c>
      <c r="M7" s="103">
        <f>Public_Final!V10</f>
        <v>0</v>
      </c>
      <c r="N7" s="103">
        <f>Public_Final!W10</f>
        <v>0</v>
      </c>
      <c r="O7" s="103">
        <f>Public_Final!X10</f>
        <v>0</v>
      </c>
      <c r="P7" s="103">
        <f>Public_Final!Y10</f>
        <v>0</v>
      </c>
      <c r="Q7" s="103">
        <f>Public_Final!Z10</f>
        <v>0</v>
      </c>
      <c r="R7" s="103">
        <f>Public_Final!AA10</f>
        <v>0</v>
      </c>
      <c r="S7" s="103">
        <f>Public_Final!AB10</f>
        <v>0</v>
      </c>
      <c r="T7" s="103">
        <f>Public_Final!AC10</f>
        <v>0</v>
      </c>
      <c r="U7" s="103">
        <f>Public_Final!AD10</f>
        <v>0</v>
      </c>
      <c r="V7" s="103">
        <f>Public_Final!AE10</f>
        <v>0</v>
      </c>
      <c r="W7" s="103">
        <f>Public_Final!AF10</f>
        <v>0</v>
      </c>
      <c r="X7" s="103">
        <f>Public_Final!AG10</f>
        <v>0</v>
      </c>
      <c r="Y7" s="103">
        <f>Public_Final!AH10</f>
        <v>0</v>
      </c>
      <c r="Z7" s="103">
        <f>Public_Final!AI10</f>
        <v>0</v>
      </c>
      <c r="AA7" s="103">
        <f>Public_Final!AJ10</f>
        <v>0</v>
      </c>
      <c r="AB7" s="103">
        <f>Public_Final!AK10</f>
        <v>0</v>
      </c>
      <c r="AC7" s="103">
        <f>Public_Final!AL10</f>
        <v>0</v>
      </c>
      <c r="AD7" s="103">
        <f>Public_Final!AM10</f>
        <v>0</v>
      </c>
      <c r="AE7" s="103">
        <f>Public_Final!AN10</f>
        <v>0</v>
      </c>
      <c r="AF7" s="103">
        <f>Public_Final!AO10</f>
        <v>0</v>
      </c>
      <c r="AG7" s="103">
        <f>Public_Final!AP10</f>
        <v>0</v>
      </c>
      <c r="AH7" s="103">
        <f>Public_Final!AQ10</f>
        <v>0</v>
      </c>
      <c r="AI7" s="103">
        <f>Public_Final!AR10</f>
        <v>0</v>
      </c>
      <c r="AJ7" s="103">
        <f>Public_Final!AS10</f>
        <v>0</v>
      </c>
      <c r="AK7" s="103">
        <f>Public_Final!AT10</f>
        <v>0</v>
      </c>
      <c r="AL7" s="103">
        <f>Public_Final!AU10</f>
        <v>0</v>
      </c>
    </row>
  </sheetData>
  <phoneticPr fontId="3"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4" tint="-0.499984740745262"/>
  </sheetPr>
  <dimension ref="A1:AL7"/>
  <sheetViews>
    <sheetView workbookViewId="0">
      <pane xSplit="1" topLeftCell="B1" activePane="topRight" state="frozen"/>
      <selection activeCell="G23" sqref="G23"/>
      <selection pane="topRight" activeCell="M14" sqref="M14"/>
    </sheetView>
  </sheetViews>
  <sheetFormatPr defaultColWidth="8.7109375" defaultRowHeight="15"/>
  <cols>
    <col min="1" max="1" width="19.7109375" style="103" bestFit="1" customWidth="1"/>
    <col min="2" max="16384" width="8.7109375" style="103"/>
  </cols>
  <sheetData>
    <row r="1" spans="1:38" s="60" customFormat="1">
      <c r="A1" s="60" t="str">
        <f>Public_Final!B31</f>
        <v>Year</v>
      </c>
      <c r="B1" s="60">
        <f>Public_Final!K31</f>
        <v>2014</v>
      </c>
      <c r="C1" s="60">
        <f>Public_Final!L31</f>
        <v>2015</v>
      </c>
      <c r="D1" s="60">
        <f>Public_Final!M31</f>
        <v>2016</v>
      </c>
      <c r="E1" s="60">
        <f>Public_Final!N31</f>
        <v>2017</v>
      </c>
      <c r="F1" s="60">
        <f>Public_Final!O31</f>
        <v>2018</v>
      </c>
      <c r="G1" s="60">
        <f>Public_Final!P31</f>
        <v>2019</v>
      </c>
      <c r="H1" s="60">
        <f>Public_Final!Q31</f>
        <v>2020</v>
      </c>
      <c r="I1" s="60">
        <f>Public_Final!R31</f>
        <v>2021</v>
      </c>
      <c r="J1" s="60">
        <f>Public_Final!S31</f>
        <v>2022</v>
      </c>
      <c r="K1" s="60">
        <f>Public_Final!T31</f>
        <v>2023</v>
      </c>
      <c r="L1" s="60">
        <f>Public_Final!U31</f>
        <v>2024</v>
      </c>
      <c r="M1" s="60">
        <f>Public_Final!V31</f>
        <v>2025</v>
      </c>
      <c r="N1" s="60">
        <f>Public_Final!W31</f>
        <v>2026</v>
      </c>
      <c r="O1" s="60">
        <f>Public_Final!X31</f>
        <v>2027</v>
      </c>
      <c r="P1" s="60">
        <f>Public_Final!Y31</f>
        <v>2028</v>
      </c>
      <c r="Q1" s="60">
        <f>Public_Final!Z31</f>
        <v>2029</v>
      </c>
      <c r="R1" s="60">
        <f>Public_Final!AA31</f>
        <v>2030</v>
      </c>
      <c r="S1" s="60">
        <f>Public_Final!AB31</f>
        <v>2031</v>
      </c>
      <c r="T1" s="60">
        <f>Public_Final!AC31</f>
        <v>2032</v>
      </c>
      <c r="U1" s="60">
        <f>Public_Final!AD31</f>
        <v>2033</v>
      </c>
      <c r="V1" s="60">
        <f>Public_Final!AE31</f>
        <v>2034</v>
      </c>
      <c r="W1" s="60">
        <f>Public_Final!AF31</f>
        <v>2035</v>
      </c>
      <c r="X1" s="60">
        <f>Public_Final!AG31</f>
        <v>2036</v>
      </c>
      <c r="Y1" s="60">
        <f>Public_Final!AH31</f>
        <v>2037</v>
      </c>
      <c r="Z1" s="60">
        <f>Public_Final!AI31</f>
        <v>2038</v>
      </c>
      <c r="AA1" s="60">
        <f>Public_Final!AJ31</f>
        <v>2039</v>
      </c>
      <c r="AB1" s="60">
        <f>Public_Final!AK31</f>
        <v>2040</v>
      </c>
      <c r="AC1" s="60">
        <f>Public_Final!AL31</f>
        <v>2041</v>
      </c>
      <c r="AD1" s="60">
        <f>Public_Final!AM31</f>
        <v>2042</v>
      </c>
      <c r="AE1" s="60">
        <f>Public_Final!AN31</f>
        <v>2043</v>
      </c>
      <c r="AF1" s="60">
        <f>Public_Final!AO31</f>
        <v>2044</v>
      </c>
      <c r="AG1" s="60">
        <f>Public_Final!AP31</f>
        <v>2045</v>
      </c>
      <c r="AH1" s="60">
        <f>Public_Final!AQ31</f>
        <v>2046</v>
      </c>
      <c r="AI1" s="60">
        <f>Public_Final!AR31</f>
        <v>2047</v>
      </c>
      <c r="AJ1" s="60">
        <f>Public_Final!AS31</f>
        <v>2048</v>
      </c>
      <c r="AK1" s="60">
        <f>Public_Final!AT31</f>
        <v>2049</v>
      </c>
      <c r="AL1" s="60">
        <f>Public_Final!AU31</f>
        <v>2050</v>
      </c>
    </row>
    <row r="2" spans="1:38" s="175" customFormat="1">
      <c r="A2" s="103" t="str">
        <f>Public_Final!B32</f>
        <v>electricity(BTU)</v>
      </c>
      <c r="B2" s="103">
        <f>Public_Final!K32</f>
        <v>8842502993056.9473</v>
      </c>
      <c r="C2" s="103">
        <f>Public_Final!L32</f>
        <v>8657221441074.168</v>
      </c>
      <c r="D2" s="103">
        <f>Public_Final!M32</f>
        <v>8836667863515.0234</v>
      </c>
      <c r="E2" s="103">
        <f>Public_Final!N32</f>
        <v>9662038481849.2188</v>
      </c>
      <c r="F2" s="103">
        <f>Public_Final!O32</f>
        <v>9723476934338.123</v>
      </c>
      <c r="G2" s="103">
        <f>Public_Final!P32</f>
        <v>9772067152427.7754</v>
      </c>
      <c r="H2" s="103">
        <f>Public_Final!Q32</f>
        <v>9822944941745.6816</v>
      </c>
      <c r="I2" s="103">
        <f>Public_Final!R32</f>
        <v>9864278053447.4473</v>
      </c>
      <c r="J2" s="103">
        <f>Public_Final!S32</f>
        <v>9901551291573.9863</v>
      </c>
      <c r="K2" s="103">
        <f>Public_Final!T32</f>
        <v>9934008051845.8633</v>
      </c>
      <c r="L2" s="103">
        <f>Public_Final!U32</f>
        <v>9957691251641.8672</v>
      </c>
      <c r="M2" s="103">
        <f>Public_Final!V32</f>
        <v>9975233569750.6836</v>
      </c>
      <c r="N2" s="103">
        <f>Public_Final!W32</f>
        <v>9985283264687.1563</v>
      </c>
      <c r="O2" s="103">
        <f>Public_Final!X32</f>
        <v>9990074549388.7441</v>
      </c>
      <c r="P2" s="103">
        <f>Public_Final!Y32</f>
        <v>9993837940120.832</v>
      </c>
      <c r="Q2" s="103">
        <f>Public_Final!Z32</f>
        <v>9994685327552.2422</v>
      </c>
      <c r="R2" s="103">
        <f>Public_Final!AA32</f>
        <v>9990510756336.9922</v>
      </c>
      <c r="S2" s="103">
        <f>Public_Final!AB32</f>
        <v>9982745762970.4629</v>
      </c>
      <c r="T2" s="103">
        <f>Public_Final!AC32</f>
        <v>9971803696004.4746</v>
      </c>
      <c r="U2" s="103">
        <f>Public_Final!AD32</f>
        <v>9958709331132.6113</v>
      </c>
      <c r="V2" s="103">
        <f>Public_Final!AE32</f>
        <v>9941026139717.416</v>
      </c>
      <c r="W2" s="103">
        <f>Public_Final!AF32</f>
        <v>9917106754441.9023</v>
      </c>
      <c r="X2" s="103">
        <f>Public_Final!AG32</f>
        <v>9887897502074.1152</v>
      </c>
      <c r="Y2" s="103">
        <f>Public_Final!AH32</f>
        <v>9853241847058.4707</v>
      </c>
      <c r="Z2" s="103">
        <f>Public_Final!AI32</f>
        <v>9812512998545.4727</v>
      </c>
      <c r="AA2" s="103">
        <f>Public_Final!AJ32</f>
        <v>9764630034625.7676</v>
      </c>
      <c r="AB2" s="103">
        <f>Public_Final!AK32</f>
        <v>9710796687991.3887</v>
      </c>
      <c r="AC2" s="103">
        <f>Public_Final!AL32</f>
        <v>9650429383630.9004</v>
      </c>
      <c r="AD2" s="103">
        <f>Public_Final!AM32</f>
        <v>9584251766476.2969</v>
      </c>
      <c r="AE2" s="103">
        <f>Public_Final!AN32</f>
        <v>9514247728623.5957</v>
      </c>
      <c r="AF2" s="103">
        <f>Public_Final!AO32</f>
        <v>9440050155269.957</v>
      </c>
      <c r="AG2" s="103">
        <f>Public_Final!AP32</f>
        <v>9360966139335.0293</v>
      </c>
      <c r="AH2" s="103">
        <f>Public_Final!AQ32</f>
        <v>9277574066257.1172</v>
      </c>
      <c r="AI2" s="103">
        <f>Public_Final!AR32</f>
        <v>9188870363924.6563</v>
      </c>
      <c r="AJ2" s="103">
        <f>Public_Final!AS32</f>
        <v>9096781442146.8203</v>
      </c>
      <c r="AK2" s="103">
        <f>Public_Final!AT32</f>
        <v>9000419995832.418</v>
      </c>
      <c r="AL2" s="103">
        <f>Public_Final!AU32</f>
        <v>8900136459447.6074</v>
      </c>
    </row>
    <row r="3" spans="1:38" s="175" customFormat="1">
      <c r="A3" s="103" t="str">
        <f>Public_Final!B33</f>
        <v>coal(BTU)</v>
      </c>
      <c r="B3" s="103">
        <f>Public_Final!K33</f>
        <v>0</v>
      </c>
      <c r="C3" s="103">
        <f>Public_Final!L33</f>
        <v>0</v>
      </c>
      <c r="D3" s="103">
        <f>Public_Final!M33</f>
        <v>0</v>
      </c>
      <c r="E3" s="103">
        <f>Public_Final!N33</f>
        <v>0</v>
      </c>
      <c r="F3" s="103">
        <f>Public_Final!O33</f>
        <v>0</v>
      </c>
      <c r="G3" s="103">
        <f>Public_Final!P33</f>
        <v>0</v>
      </c>
      <c r="H3" s="103">
        <f>Public_Final!Q33</f>
        <v>0</v>
      </c>
      <c r="I3" s="103">
        <f>Public_Final!R33</f>
        <v>0</v>
      </c>
      <c r="J3" s="103">
        <f>Public_Final!S33</f>
        <v>0</v>
      </c>
      <c r="K3" s="103">
        <f>Public_Final!T33</f>
        <v>0</v>
      </c>
      <c r="L3" s="103">
        <f>Public_Final!U33</f>
        <v>0</v>
      </c>
      <c r="M3" s="103">
        <f>Public_Final!V33</f>
        <v>0</v>
      </c>
      <c r="N3" s="103">
        <f>Public_Final!W33</f>
        <v>0</v>
      </c>
      <c r="O3" s="103">
        <f>Public_Final!X33</f>
        <v>0</v>
      </c>
      <c r="P3" s="103">
        <f>Public_Final!Y33</f>
        <v>0</v>
      </c>
      <c r="Q3" s="103">
        <f>Public_Final!Z33</f>
        <v>0</v>
      </c>
      <c r="R3" s="103">
        <f>Public_Final!AA33</f>
        <v>0</v>
      </c>
      <c r="S3" s="103">
        <f>Public_Final!AB33</f>
        <v>0</v>
      </c>
      <c r="T3" s="103">
        <f>Public_Final!AC33</f>
        <v>0</v>
      </c>
      <c r="U3" s="103">
        <f>Public_Final!AD33</f>
        <v>0</v>
      </c>
      <c r="V3" s="103">
        <f>Public_Final!AE33</f>
        <v>0</v>
      </c>
      <c r="W3" s="103">
        <f>Public_Final!AF33</f>
        <v>0</v>
      </c>
      <c r="X3" s="103">
        <f>Public_Final!AG33</f>
        <v>0</v>
      </c>
      <c r="Y3" s="103">
        <f>Public_Final!AH33</f>
        <v>0</v>
      </c>
      <c r="Z3" s="103">
        <f>Public_Final!AI33</f>
        <v>0</v>
      </c>
      <c r="AA3" s="103">
        <f>Public_Final!AJ33</f>
        <v>0</v>
      </c>
      <c r="AB3" s="103">
        <f>Public_Final!AK33</f>
        <v>0</v>
      </c>
      <c r="AC3" s="103">
        <f>Public_Final!AL33</f>
        <v>0</v>
      </c>
      <c r="AD3" s="103">
        <f>Public_Final!AM33</f>
        <v>0</v>
      </c>
      <c r="AE3" s="103">
        <f>Public_Final!AN33</f>
        <v>0</v>
      </c>
      <c r="AF3" s="103">
        <f>Public_Final!AO33</f>
        <v>0</v>
      </c>
      <c r="AG3" s="103">
        <f>Public_Final!AP33</f>
        <v>0</v>
      </c>
      <c r="AH3" s="103">
        <f>Public_Final!AQ33</f>
        <v>0</v>
      </c>
      <c r="AI3" s="103">
        <f>Public_Final!AR33</f>
        <v>0</v>
      </c>
      <c r="AJ3" s="103">
        <f>Public_Final!AS33</f>
        <v>0</v>
      </c>
      <c r="AK3" s="103">
        <f>Public_Final!AT33</f>
        <v>0</v>
      </c>
      <c r="AL3" s="103">
        <f>Public_Final!AU33</f>
        <v>0</v>
      </c>
    </row>
    <row r="4" spans="1:38" s="175" customFormat="1">
      <c r="A4" s="103" t="str">
        <f>Public_Final!B34</f>
        <v>natural gas(BTU)</v>
      </c>
      <c r="B4" s="103">
        <f>Public_Final!K34</f>
        <v>7765668273783.5645</v>
      </c>
      <c r="C4" s="103">
        <f>Public_Final!L34</f>
        <v>7587500996340.6221</v>
      </c>
      <c r="D4" s="103">
        <f>Public_Final!M34</f>
        <v>7676150858519.5068</v>
      </c>
      <c r="E4" s="103">
        <f>Public_Final!N34</f>
        <v>7677761263097.5098</v>
      </c>
      <c r="F4" s="103">
        <f>Public_Final!O34</f>
        <v>7650159001199.249</v>
      </c>
      <c r="G4" s="103">
        <f>Public_Final!P34</f>
        <v>7610904466346.2354</v>
      </c>
      <c r="H4" s="103">
        <f>Public_Final!Q34</f>
        <v>7571951449792.7471</v>
      </c>
      <c r="I4" s="103">
        <f>Public_Final!R34</f>
        <v>7524199728016.5488</v>
      </c>
      <c r="J4" s="103">
        <f>Public_Final!S34</f>
        <v>7472001099187.5439</v>
      </c>
      <c r="K4" s="103">
        <f>Public_Final!T34</f>
        <v>7414872262387.084</v>
      </c>
      <c r="L4" s="103">
        <f>Public_Final!U34</f>
        <v>7349994136023.8242</v>
      </c>
      <c r="M4" s="103">
        <f>Public_Final!V34</f>
        <v>7279490825141.6143</v>
      </c>
      <c r="N4" s="103">
        <f>Public_Final!W34</f>
        <v>7202527214462.1553</v>
      </c>
      <c r="O4" s="103">
        <f>Public_Final!X34</f>
        <v>7120872866825.875</v>
      </c>
      <c r="P4" s="103">
        <f>Public_Final!Y34</f>
        <v>7037629556189.9512</v>
      </c>
      <c r="Q4" s="103">
        <f>Public_Final!Z34</f>
        <v>6951498862396.4043</v>
      </c>
      <c r="R4" s="103">
        <f>Public_Final!AA34</f>
        <v>6861099176199.6279</v>
      </c>
      <c r="S4" s="103">
        <f>Public_Final!AB34</f>
        <v>6767522702693.4863</v>
      </c>
      <c r="T4" s="103">
        <f>Public_Final!AC34</f>
        <v>6671131670800.0811</v>
      </c>
      <c r="U4" s="103">
        <f>Public_Final!AD34</f>
        <v>6572678570228.2617</v>
      </c>
      <c r="V4" s="103">
        <f>Public_Final!AE34</f>
        <v>6470627096533.0625</v>
      </c>
      <c r="W4" s="103">
        <f>Public_Final!AF34</f>
        <v>6364037763223.2617</v>
      </c>
      <c r="X4" s="103">
        <f>Public_Final!AG34</f>
        <v>6253674789165.6035</v>
      </c>
      <c r="Y4" s="103">
        <f>Public_Final!AH34</f>
        <v>6139582966665.3945</v>
      </c>
      <c r="Z4" s="103">
        <f>Public_Final!AI34</f>
        <v>6021527170567.1641</v>
      </c>
      <c r="AA4" s="103">
        <f>Public_Final!AJ34</f>
        <v>5899024731288.6396</v>
      </c>
      <c r="AB4" s="103">
        <f>Public_Final!AK34</f>
        <v>5772996139039.207</v>
      </c>
      <c r="AC4" s="103">
        <f>Public_Final!AL34</f>
        <v>5643273912309.2832</v>
      </c>
      <c r="AD4" s="103">
        <f>Public_Final!AM34</f>
        <v>5510468492287.752</v>
      </c>
      <c r="AE4" s="103">
        <f>Public_Final!AN34</f>
        <v>5375877540530.2666</v>
      </c>
      <c r="AF4" s="103">
        <f>Public_Final!AO34</f>
        <v>5239417900620.2373</v>
      </c>
      <c r="AG4" s="103">
        <f>Public_Final!AP34</f>
        <v>5100846147808.2197</v>
      </c>
      <c r="AH4" s="103">
        <f>Public_Final!AQ34</f>
        <v>4960629607985.8213</v>
      </c>
      <c r="AI4" s="103">
        <f>Public_Final!AR34</f>
        <v>4818385385126.6816</v>
      </c>
      <c r="AJ4" s="103">
        <f>Public_Final!AS34</f>
        <v>4675281187311.6309</v>
      </c>
      <c r="AK4" s="103">
        <f>Public_Final!AT34</f>
        <v>4530990724209.6084</v>
      </c>
      <c r="AL4" s="103">
        <f>Public_Final!AU34</f>
        <v>4385837856828.7471</v>
      </c>
    </row>
    <row r="5" spans="1:38" s="175" customFormat="1">
      <c r="A5" s="103" t="str">
        <f>Public_Final!B35</f>
        <v>petroleum diesel (BTU)</v>
      </c>
      <c r="B5" s="103">
        <f>Public_Final!K35</f>
        <v>0</v>
      </c>
      <c r="C5" s="103">
        <f>Public_Final!L35</f>
        <v>0</v>
      </c>
      <c r="D5" s="103">
        <f>Public_Final!M35</f>
        <v>0</v>
      </c>
      <c r="E5" s="103">
        <f>Public_Final!N35</f>
        <v>0</v>
      </c>
      <c r="F5" s="103">
        <f>Public_Final!O35</f>
        <v>0</v>
      </c>
      <c r="G5" s="103">
        <f>Public_Final!P35</f>
        <v>0</v>
      </c>
      <c r="H5" s="103">
        <f>Public_Final!Q35</f>
        <v>0</v>
      </c>
      <c r="I5" s="103">
        <f>Public_Final!R35</f>
        <v>0</v>
      </c>
      <c r="J5" s="103">
        <f>Public_Final!S35</f>
        <v>0</v>
      </c>
      <c r="K5" s="103">
        <f>Public_Final!T35</f>
        <v>0</v>
      </c>
      <c r="L5" s="103">
        <f>Public_Final!U35</f>
        <v>0</v>
      </c>
      <c r="M5" s="103">
        <f>Public_Final!V35</f>
        <v>0</v>
      </c>
      <c r="N5" s="103">
        <f>Public_Final!W35</f>
        <v>0</v>
      </c>
      <c r="O5" s="103">
        <f>Public_Final!X35</f>
        <v>0</v>
      </c>
      <c r="P5" s="103">
        <f>Public_Final!Y35</f>
        <v>0</v>
      </c>
      <c r="Q5" s="103">
        <f>Public_Final!Z35</f>
        <v>0</v>
      </c>
      <c r="R5" s="103">
        <f>Public_Final!AA35</f>
        <v>0</v>
      </c>
      <c r="S5" s="103">
        <f>Public_Final!AB35</f>
        <v>0</v>
      </c>
      <c r="T5" s="103">
        <f>Public_Final!AC35</f>
        <v>0</v>
      </c>
      <c r="U5" s="103">
        <f>Public_Final!AD35</f>
        <v>0</v>
      </c>
      <c r="V5" s="103">
        <f>Public_Final!AE35</f>
        <v>0</v>
      </c>
      <c r="W5" s="103">
        <f>Public_Final!AF35</f>
        <v>0</v>
      </c>
      <c r="X5" s="103">
        <f>Public_Final!AG35</f>
        <v>0</v>
      </c>
      <c r="Y5" s="103">
        <f>Public_Final!AH35</f>
        <v>0</v>
      </c>
      <c r="Z5" s="103">
        <f>Public_Final!AI35</f>
        <v>0</v>
      </c>
      <c r="AA5" s="103">
        <f>Public_Final!AJ35</f>
        <v>0</v>
      </c>
      <c r="AB5" s="103">
        <f>Public_Final!AK35</f>
        <v>0</v>
      </c>
      <c r="AC5" s="103">
        <f>Public_Final!AL35</f>
        <v>0</v>
      </c>
      <c r="AD5" s="103">
        <f>Public_Final!AM35</f>
        <v>0</v>
      </c>
      <c r="AE5" s="103">
        <f>Public_Final!AN35</f>
        <v>0</v>
      </c>
      <c r="AF5" s="103">
        <f>Public_Final!AO35</f>
        <v>0</v>
      </c>
      <c r="AG5" s="103">
        <f>Public_Final!AP35</f>
        <v>0</v>
      </c>
      <c r="AH5" s="103">
        <f>Public_Final!AQ35</f>
        <v>0</v>
      </c>
      <c r="AI5" s="103">
        <f>Public_Final!AR35</f>
        <v>0</v>
      </c>
      <c r="AJ5" s="103">
        <f>Public_Final!AS35</f>
        <v>0</v>
      </c>
      <c r="AK5" s="103">
        <f>Public_Final!AT35</f>
        <v>0</v>
      </c>
      <c r="AL5" s="103">
        <f>Public_Final!AU35</f>
        <v>0</v>
      </c>
    </row>
    <row r="6" spans="1:38">
      <c r="A6" s="103" t="str">
        <f>Public_Final!B36</f>
        <v>heat (BTU)</v>
      </c>
      <c r="B6" s="103">
        <f>Public_Final!K36</f>
        <v>0</v>
      </c>
      <c r="C6" s="103">
        <f>Public_Final!L36</f>
        <v>0</v>
      </c>
      <c r="D6" s="103">
        <f>Public_Final!M36</f>
        <v>0</v>
      </c>
      <c r="E6" s="103">
        <f>Public_Final!N36</f>
        <v>0</v>
      </c>
      <c r="F6" s="103">
        <f>Public_Final!O36</f>
        <v>0</v>
      </c>
      <c r="G6" s="103">
        <f>Public_Final!P36</f>
        <v>0</v>
      </c>
      <c r="H6" s="103">
        <f>Public_Final!Q36</f>
        <v>0</v>
      </c>
      <c r="I6" s="103">
        <f>Public_Final!R36</f>
        <v>0</v>
      </c>
      <c r="J6" s="103">
        <f>Public_Final!S36</f>
        <v>0</v>
      </c>
      <c r="K6" s="103">
        <f>Public_Final!T36</f>
        <v>0</v>
      </c>
      <c r="L6" s="103">
        <f>Public_Final!U36</f>
        <v>0</v>
      </c>
      <c r="M6" s="103">
        <f>Public_Final!V36</f>
        <v>0</v>
      </c>
      <c r="N6" s="103">
        <f>Public_Final!W36</f>
        <v>0</v>
      </c>
      <c r="O6" s="103">
        <f>Public_Final!X36</f>
        <v>0</v>
      </c>
      <c r="P6" s="103">
        <f>Public_Final!Y36</f>
        <v>0</v>
      </c>
      <c r="Q6" s="103">
        <f>Public_Final!Z36</f>
        <v>0</v>
      </c>
      <c r="R6" s="103">
        <f>Public_Final!AA36</f>
        <v>0</v>
      </c>
      <c r="S6" s="103">
        <f>Public_Final!AB36</f>
        <v>0</v>
      </c>
      <c r="T6" s="103">
        <f>Public_Final!AC36</f>
        <v>0</v>
      </c>
      <c r="U6" s="103">
        <f>Public_Final!AD36</f>
        <v>0</v>
      </c>
      <c r="V6" s="103">
        <f>Public_Final!AE36</f>
        <v>0</v>
      </c>
      <c r="W6" s="103">
        <f>Public_Final!AF36</f>
        <v>0</v>
      </c>
      <c r="X6" s="103">
        <f>Public_Final!AG36</f>
        <v>0</v>
      </c>
      <c r="Y6" s="103">
        <f>Public_Final!AH36</f>
        <v>0</v>
      </c>
      <c r="Z6" s="103">
        <f>Public_Final!AI36</f>
        <v>0</v>
      </c>
      <c r="AA6" s="103">
        <f>Public_Final!AJ36</f>
        <v>0</v>
      </c>
      <c r="AB6" s="103">
        <f>Public_Final!AK36</f>
        <v>0</v>
      </c>
      <c r="AC6" s="103">
        <f>Public_Final!AL36</f>
        <v>0</v>
      </c>
      <c r="AD6" s="103">
        <f>Public_Final!AM36</f>
        <v>0</v>
      </c>
      <c r="AE6" s="103">
        <f>Public_Final!AN36</f>
        <v>0</v>
      </c>
      <c r="AF6" s="103">
        <f>Public_Final!AO36</f>
        <v>0</v>
      </c>
      <c r="AG6" s="103">
        <f>Public_Final!AP36</f>
        <v>0</v>
      </c>
      <c r="AH6" s="103">
        <f>Public_Final!AQ36</f>
        <v>0</v>
      </c>
      <c r="AI6" s="103">
        <f>Public_Final!AR36</f>
        <v>0</v>
      </c>
      <c r="AJ6" s="103">
        <f>Public_Final!AS36</f>
        <v>0</v>
      </c>
      <c r="AK6" s="103">
        <f>Public_Final!AT36</f>
        <v>0</v>
      </c>
      <c r="AL6" s="103">
        <f>Public_Final!AU36</f>
        <v>0</v>
      </c>
    </row>
    <row r="7" spans="1:38">
      <c r="A7" s="103" t="str">
        <f>Public_Final!B37</f>
        <v>biomass (BTU)</v>
      </c>
      <c r="B7" s="103">
        <f>Public_Final!K37</f>
        <v>0</v>
      </c>
      <c r="C7" s="103">
        <f>Public_Final!L37</f>
        <v>0</v>
      </c>
      <c r="D7" s="103">
        <f>Public_Final!M37</f>
        <v>0</v>
      </c>
      <c r="E7" s="103">
        <f>Public_Final!N37</f>
        <v>0</v>
      </c>
      <c r="F7" s="103">
        <f>Public_Final!O37</f>
        <v>0</v>
      </c>
      <c r="G7" s="103">
        <f>Public_Final!P37</f>
        <v>0</v>
      </c>
      <c r="H7" s="103">
        <f>Public_Final!Q37</f>
        <v>0</v>
      </c>
      <c r="I7" s="103">
        <f>Public_Final!R37</f>
        <v>0</v>
      </c>
      <c r="J7" s="103">
        <f>Public_Final!S37</f>
        <v>0</v>
      </c>
      <c r="K7" s="103">
        <f>Public_Final!T37</f>
        <v>0</v>
      </c>
      <c r="L7" s="103">
        <f>Public_Final!U37</f>
        <v>0</v>
      </c>
      <c r="M7" s="103">
        <f>Public_Final!V37</f>
        <v>0</v>
      </c>
      <c r="N7" s="103">
        <f>Public_Final!W37</f>
        <v>0</v>
      </c>
      <c r="O7" s="103">
        <f>Public_Final!X37</f>
        <v>0</v>
      </c>
      <c r="P7" s="103">
        <f>Public_Final!Y37</f>
        <v>0</v>
      </c>
      <c r="Q7" s="103">
        <f>Public_Final!Z37</f>
        <v>0</v>
      </c>
      <c r="R7" s="103">
        <f>Public_Final!AA37</f>
        <v>0</v>
      </c>
      <c r="S7" s="103">
        <f>Public_Final!AB37</f>
        <v>0</v>
      </c>
      <c r="T7" s="103">
        <f>Public_Final!AC37</f>
        <v>0</v>
      </c>
      <c r="U7" s="103">
        <f>Public_Final!AD37</f>
        <v>0</v>
      </c>
      <c r="V7" s="103">
        <f>Public_Final!AE37</f>
        <v>0</v>
      </c>
      <c r="W7" s="103">
        <f>Public_Final!AF37</f>
        <v>0</v>
      </c>
      <c r="X7" s="103">
        <f>Public_Final!AG37</f>
        <v>0</v>
      </c>
      <c r="Y7" s="103">
        <f>Public_Final!AH37</f>
        <v>0</v>
      </c>
      <c r="Z7" s="103">
        <f>Public_Final!AI37</f>
        <v>0</v>
      </c>
      <c r="AA7" s="103">
        <f>Public_Final!AJ37</f>
        <v>0</v>
      </c>
      <c r="AB7" s="103">
        <f>Public_Final!AK37</f>
        <v>0</v>
      </c>
      <c r="AC7" s="103">
        <f>Public_Final!AL37</f>
        <v>0</v>
      </c>
      <c r="AD7" s="103">
        <f>Public_Final!AM37</f>
        <v>0</v>
      </c>
      <c r="AE7" s="103">
        <f>Public_Final!AN37</f>
        <v>0</v>
      </c>
      <c r="AF7" s="103">
        <f>Public_Final!AO37</f>
        <v>0</v>
      </c>
      <c r="AG7" s="103">
        <f>Public_Final!AP37</f>
        <v>0</v>
      </c>
      <c r="AH7" s="103">
        <f>Public_Final!AQ37</f>
        <v>0</v>
      </c>
      <c r="AI7" s="103">
        <f>Public_Final!AR37</f>
        <v>0</v>
      </c>
      <c r="AJ7" s="103">
        <f>Public_Final!AS37</f>
        <v>0</v>
      </c>
      <c r="AK7" s="103">
        <f>Public_Final!AT37</f>
        <v>0</v>
      </c>
      <c r="AL7" s="103">
        <f>Public_Final!AU37</f>
        <v>0</v>
      </c>
    </row>
  </sheetData>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4" tint="-0.499984740745262"/>
  </sheetPr>
  <dimension ref="A1:AL7"/>
  <sheetViews>
    <sheetView workbookViewId="0">
      <pane xSplit="1" topLeftCell="B1" activePane="topRight" state="frozen"/>
      <selection activeCell="G19" sqref="G19"/>
      <selection pane="topRight" activeCell="K18" sqref="A1:XFD1048576"/>
    </sheetView>
  </sheetViews>
  <sheetFormatPr defaultColWidth="8.7109375" defaultRowHeight="15"/>
  <cols>
    <col min="1" max="1" width="19.7109375" style="103" bestFit="1" customWidth="1"/>
    <col min="2" max="16384" width="8.7109375" style="103"/>
  </cols>
  <sheetData>
    <row r="1" spans="1:38" s="60" customFormat="1">
      <c r="A1" s="60" t="str">
        <f>Public_Final!B40</f>
        <v>Year</v>
      </c>
      <c r="B1" s="60">
        <f>Public_Final!K40</f>
        <v>2014</v>
      </c>
      <c r="C1" s="60">
        <f>Public_Final!L40</f>
        <v>2015</v>
      </c>
      <c r="D1" s="60">
        <f>Public_Final!M40</f>
        <v>2016</v>
      </c>
      <c r="E1" s="60">
        <f>Public_Final!N40</f>
        <v>2017</v>
      </c>
      <c r="F1" s="60">
        <f>Public_Final!O40</f>
        <v>2018</v>
      </c>
      <c r="G1" s="60">
        <f>Public_Final!P40</f>
        <v>2019</v>
      </c>
      <c r="H1" s="60">
        <f>Public_Final!Q40</f>
        <v>2020</v>
      </c>
      <c r="I1" s="60">
        <f>Public_Final!R40</f>
        <v>2021</v>
      </c>
      <c r="J1" s="60">
        <f>Public_Final!S40</f>
        <v>2022</v>
      </c>
      <c r="K1" s="60">
        <f>Public_Final!T40</f>
        <v>2023</v>
      </c>
      <c r="L1" s="60">
        <f>Public_Final!U40</f>
        <v>2024</v>
      </c>
      <c r="M1" s="60">
        <f>Public_Final!V40</f>
        <v>2025</v>
      </c>
      <c r="N1" s="60">
        <f>Public_Final!W40</f>
        <v>2026</v>
      </c>
      <c r="O1" s="60">
        <f>Public_Final!X40</f>
        <v>2027</v>
      </c>
      <c r="P1" s="60">
        <f>Public_Final!Y40</f>
        <v>2028</v>
      </c>
      <c r="Q1" s="60">
        <f>Public_Final!Z40</f>
        <v>2029</v>
      </c>
      <c r="R1" s="60">
        <f>Public_Final!AA40</f>
        <v>2030</v>
      </c>
      <c r="S1" s="60">
        <f>Public_Final!AB40</f>
        <v>2031</v>
      </c>
      <c r="T1" s="60">
        <f>Public_Final!AC40</f>
        <v>2032</v>
      </c>
      <c r="U1" s="60">
        <f>Public_Final!AD40</f>
        <v>2033</v>
      </c>
      <c r="V1" s="60">
        <f>Public_Final!AE40</f>
        <v>2034</v>
      </c>
      <c r="W1" s="60">
        <f>Public_Final!AF40</f>
        <v>2035</v>
      </c>
      <c r="X1" s="60">
        <f>Public_Final!AG40</f>
        <v>2036</v>
      </c>
      <c r="Y1" s="60">
        <f>Public_Final!AH40</f>
        <v>2037</v>
      </c>
      <c r="Z1" s="60">
        <f>Public_Final!AI40</f>
        <v>2038</v>
      </c>
      <c r="AA1" s="60">
        <f>Public_Final!AJ40</f>
        <v>2039</v>
      </c>
      <c r="AB1" s="60">
        <f>Public_Final!AK40</f>
        <v>2040</v>
      </c>
      <c r="AC1" s="60">
        <f>Public_Final!AL40</f>
        <v>2041</v>
      </c>
      <c r="AD1" s="60">
        <f>Public_Final!AM40</f>
        <v>2042</v>
      </c>
      <c r="AE1" s="60">
        <f>Public_Final!AN40</f>
        <v>2043</v>
      </c>
      <c r="AF1" s="60">
        <f>Public_Final!AO40</f>
        <v>2044</v>
      </c>
      <c r="AG1" s="60">
        <f>Public_Final!AP40</f>
        <v>2045</v>
      </c>
      <c r="AH1" s="60">
        <f>Public_Final!AQ40</f>
        <v>2046</v>
      </c>
      <c r="AI1" s="60">
        <f>Public_Final!AR40</f>
        <v>2047</v>
      </c>
      <c r="AJ1" s="60">
        <f>Public_Final!AS40</f>
        <v>2048</v>
      </c>
      <c r="AK1" s="60">
        <f>Public_Final!AT40</f>
        <v>2049</v>
      </c>
      <c r="AL1" s="60">
        <f>Public_Final!AU40</f>
        <v>2050</v>
      </c>
    </row>
    <row r="2" spans="1:38" s="175" customFormat="1">
      <c r="A2" s="103" t="str">
        <f>Public_Final!B41</f>
        <v>electricity(BTU)</v>
      </c>
      <c r="B2" s="103">
        <f>Public_Final!K41</f>
        <v>1782161768965.8313</v>
      </c>
      <c r="C2" s="103">
        <f>Public_Final!L41</f>
        <v>1729792934578.0049</v>
      </c>
      <c r="D2" s="103">
        <f>Public_Final!M41</f>
        <v>1784327164748.2261</v>
      </c>
      <c r="E2" s="103">
        <f>Public_Final!N41</f>
        <v>1861038746950.4436</v>
      </c>
      <c r="F2" s="103">
        <f>Public_Final!O41</f>
        <v>1891535500741.9475</v>
      </c>
      <c r="G2" s="103">
        <f>Public_Final!P41</f>
        <v>1919908776179.0916</v>
      </c>
      <c r="H2" s="103">
        <f>Public_Final!Q41</f>
        <v>1949091876231.1172</v>
      </c>
      <c r="I2" s="103">
        <f>Public_Final!R41</f>
        <v>1976731962614.8572</v>
      </c>
      <c r="J2" s="103">
        <f>Public_Final!S41</f>
        <v>2003887069654.3884</v>
      </c>
      <c r="K2" s="103">
        <f>Public_Final!T41</f>
        <v>2030382647736.6338</v>
      </c>
      <c r="L2" s="103">
        <f>Public_Final!U41</f>
        <v>2055377050550.668</v>
      </c>
      <c r="M2" s="103">
        <f>Public_Final!V41</f>
        <v>2079369515519.9783</v>
      </c>
      <c r="N2" s="103">
        <f>Public_Final!W41</f>
        <v>2102041306834.637</v>
      </c>
      <c r="O2" s="103">
        <f>Public_Final!X41</f>
        <v>2123824173097.3735</v>
      </c>
      <c r="P2" s="103">
        <f>Public_Final!Y41</f>
        <v>2145596416454.938</v>
      </c>
      <c r="Q2" s="103">
        <f>Public_Final!Z41</f>
        <v>2166945048517.0283</v>
      </c>
      <c r="R2" s="103">
        <f>Public_Final!AA41</f>
        <v>2187393175094.0344</v>
      </c>
      <c r="S2" s="103">
        <f>Public_Final!AB41</f>
        <v>2207227591827.334</v>
      </c>
      <c r="T2" s="103">
        <f>Public_Final!AC41</f>
        <v>2226519665324.522</v>
      </c>
      <c r="U2" s="103">
        <f>Public_Final!AD41</f>
        <v>2245481868134.0591</v>
      </c>
      <c r="V2" s="103">
        <f>Public_Final!AE41</f>
        <v>2263547285773.2017</v>
      </c>
      <c r="W2" s="103">
        <f>Public_Final!AF41</f>
        <v>2280308407348.1558</v>
      </c>
      <c r="X2" s="103">
        <f>Public_Final!AG41</f>
        <v>2295944529587.0005</v>
      </c>
      <c r="Y2" s="103">
        <f>Public_Final!AH41</f>
        <v>2310384217392.6553</v>
      </c>
      <c r="Z2" s="103">
        <f>Public_Final!AI41</f>
        <v>2323442578193.459</v>
      </c>
      <c r="AA2" s="103">
        <f>Public_Final!AJ41</f>
        <v>2334819596922.0576</v>
      </c>
      <c r="AB2" s="103">
        <f>Public_Final!AK41</f>
        <v>2344755948030.0337</v>
      </c>
      <c r="AC2" s="103">
        <f>Public_Final!AL41</f>
        <v>2353066952817.6392</v>
      </c>
      <c r="AD2" s="103">
        <f>Public_Final!AM41</f>
        <v>2359883383771.7305</v>
      </c>
      <c r="AE2" s="103">
        <f>Public_Final!AN41</f>
        <v>2365655433929.6123</v>
      </c>
      <c r="AF2" s="103">
        <f>Public_Final!AO41</f>
        <v>2370261521533.1733</v>
      </c>
      <c r="AG2" s="103">
        <f>Public_Final!AP41</f>
        <v>2373493253805.313</v>
      </c>
      <c r="AH2" s="103">
        <f>Public_Final!AQ41</f>
        <v>2375460186940.1611</v>
      </c>
      <c r="AI2" s="103">
        <f>Public_Final!AR41</f>
        <v>2375867895521.3989</v>
      </c>
      <c r="AJ2" s="103">
        <f>Public_Final!AS41</f>
        <v>2375176068248.9736</v>
      </c>
      <c r="AK2" s="103">
        <f>Public_Final!AT41</f>
        <v>2373121412000.7378</v>
      </c>
      <c r="AL2" s="103">
        <f>Public_Final!AU41</f>
        <v>2369760394002.6548</v>
      </c>
    </row>
    <row r="3" spans="1:38" s="175" customFormat="1">
      <c r="A3" s="103" t="str">
        <f>Public_Final!B42</f>
        <v>coal(BTU)</v>
      </c>
      <c r="B3" s="103">
        <f>Public_Final!K42</f>
        <v>0</v>
      </c>
      <c r="C3" s="103">
        <f>Public_Final!L42</f>
        <v>0</v>
      </c>
      <c r="D3" s="103">
        <f>Public_Final!M42</f>
        <v>0</v>
      </c>
      <c r="E3" s="103">
        <f>Public_Final!N42</f>
        <v>0</v>
      </c>
      <c r="F3" s="103">
        <f>Public_Final!O42</f>
        <v>0</v>
      </c>
      <c r="G3" s="103">
        <f>Public_Final!P42</f>
        <v>0</v>
      </c>
      <c r="H3" s="103">
        <f>Public_Final!Q42</f>
        <v>0</v>
      </c>
      <c r="I3" s="103">
        <f>Public_Final!R42</f>
        <v>0</v>
      </c>
      <c r="J3" s="103">
        <f>Public_Final!S42</f>
        <v>0</v>
      </c>
      <c r="K3" s="103">
        <f>Public_Final!T42</f>
        <v>0</v>
      </c>
      <c r="L3" s="103">
        <f>Public_Final!U42</f>
        <v>0</v>
      </c>
      <c r="M3" s="103">
        <f>Public_Final!V42</f>
        <v>0</v>
      </c>
      <c r="N3" s="103">
        <f>Public_Final!W42</f>
        <v>0</v>
      </c>
      <c r="O3" s="103">
        <f>Public_Final!X42</f>
        <v>0</v>
      </c>
      <c r="P3" s="103">
        <f>Public_Final!Y42</f>
        <v>0</v>
      </c>
      <c r="Q3" s="103">
        <f>Public_Final!Z42</f>
        <v>0</v>
      </c>
      <c r="R3" s="103">
        <f>Public_Final!AA42</f>
        <v>0</v>
      </c>
      <c r="S3" s="103">
        <f>Public_Final!AB42</f>
        <v>0</v>
      </c>
      <c r="T3" s="103">
        <f>Public_Final!AC42</f>
        <v>0</v>
      </c>
      <c r="U3" s="103">
        <f>Public_Final!AD42</f>
        <v>0</v>
      </c>
      <c r="V3" s="103">
        <f>Public_Final!AE42</f>
        <v>0</v>
      </c>
      <c r="W3" s="103">
        <f>Public_Final!AF42</f>
        <v>0</v>
      </c>
      <c r="X3" s="103">
        <f>Public_Final!AG42</f>
        <v>0</v>
      </c>
      <c r="Y3" s="103">
        <f>Public_Final!AH42</f>
        <v>0</v>
      </c>
      <c r="Z3" s="103">
        <f>Public_Final!AI42</f>
        <v>0</v>
      </c>
      <c r="AA3" s="103">
        <f>Public_Final!AJ42</f>
        <v>0</v>
      </c>
      <c r="AB3" s="103">
        <f>Public_Final!AK42</f>
        <v>0</v>
      </c>
      <c r="AC3" s="103">
        <f>Public_Final!AL42</f>
        <v>0</v>
      </c>
      <c r="AD3" s="103">
        <f>Public_Final!AM42</f>
        <v>0</v>
      </c>
      <c r="AE3" s="103">
        <f>Public_Final!AN42</f>
        <v>0</v>
      </c>
      <c r="AF3" s="103">
        <f>Public_Final!AO42</f>
        <v>0</v>
      </c>
      <c r="AG3" s="103">
        <f>Public_Final!AP42</f>
        <v>0</v>
      </c>
      <c r="AH3" s="103">
        <f>Public_Final!AQ42</f>
        <v>0</v>
      </c>
      <c r="AI3" s="103">
        <f>Public_Final!AR42</f>
        <v>0</v>
      </c>
      <c r="AJ3" s="103">
        <f>Public_Final!AS42</f>
        <v>0</v>
      </c>
      <c r="AK3" s="103">
        <f>Public_Final!AT42</f>
        <v>0</v>
      </c>
      <c r="AL3" s="103">
        <f>Public_Final!AU42</f>
        <v>0</v>
      </c>
    </row>
    <row r="4" spans="1:38" s="175" customFormat="1">
      <c r="A4" s="103" t="str">
        <f>Public_Final!B43</f>
        <v>natural gas(BTU)</v>
      </c>
      <c r="B4" s="103">
        <f>Public_Final!K43</f>
        <v>23765178844.589096</v>
      </c>
      <c r="C4" s="103">
        <f>Public_Final!L43</f>
        <v>22290423659.378593</v>
      </c>
      <c r="D4" s="103">
        <f>Public_Final!M43</f>
        <v>23713780841.889114</v>
      </c>
      <c r="E4" s="103">
        <f>Public_Final!N43</f>
        <v>23268106063.072052</v>
      </c>
      <c r="F4" s="103">
        <f>Public_Final!O43</f>
        <v>23162514917.518345</v>
      </c>
      <c r="G4" s="103">
        <f>Public_Final!P43</f>
        <v>23021835855.111641</v>
      </c>
      <c r="H4" s="103">
        <f>Public_Final!Q43</f>
        <v>22882293257.000172</v>
      </c>
      <c r="I4" s="103">
        <f>Public_Final!R43</f>
        <v>22716409923.095005</v>
      </c>
      <c r="J4" s="103">
        <f>Public_Final!S43</f>
        <v>22537387642.521473</v>
      </c>
      <c r="K4" s="103">
        <f>Public_Final!T43</f>
        <v>22343808304.091751</v>
      </c>
      <c r="L4" s="103">
        <f>Public_Final!U43</f>
        <v>22127227450.297344</v>
      </c>
      <c r="M4" s="103">
        <f>Public_Final!V43</f>
        <v>21894100295.958294</v>
      </c>
      <c r="N4" s="103">
        <f>Public_Final!W43</f>
        <v>21641965901.0387</v>
      </c>
      <c r="O4" s="103">
        <f>Public_Final!X43</f>
        <v>21376191903.887718</v>
      </c>
      <c r="P4" s="103">
        <f>Public_Final!Y43</f>
        <v>21106120995.662529</v>
      </c>
      <c r="Q4" s="103">
        <f>Public_Final!Z43</f>
        <v>20827876554.298008</v>
      </c>
      <c r="R4" s="103">
        <f>Public_Final!AA43</f>
        <v>20537347841.550022</v>
      </c>
      <c r="S4" s="103">
        <f>Public_Final!AB43</f>
        <v>20237837748.517372</v>
      </c>
      <c r="T4" s="103">
        <f>Public_Final!AC43</f>
        <v>19930455784.348324</v>
      </c>
      <c r="U4" s="103">
        <f>Public_Final!AD43</f>
        <v>19617472114.11467</v>
      </c>
      <c r="V4" s="103">
        <f>Public_Final!AE43</f>
        <v>19294323471.199039</v>
      </c>
      <c r="W4" s="103">
        <f>Public_Final!AF43</f>
        <v>18958242110.601574</v>
      </c>
      <c r="X4" s="103">
        <f>Public_Final!AG43</f>
        <v>18611541455.444782</v>
      </c>
      <c r="Y4" s="103">
        <f>Public_Final!AH43</f>
        <v>18254387142.404648</v>
      </c>
      <c r="Z4" s="103">
        <f>Public_Final!AI43</f>
        <v>17886112837.933777</v>
      </c>
      <c r="AA4" s="103">
        <f>Public_Final!AJ43</f>
        <v>17505320318.494125</v>
      </c>
      <c r="AB4" s="103">
        <f>Public_Final!AK43</f>
        <v>17114776741.076378</v>
      </c>
      <c r="AC4" s="103">
        <f>Public_Final!AL43</f>
        <v>16714016394.145506</v>
      </c>
      <c r="AD4" s="103">
        <f>Public_Final!AM43</f>
        <v>16304877275.563562</v>
      </c>
      <c r="AE4" s="103">
        <f>Public_Final!AN43</f>
        <v>15891221820.752621</v>
      </c>
      <c r="AF4" s="103">
        <f>Public_Final!AO43</f>
        <v>15472819809.364653</v>
      </c>
      <c r="AG4" s="103">
        <f>Public_Final!AP43</f>
        <v>15048969136.813742</v>
      </c>
      <c r="AH4" s="103">
        <f>Public_Final!AQ43</f>
        <v>14621065371.966713</v>
      </c>
      <c r="AI4" s="103">
        <f>Public_Final!AR43</f>
        <v>14187995199.116833</v>
      </c>
      <c r="AJ4" s="103">
        <f>Public_Final!AS43</f>
        <v>13753211085.1385</v>
      </c>
      <c r="AK4" s="103">
        <f>Public_Final!AT43</f>
        <v>13315761512.561281</v>
      </c>
      <c r="AL4" s="103">
        <f>Public_Final!AU43</f>
        <v>12876607519.103783</v>
      </c>
    </row>
    <row r="5" spans="1:38" s="175" customFormat="1">
      <c r="A5" s="103" t="str">
        <f>Public_Final!B44</f>
        <v>petroleum diesel (BTU)</v>
      </c>
      <c r="B5" s="103">
        <f>Public_Final!K44</f>
        <v>0</v>
      </c>
      <c r="C5" s="103">
        <f>Public_Final!L44</f>
        <v>0</v>
      </c>
      <c r="D5" s="103">
        <f>Public_Final!M44</f>
        <v>0</v>
      </c>
      <c r="E5" s="103">
        <f>Public_Final!N44</f>
        <v>0</v>
      </c>
      <c r="F5" s="103">
        <f>Public_Final!O44</f>
        <v>0</v>
      </c>
      <c r="G5" s="103">
        <f>Public_Final!P44</f>
        <v>0</v>
      </c>
      <c r="H5" s="103">
        <f>Public_Final!Q44</f>
        <v>0</v>
      </c>
      <c r="I5" s="103">
        <f>Public_Final!R44</f>
        <v>0</v>
      </c>
      <c r="J5" s="103">
        <f>Public_Final!S44</f>
        <v>0</v>
      </c>
      <c r="K5" s="103">
        <f>Public_Final!T44</f>
        <v>0</v>
      </c>
      <c r="L5" s="103">
        <f>Public_Final!U44</f>
        <v>0</v>
      </c>
      <c r="M5" s="103">
        <f>Public_Final!V44</f>
        <v>0</v>
      </c>
      <c r="N5" s="103">
        <f>Public_Final!W44</f>
        <v>0</v>
      </c>
      <c r="O5" s="103">
        <f>Public_Final!X44</f>
        <v>0</v>
      </c>
      <c r="P5" s="103">
        <f>Public_Final!Y44</f>
        <v>0</v>
      </c>
      <c r="Q5" s="103">
        <f>Public_Final!Z44</f>
        <v>0</v>
      </c>
      <c r="R5" s="103">
        <f>Public_Final!AA44</f>
        <v>0</v>
      </c>
      <c r="S5" s="103">
        <f>Public_Final!AB44</f>
        <v>0</v>
      </c>
      <c r="T5" s="103">
        <f>Public_Final!AC44</f>
        <v>0</v>
      </c>
      <c r="U5" s="103">
        <f>Public_Final!AD44</f>
        <v>0</v>
      </c>
      <c r="V5" s="103">
        <f>Public_Final!AE44</f>
        <v>0</v>
      </c>
      <c r="W5" s="103">
        <f>Public_Final!AF44</f>
        <v>0</v>
      </c>
      <c r="X5" s="103">
        <f>Public_Final!AG44</f>
        <v>0</v>
      </c>
      <c r="Y5" s="103">
        <f>Public_Final!AH44</f>
        <v>0</v>
      </c>
      <c r="Z5" s="103">
        <f>Public_Final!AI44</f>
        <v>0</v>
      </c>
      <c r="AA5" s="103">
        <f>Public_Final!AJ44</f>
        <v>0</v>
      </c>
      <c r="AB5" s="103">
        <f>Public_Final!AK44</f>
        <v>0</v>
      </c>
      <c r="AC5" s="103">
        <f>Public_Final!AL44</f>
        <v>0</v>
      </c>
      <c r="AD5" s="103">
        <f>Public_Final!AM44</f>
        <v>0</v>
      </c>
      <c r="AE5" s="103">
        <f>Public_Final!AN44</f>
        <v>0</v>
      </c>
      <c r="AF5" s="103">
        <f>Public_Final!AO44</f>
        <v>0</v>
      </c>
      <c r="AG5" s="103">
        <f>Public_Final!AP44</f>
        <v>0</v>
      </c>
      <c r="AH5" s="103">
        <f>Public_Final!AQ44</f>
        <v>0</v>
      </c>
      <c r="AI5" s="103">
        <f>Public_Final!AR44</f>
        <v>0</v>
      </c>
      <c r="AJ5" s="103">
        <f>Public_Final!AS44</f>
        <v>0</v>
      </c>
      <c r="AK5" s="103">
        <f>Public_Final!AT44</f>
        <v>0</v>
      </c>
      <c r="AL5" s="103">
        <f>Public_Final!AU44</f>
        <v>0</v>
      </c>
    </row>
    <row r="6" spans="1:38" s="175" customFormat="1">
      <c r="A6" s="103" t="str">
        <f>Public_Final!B45</f>
        <v>heat (BTU)</v>
      </c>
      <c r="B6" s="103">
        <f>Public_Final!K45</f>
        <v>0</v>
      </c>
      <c r="C6" s="103">
        <f>Public_Final!L45</f>
        <v>0</v>
      </c>
      <c r="D6" s="103">
        <f>Public_Final!M45</f>
        <v>0</v>
      </c>
      <c r="E6" s="103">
        <f>Public_Final!N45</f>
        <v>0</v>
      </c>
      <c r="F6" s="103">
        <f>Public_Final!O45</f>
        <v>0</v>
      </c>
      <c r="G6" s="103">
        <f>Public_Final!P45</f>
        <v>0</v>
      </c>
      <c r="H6" s="103">
        <f>Public_Final!Q45</f>
        <v>0</v>
      </c>
      <c r="I6" s="103">
        <f>Public_Final!R45</f>
        <v>0</v>
      </c>
      <c r="J6" s="103">
        <f>Public_Final!S45</f>
        <v>0</v>
      </c>
      <c r="K6" s="103">
        <f>Public_Final!T45</f>
        <v>0</v>
      </c>
      <c r="L6" s="103">
        <f>Public_Final!U45</f>
        <v>0</v>
      </c>
      <c r="M6" s="103">
        <f>Public_Final!V45</f>
        <v>0</v>
      </c>
      <c r="N6" s="103">
        <f>Public_Final!W45</f>
        <v>0</v>
      </c>
      <c r="O6" s="103">
        <f>Public_Final!X45</f>
        <v>0</v>
      </c>
      <c r="P6" s="103">
        <f>Public_Final!Y45</f>
        <v>0</v>
      </c>
      <c r="Q6" s="103">
        <f>Public_Final!Z45</f>
        <v>0</v>
      </c>
      <c r="R6" s="103">
        <f>Public_Final!AA45</f>
        <v>0</v>
      </c>
      <c r="S6" s="103">
        <f>Public_Final!AB45</f>
        <v>0</v>
      </c>
      <c r="T6" s="103">
        <f>Public_Final!AC45</f>
        <v>0</v>
      </c>
      <c r="U6" s="103">
        <f>Public_Final!AD45</f>
        <v>0</v>
      </c>
      <c r="V6" s="103">
        <f>Public_Final!AE45</f>
        <v>0</v>
      </c>
      <c r="W6" s="103">
        <f>Public_Final!AF45</f>
        <v>0</v>
      </c>
      <c r="X6" s="103">
        <f>Public_Final!AG45</f>
        <v>0</v>
      </c>
      <c r="Y6" s="103">
        <f>Public_Final!AH45</f>
        <v>0</v>
      </c>
      <c r="Z6" s="103">
        <f>Public_Final!AI45</f>
        <v>0</v>
      </c>
      <c r="AA6" s="103">
        <f>Public_Final!AJ45</f>
        <v>0</v>
      </c>
      <c r="AB6" s="103">
        <f>Public_Final!AK45</f>
        <v>0</v>
      </c>
      <c r="AC6" s="103">
        <f>Public_Final!AL45</f>
        <v>0</v>
      </c>
      <c r="AD6" s="103">
        <f>Public_Final!AM45</f>
        <v>0</v>
      </c>
      <c r="AE6" s="103">
        <f>Public_Final!AN45</f>
        <v>0</v>
      </c>
      <c r="AF6" s="103">
        <f>Public_Final!AO45</f>
        <v>0</v>
      </c>
      <c r="AG6" s="103">
        <f>Public_Final!AP45</f>
        <v>0</v>
      </c>
      <c r="AH6" s="103">
        <f>Public_Final!AQ45</f>
        <v>0</v>
      </c>
      <c r="AI6" s="103">
        <f>Public_Final!AR45</f>
        <v>0</v>
      </c>
      <c r="AJ6" s="103">
        <f>Public_Final!AS45</f>
        <v>0</v>
      </c>
      <c r="AK6" s="103">
        <f>Public_Final!AT45</f>
        <v>0</v>
      </c>
      <c r="AL6" s="103">
        <f>Public_Final!AU45</f>
        <v>0</v>
      </c>
    </row>
    <row r="7" spans="1:38" s="175" customFormat="1">
      <c r="A7" s="103" t="str">
        <f>Public_Final!B46</f>
        <v>biomass (BTU)</v>
      </c>
      <c r="B7" s="103">
        <f>Public_Final!K46</f>
        <v>0</v>
      </c>
      <c r="C7" s="103">
        <f>Public_Final!L46</f>
        <v>0</v>
      </c>
      <c r="D7" s="103">
        <f>Public_Final!M46</f>
        <v>0</v>
      </c>
      <c r="E7" s="103">
        <f>Public_Final!N46</f>
        <v>0</v>
      </c>
      <c r="F7" s="103">
        <f>Public_Final!O46</f>
        <v>0</v>
      </c>
      <c r="G7" s="103">
        <f>Public_Final!P46</f>
        <v>0</v>
      </c>
      <c r="H7" s="103">
        <f>Public_Final!Q46</f>
        <v>0</v>
      </c>
      <c r="I7" s="103">
        <f>Public_Final!R46</f>
        <v>0</v>
      </c>
      <c r="J7" s="103">
        <f>Public_Final!S46</f>
        <v>0</v>
      </c>
      <c r="K7" s="103">
        <f>Public_Final!T46</f>
        <v>0</v>
      </c>
      <c r="L7" s="103">
        <f>Public_Final!U46</f>
        <v>0</v>
      </c>
      <c r="M7" s="103">
        <f>Public_Final!V46</f>
        <v>0</v>
      </c>
      <c r="N7" s="103">
        <f>Public_Final!W46</f>
        <v>0</v>
      </c>
      <c r="O7" s="103">
        <f>Public_Final!X46</f>
        <v>0</v>
      </c>
      <c r="P7" s="103">
        <f>Public_Final!Y46</f>
        <v>0</v>
      </c>
      <c r="Q7" s="103">
        <f>Public_Final!Z46</f>
        <v>0</v>
      </c>
      <c r="R7" s="103">
        <f>Public_Final!AA46</f>
        <v>0</v>
      </c>
      <c r="S7" s="103">
        <f>Public_Final!AB46</f>
        <v>0</v>
      </c>
      <c r="T7" s="103">
        <f>Public_Final!AC46</f>
        <v>0</v>
      </c>
      <c r="U7" s="103">
        <f>Public_Final!AD46</f>
        <v>0</v>
      </c>
      <c r="V7" s="103">
        <f>Public_Final!AE46</f>
        <v>0</v>
      </c>
      <c r="W7" s="103">
        <f>Public_Final!AF46</f>
        <v>0</v>
      </c>
      <c r="X7" s="103">
        <f>Public_Final!AG46</f>
        <v>0</v>
      </c>
      <c r="Y7" s="103">
        <f>Public_Final!AH46</f>
        <v>0</v>
      </c>
      <c r="Z7" s="103">
        <f>Public_Final!AI46</f>
        <v>0</v>
      </c>
      <c r="AA7" s="103">
        <f>Public_Final!AJ46</f>
        <v>0</v>
      </c>
      <c r="AB7" s="103">
        <f>Public_Final!AK46</f>
        <v>0</v>
      </c>
      <c r="AC7" s="103">
        <f>Public_Final!AL46</f>
        <v>0</v>
      </c>
      <c r="AD7" s="103">
        <f>Public_Final!AM46</f>
        <v>0</v>
      </c>
      <c r="AE7" s="103">
        <f>Public_Final!AN46</f>
        <v>0</v>
      </c>
      <c r="AF7" s="103">
        <f>Public_Final!AO46</f>
        <v>0</v>
      </c>
      <c r="AG7" s="103">
        <f>Public_Final!AP46</f>
        <v>0</v>
      </c>
      <c r="AH7" s="103">
        <f>Public_Final!AQ46</f>
        <v>0</v>
      </c>
      <c r="AI7" s="103">
        <f>Public_Final!AR46</f>
        <v>0</v>
      </c>
      <c r="AJ7" s="103">
        <f>Public_Final!AS46</f>
        <v>0</v>
      </c>
      <c r="AK7" s="103">
        <f>Public_Final!AT46</f>
        <v>0</v>
      </c>
      <c r="AL7" s="103">
        <f>Public_Final!AU46</f>
        <v>0</v>
      </c>
    </row>
  </sheetData>
  <phoneticPr fontId="3" type="noConversion"/>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4" tint="-0.499984740745262"/>
  </sheetPr>
  <dimension ref="A1:AN7"/>
  <sheetViews>
    <sheetView workbookViewId="0">
      <pane xSplit="1" ySplit="1" topLeftCell="B3" activePane="bottomRight" state="frozen"/>
      <selection activeCell="Z21" sqref="Z21"/>
      <selection pane="topRight" activeCell="Z21" sqref="Z21"/>
      <selection pane="bottomLeft" activeCell="Z21" sqref="Z21"/>
      <selection pane="bottomRight" activeCell="G23" sqref="G23"/>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Commercial_Final!K23</f>
        <v>0</v>
      </c>
      <c r="C2" s="175">
        <f>Commercial_Final!L23</f>
        <v>0</v>
      </c>
      <c r="D2" s="175">
        <f>Commercial_Final!M23</f>
        <v>0</v>
      </c>
      <c r="E2" s="175">
        <f>Commercial_Final!N23</f>
        <v>0</v>
      </c>
      <c r="F2" s="175">
        <f>Commercial_Final!O23</f>
        <v>0</v>
      </c>
      <c r="G2" s="175">
        <f>Commercial_Final!P23</f>
        <v>0</v>
      </c>
      <c r="H2" s="175">
        <f>Commercial_Final!Q23</f>
        <v>0</v>
      </c>
      <c r="I2" s="175">
        <f>Commercial_Final!R23</f>
        <v>0</v>
      </c>
      <c r="J2" s="175">
        <f>Commercial_Final!S23</f>
        <v>0</v>
      </c>
      <c r="K2" s="175">
        <f>Commercial_Final!T23</f>
        <v>0</v>
      </c>
      <c r="L2" s="175">
        <f>Commercial_Final!U23</f>
        <v>0</v>
      </c>
      <c r="M2" s="175">
        <f>Commercial_Final!V23</f>
        <v>0</v>
      </c>
      <c r="N2" s="175">
        <f>Commercial_Final!W23</f>
        <v>0</v>
      </c>
      <c r="O2" s="175">
        <f>Commercial_Final!X23</f>
        <v>0</v>
      </c>
      <c r="P2" s="175">
        <f>Commercial_Final!Y23</f>
        <v>0</v>
      </c>
      <c r="Q2" s="175">
        <f>Commercial_Final!Z23</f>
        <v>0</v>
      </c>
      <c r="R2" s="175">
        <f>Commercial_Final!AA23</f>
        <v>0</v>
      </c>
      <c r="S2" s="175">
        <f>Commercial_Final!AB23</f>
        <v>0</v>
      </c>
      <c r="T2" s="175">
        <f>Commercial_Final!AC23</f>
        <v>0</v>
      </c>
      <c r="U2" s="175">
        <f>Commercial_Final!AD23</f>
        <v>0</v>
      </c>
      <c r="V2" s="175">
        <f>Commercial_Final!AE23</f>
        <v>0</v>
      </c>
      <c r="W2" s="175">
        <f>Commercial_Final!AF23</f>
        <v>0</v>
      </c>
      <c r="X2" s="175">
        <f>Commercial_Final!AG23</f>
        <v>0</v>
      </c>
      <c r="Y2" s="175">
        <f>Commercial_Final!AH23</f>
        <v>0</v>
      </c>
      <c r="Z2" s="175">
        <f>Commercial_Final!AI23</f>
        <v>0</v>
      </c>
      <c r="AA2" s="175">
        <f>Commercial_Final!AJ23</f>
        <v>0</v>
      </c>
      <c r="AB2" s="175">
        <f>Commercial_Final!AK23</f>
        <v>0</v>
      </c>
      <c r="AC2" s="175">
        <f>Commercial_Final!AL23</f>
        <v>0</v>
      </c>
      <c r="AD2" s="175">
        <f>Commercial_Final!AM23</f>
        <v>0</v>
      </c>
      <c r="AE2" s="175">
        <f>Commercial_Final!AN23</f>
        <v>0</v>
      </c>
      <c r="AF2" s="175">
        <f>Commercial_Final!AO23</f>
        <v>0</v>
      </c>
      <c r="AG2" s="175">
        <f>Commercial_Final!AP23</f>
        <v>0</v>
      </c>
      <c r="AH2" s="175">
        <f>Commercial_Final!AQ23</f>
        <v>0</v>
      </c>
      <c r="AI2" s="175">
        <f>Commercial_Final!AR23</f>
        <v>0</v>
      </c>
      <c r="AJ2" s="175">
        <f>Commercial_Final!AS23</f>
        <v>0</v>
      </c>
      <c r="AK2" s="175">
        <f>Commercial_Final!AT23</f>
        <v>0</v>
      </c>
      <c r="AL2" s="175">
        <f>Commercial_Final!AU23</f>
        <v>0</v>
      </c>
    </row>
    <row r="3" spans="1:40">
      <c r="A3" s="18" t="s">
        <v>752</v>
      </c>
      <c r="B3" s="175">
        <f>Commercial_Final!K24</f>
        <v>0</v>
      </c>
      <c r="C3" s="175">
        <f>Commercial_Final!L24</f>
        <v>0</v>
      </c>
      <c r="D3" s="175">
        <f>Commercial_Final!M24</f>
        <v>0</v>
      </c>
      <c r="E3" s="175">
        <f>Commercial_Final!N24</f>
        <v>0</v>
      </c>
      <c r="F3" s="175">
        <f>Commercial_Final!O24</f>
        <v>0</v>
      </c>
      <c r="G3" s="175">
        <f>Commercial_Final!P24</f>
        <v>0</v>
      </c>
      <c r="H3" s="175">
        <f>Commercial_Final!Q24</f>
        <v>0</v>
      </c>
      <c r="I3" s="175">
        <f>Commercial_Final!R24</f>
        <v>0</v>
      </c>
      <c r="J3" s="175">
        <f>Commercial_Final!S24</f>
        <v>0</v>
      </c>
      <c r="K3" s="175">
        <f>Commercial_Final!T24</f>
        <v>0</v>
      </c>
      <c r="L3" s="175">
        <f>Commercial_Final!U24</f>
        <v>0</v>
      </c>
      <c r="M3" s="175">
        <f>Commercial_Final!V24</f>
        <v>0</v>
      </c>
      <c r="N3" s="175">
        <f>Commercial_Final!W24</f>
        <v>0</v>
      </c>
      <c r="O3" s="175">
        <f>Commercial_Final!X24</f>
        <v>0</v>
      </c>
      <c r="P3" s="175">
        <f>Commercial_Final!Y24</f>
        <v>0</v>
      </c>
      <c r="Q3" s="175">
        <f>Commercial_Final!Z24</f>
        <v>0</v>
      </c>
      <c r="R3" s="175">
        <f>Commercial_Final!AA24</f>
        <v>0</v>
      </c>
      <c r="S3" s="175">
        <f>Commercial_Final!AB24</f>
        <v>0</v>
      </c>
      <c r="T3" s="175">
        <f>Commercial_Final!AC24</f>
        <v>0</v>
      </c>
      <c r="U3" s="175">
        <f>Commercial_Final!AD24</f>
        <v>0</v>
      </c>
      <c r="V3" s="175">
        <f>Commercial_Final!AE24</f>
        <v>0</v>
      </c>
      <c r="W3" s="175">
        <f>Commercial_Final!AF24</f>
        <v>0</v>
      </c>
      <c r="X3" s="175">
        <f>Commercial_Final!AG24</f>
        <v>0</v>
      </c>
      <c r="Y3" s="175">
        <f>Commercial_Final!AH24</f>
        <v>0</v>
      </c>
      <c r="Z3" s="175">
        <f>Commercial_Final!AI24</f>
        <v>0</v>
      </c>
      <c r="AA3" s="175">
        <f>Commercial_Final!AJ24</f>
        <v>0</v>
      </c>
      <c r="AB3" s="175">
        <f>Commercial_Final!AK24</f>
        <v>0</v>
      </c>
      <c r="AC3" s="175">
        <f>Commercial_Final!AL24</f>
        <v>0</v>
      </c>
      <c r="AD3" s="175">
        <f>Commercial_Final!AM24</f>
        <v>0</v>
      </c>
      <c r="AE3" s="175">
        <f>Commercial_Final!AN24</f>
        <v>0</v>
      </c>
      <c r="AF3" s="175">
        <f>Commercial_Final!AO24</f>
        <v>0</v>
      </c>
      <c r="AG3" s="175">
        <f>Commercial_Final!AP24</f>
        <v>0</v>
      </c>
      <c r="AH3" s="175">
        <f>Commercial_Final!AQ24</f>
        <v>0</v>
      </c>
      <c r="AI3" s="175">
        <f>Commercial_Final!AR24</f>
        <v>0</v>
      </c>
      <c r="AJ3" s="175">
        <f>Commercial_Final!AS24</f>
        <v>0</v>
      </c>
      <c r="AK3" s="175">
        <f>Commercial_Final!AT24</f>
        <v>0</v>
      </c>
      <c r="AL3" s="175">
        <f>Commercial_Final!AU24</f>
        <v>0</v>
      </c>
    </row>
    <row r="4" spans="1:40">
      <c r="A4" s="18" t="s">
        <v>753</v>
      </c>
      <c r="B4" s="175">
        <f>Commercial_Final!K25</f>
        <v>0</v>
      </c>
      <c r="C4" s="175">
        <f>Commercial_Final!L25</f>
        <v>0</v>
      </c>
      <c r="D4" s="175">
        <f>Commercial_Final!M25</f>
        <v>0</v>
      </c>
      <c r="E4" s="175">
        <f>Commercial_Final!N25</f>
        <v>0</v>
      </c>
      <c r="F4" s="175">
        <f>Commercial_Final!O25</f>
        <v>0</v>
      </c>
      <c r="G4" s="175">
        <f>Commercial_Final!P25</f>
        <v>0</v>
      </c>
      <c r="H4" s="175">
        <f>Commercial_Final!Q25</f>
        <v>0</v>
      </c>
      <c r="I4" s="175">
        <f>Commercial_Final!R25</f>
        <v>0</v>
      </c>
      <c r="J4" s="175">
        <f>Commercial_Final!S25</f>
        <v>0</v>
      </c>
      <c r="K4" s="175">
        <f>Commercial_Final!T25</f>
        <v>0</v>
      </c>
      <c r="L4" s="175">
        <f>Commercial_Final!U25</f>
        <v>0</v>
      </c>
      <c r="M4" s="175">
        <f>Commercial_Final!V25</f>
        <v>0</v>
      </c>
      <c r="N4" s="175">
        <f>Commercial_Final!W25</f>
        <v>0</v>
      </c>
      <c r="O4" s="175">
        <f>Commercial_Final!X25</f>
        <v>0</v>
      </c>
      <c r="P4" s="175">
        <f>Commercial_Final!Y25</f>
        <v>0</v>
      </c>
      <c r="Q4" s="175">
        <f>Commercial_Final!Z25</f>
        <v>0</v>
      </c>
      <c r="R4" s="175">
        <f>Commercial_Final!AA25</f>
        <v>0</v>
      </c>
      <c r="S4" s="175">
        <f>Commercial_Final!AB25</f>
        <v>0</v>
      </c>
      <c r="T4" s="175">
        <f>Commercial_Final!AC25</f>
        <v>0</v>
      </c>
      <c r="U4" s="175">
        <f>Commercial_Final!AD25</f>
        <v>0</v>
      </c>
      <c r="V4" s="175">
        <f>Commercial_Final!AE25</f>
        <v>0</v>
      </c>
      <c r="W4" s="175">
        <f>Commercial_Final!AF25</f>
        <v>0</v>
      </c>
      <c r="X4" s="175">
        <f>Commercial_Final!AG25</f>
        <v>0</v>
      </c>
      <c r="Y4" s="175">
        <f>Commercial_Final!AH25</f>
        <v>0</v>
      </c>
      <c r="Z4" s="175">
        <f>Commercial_Final!AI25</f>
        <v>0</v>
      </c>
      <c r="AA4" s="175">
        <f>Commercial_Final!AJ25</f>
        <v>0</v>
      </c>
      <c r="AB4" s="175">
        <f>Commercial_Final!AK25</f>
        <v>0</v>
      </c>
      <c r="AC4" s="175">
        <f>Commercial_Final!AL25</f>
        <v>0</v>
      </c>
      <c r="AD4" s="175">
        <f>Commercial_Final!AM25</f>
        <v>0</v>
      </c>
      <c r="AE4" s="175">
        <f>Commercial_Final!AN25</f>
        <v>0</v>
      </c>
      <c r="AF4" s="175">
        <f>Commercial_Final!AO25</f>
        <v>0</v>
      </c>
      <c r="AG4" s="175">
        <f>Commercial_Final!AP25</f>
        <v>0</v>
      </c>
      <c r="AH4" s="175">
        <f>Commercial_Final!AQ25</f>
        <v>0</v>
      </c>
      <c r="AI4" s="175">
        <f>Commercial_Final!AR25</f>
        <v>0</v>
      </c>
      <c r="AJ4" s="175">
        <f>Commercial_Final!AS25</f>
        <v>0</v>
      </c>
      <c r="AK4" s="175">
        <f>Commercial_Final!AT25</f>
        <v>0</v>
      </c>
      <c r="AL4" s="175">
        <f>Commercial_Final!AU25</f>
        <v>0</v>
      </c>
    </row>
    <row r="5" spans="1:40">
      <c r="A5" s="18" t="s">
        <v>754</v>
      </c>
      <c r="B5" s="175">
        <f>Commercial_Final!K26</f>
        <v>0</v>
      </c>
      <c r="C5" s="175">
        <f>Commercial_Final!L26</f>
        <v>0</v>
      </c>
      <c r="D5" s="175">
        <f>Commercial_Final!M26</f>
        <v>0</v>
      </c>
      <c r="E5" s="175">
        <f>Commercial_Final!N26</f>
        <v>0</v>
      </c>
      <c r="F5" s="175">
        <f>Commercial_Final!O26</f>
        <v>0</v>
      </c>
      <c r="G5" s="175">
        <f>Commercial_Final!P26</f>
        <v>0</v>
      </c>
      <c r="H5" s="175">
        <f>Commercial_Final!Q26</f>
        <v>0</v>
      </c>
      <c r="I5" s="175">
        <f>Commercial_Final!R26</f>
        <v>0</v>
      </c>
      <c r="J5" s="175">
        <f>Commercial_Final!S26</f>
        <v>0</v>
      </c>
      <c r="K5" s="175">
        <f>Commercial_Final!T26</f>
        <v>0</v>
      </c>
      <c r="L5" s="175">
        <f>Commercial_Final!U26</f>
        <v>0</v>
      </c>
      <c r="M5" s="175">
        <f>Commercial_Final!V26</f>
        <v>0</v>
      </c>
      <c r="N5" s="175">
        <f>Commercial_Final!W26</f>
        <v>0</v>
      </c>
      <c r="O5" s="175">
        <f>Commercial_Final!X26</f>
        <v>0</v>
      </c>
      <c r="P5" s="175">
        <f>Commercial_Final!Y26</f>
        <v>0</v>
      </c>
      <c r="Q5" s="175">
        <f>Commercial_Final!Z26</f>
        <v>0</v>
      </c>
      <c r="R5" s="175">
        <f>Commercial_Final!AA26</f>
        <v>0</v>
      </c>
      <c r="S5" s="175">
        <f>Commercial_Final!AB26</f>
        <v>0</v>
      </c>
      <c r="T5" s="175">
        <f>Commercial_Final!AC26</f>
        <v>0</v>
      </c>
      <c r="U5" s="175">
        <f>Commercial_Final!AD26</f>
        <v>0</v>
      </c>
      <c r="V5" s="175">
        <f>Commercial_Final!AE26</f>
        <v>0</v>
      </c>
      <c r="W5" s="175">
        <f>Commercial_Final!AF26</f>
        <v>0</v>
      </c>
      <c r="X5" s="175">
        <f>Commercial_Final!AG26</f>
        <v>0</v>
      </c>
      <c r="Y5" s="175">
        <f>Commercial_Final!AH26</f>
        <v>0</v>
      </c>
      <c r="Z5" s="175">
        <f>Commercial_Final!AI26</f>
        <v>0</v>
      </c>
      <c r="AA5" s="175">
        <f>Commercial_Final!AJ26</f>
        <v>0</v>
      </c>
      <c r="AB5" s="175">
        <f>Commercial_Final!AK26</f>
        <v>0</v>
      </c>
      <c r="AC5" s="175">
        <f>Commercial_Final!AL26</f>
        <v>0</v>
      </c>
      <c r="AD5" s="175">
        <f>Commercial_Final!AM26</f>
        <v>0</v>
      </c>
      <c r="AE5" s="175">
        <f>Commercial_Final!AN26</f>
        <v>0</v>
      </c>
      <c r="AF5" s="175">
        <f>Commercial_Final!AO26</f>
        <v>0</v>
      </c>
      <c r="AG5" s="175">
        <f>Commercial_Final!AP26</f>
        <v>0</v>
      </c>
      <c r="AH5" s="175">
        <f>Commercial_Final!AQ26</f>
        <v>0</v>
      </c>
      <c r="AI5" s="175">
        <f>Commercial_Final!AR26</f>
        <v>0</v>
      </c>
      <c r="AJ5" s="175">
        <f>Commercial_Final!AS26</f>
        <v>0</v>
      </c>
      <c r="AK5" s="175">
        <f>Commercial_Final!AT26</f>
        <v>0</v>
      </c>
      <c r="AL5" s="175">
        <f>Commercial_Final!AU26</f>
        <v>0</v>
      </c>
    </row>
    <row r="6" spans="1:40">
      <c r="A6" s="18" t="s">
        <v>755</v>
      </c>
      <c r="B6" s="175">
        <f>Commercial_Final!K27</f>
        <v>0</v>
      </c>
      <c r="C6" s="175">
        <f>Commercial_Final!L27</f>
        <v>0</v>
      </c>
      <c r="D6" s="175">
        <f>Commercial_Final!M27</f>
        <v>0</v>
      </c>
      <c r="E6" s="175">
        <f>Commercial_Final!N27</f>
        <v>0</v>
      </c>
      <c r="F6" s="175">
        <f>Commercial_Final!O27</f>
        <v>0</v>
      </c>
      <c r="G6" s="175">
        <f>Commercial_Final!P27</f>
        <v>0</v>
      </c>
      <c r="H6" s="175">
        <f>Commercial_Final!Q27</f>
        <v>0</v>
      </c>
      <c r="I6" s="175">
        <f>Commercial_Final!R27</f>
        <v>0</v>
      </c>
      <c r="J6" s="175">
        <f>Commercial_Final!S27</f>
        <v>0</v>
      </c>
      <c r="K6" s="175">
        <f>Commercial_Final!T27</f>
        <v>0</v>
      </c>
      <c r="L6" s="175">
        <f>Commercial_Final!U27</f>
        <v>0</v>
      </c>
      <c r="M6" s="175">
        <f>Commercial_Final!V27</f>
        <v>0</v>
      </c>
      <c r="N6" s="175">
        <f>Commercial_Final!W27</f>
        <v>0</v>
      </c>
      <c r="O6" s="175">
        <f>Commercial_Final!X27</f>
        <v>0</v>
      </c>
      <c r="P6" s="175">
        <f>Commercial_Final!Y27</f>
        <v>0</v>
      </c>
      <c r="Q6" s="175">
        <f>Commercial_Final!Z27</f>
        <v>0</v>
      </c>
      <c r="R6" s="175">
        <f>Commercial_Final!AA27</f>
        <v>0</v>
      </c>
      <c r="S6" s="175">
        <f>Commercial_Final!AB27</f>
        <v>0</v>
      </c>
      <c r="T6" s="175">
        <f>Commercial_Final!AC27</f>
        <v>0</v>
      </c>
      <c r="U6" s="175">
        <f>Commercial_Final!AD27</f>
        <v>0</v>
      </c>
      <c r="V6" s="175">
        <f>Commercial_Final!AE27</f>
        <v>0</v>
      </c>
      <c r="W6" s="175">
        <f>Commercial_Final!AF27</f>
        <v>0</v>
      </c>
      <c r="X6" s="175">
        <f>Commercial_Final!AG27</f>
        <v>0</v>
      </c>
      <c r="Y6" s="175">
        <f>Commercial_Final!AH27</f>
        <v>0</v>
      </c>
      <c r="Z6" s="175">
        <f>Commercial_Final!AI27</f>
        <v>0</v>
      </c>
      <c r="AA6" s="175">
        <f>Commercial_Final!AJ27</f>
        <v>0</v>
      </c>
      <c r="AB6" s="175">
        <f>Commercial_Final!AK27</f>
        <v>0</v>
      </c>
      <c r="AC6" s="175">
        <f>Commercial_Final!AL27</f>
        <v>0</v>
      </c>
      <c r="AD6" s="175">
        <f>Commercial_Final!AM27</f>
        <v>0</v>
      </c>
      <c r="AE6" s="175">
        <f>Commercial_Final!AN27</f>
        <v>0</v>
      </c>
      <c r="AF6" s="175">
        <f>Commercial_Final!AO27</f>
        <v>0</v>
      </c>
      <c r="AG6" s="175">
        <f>Commercial_Final!AP27</f>
        <v>0</v>
      </c>
      <c r="AH6" s="175">
        <f>Commercial_Final!AQ27</f>
        <v>0</v>
      </c>
      <c r="AI6" s="175">
        <f>Commercial_Final!AR27</f>
        <v>0</v>
      </c>
      <c r="AJ6" s="175">
        <f>Commercial_Final!AS27</f>
        <v>0</v>
      </c>
      <c r="AK6" s="175">
        <f>Commercial_Final!AT27</f>
        <v>0</v>
      </c>
      <c r="AL6" s="175">
        <f>Commercial_Final!AU27</f>
        <v>0</v>
      </c>
    </row>
    <row r="7" spans="1:40">
      <c r="A7" s="18" t="s">
        <v>756</v>
      </c>
      <c r="B7" s="175">
        <f>Commercial_Final!K28</f>
        <v>0</v>
      </c>
      <c r="C7" s="175">
        <f>Commercial_Final!L28</f>
        <v>0</v>
      </c>
      <c r="D7" s="175">
        <f>Commercial_Final!M28</f>
        <v>0</v>
      </c>
      <c r="E7" s="175">
        <f>Commercial_Final!N28</f>
        <v>0</v>
      </c>
      <c r="F7" s="175">
        <f>Commercial_Final!O28</f>
        <v>0</v>
      </c>
      <c r="G7" s="175">
        <f>Commercial_Final!P28</f>
        <v>0</v>
      </c>
      <c r="H7" s="175">
        <f>Commercial_Final!Q28</f>
        <v>0</v>
      </c>
      <c r="I7" s="175">
        <f>Commercial_Final!R28</f>
        <v>0</v>
      </c>
      <c r="J7" s="175">
        <f>Commercial_Final!S28</f>
        <v>0</v>
      </c>
      <c r="K7" s="175">
        <f>Commercial_Final!T28</f>
        <v>0</v>
      </c>
      <c r="L7" s="175">
        <f>Commercial_Final!U28</f>
        <v>0</v>
      </c>
      <c r="M7" s="175">
        <f>Commercial_Final!V28</f>
        <v>0</v>
      </c>
      <c r="N7" s="175">
        <f>Commercial_Final!W28</f>
        <v>0</v>
      </c>
      <c r="O7" s="175">
        <f>Commercial_Final!X28</f>
        <v>0</v>
      </c>
      <c r="P7" s="175">
        <f>Commercial_Final!Y28</f>
        <v>0</v>
      </c>
      <c r="Q7" s="175">
        <f>Commercial_Final!Z28</f>
        <v>0</v>
      </c>
      <c r="R7" s="175">
        <f>Commercial_Final!AA28</f>
        <v>0</v>
      </c>
      <c r="S7" s="175">
        <f>Commercial_Final!AB28</f>
        <v>0</v>
      </c>
      <c r="T7" s="175">
        <f>Commercial_Final!AC28</f>
        <v>0</v>
      </c>
      <c r="U7" s="175">
        <f>Commercial_Final!AD28</f>
        <v>0</v>
      </c>
      <c r="V7" s="175">
        <f>Commercial_Final!AE28</f>
        <v>0</v>
      </c>
      <c r="W7" s="175">
        <f>Commercial_Final!AF28</f>
        <v>0</v>
      </c>
      <c r="X7" s="175">
        <f>Commercial_Final!AG28</f>
        <v>0</v>
      </c>
      <c r="Y7" s="175">
        <f>Commercial_Final!AH28</f>
        <v>0</v>
      </c>
      <c r="Z7" s="175">
        <f>Commercial_Final!AI28</f>
        <v>0</v>
      </c>
      <c r="AA7" s="175">
        <f>Commercial_Final!AJ28</f>
        <v>0</v>
      </c>
      <c r="AB7" s="175">
        <f>Commercial_Final!AK28</f>
        <v>0</v>
      </c>
      <c r="AC7" s="175">
        <f>Commercial_Final!AL28</f>
        <v>0</v>
      </c>
      <c r="AD7" s="175">
        <f>Commercial_Final!AM28</f>
        <v>0</v>
      </c>
      <c r="AE7" s="175">
        <f>Commercial_Final!AN28</f>
        <v>0</v>
      </c>
      <c r="AF7" s="175">
        <f>Commercial_Final!AO28</f>
        <v>0</v>
      </c>
      <c r="AG7" s="175">
        <f>Commercial_Final!AP28</f>
        <v>0</v>
      </c>
      <c r="AH7" s="175">
        <f>Commercial_Final!AQ28</f>
        <v>0</v>
      </c>
      <c r="AI7" s="175">
        <f>Commercial_Final!AR28</f>
        <v>0</v>
      </c>
      <c r="AJ7" s="175">
        <f>Commercial_Final!AS28</f>
        <v>0</v>
      </c>
      <c r="AK7" s="175">
        <f>Commercial_Final!AT28</f>
        <v>0</v>
      </c>
      <c r="AL7" s="175">
        <f>Commercial_Final!AU28</f>
        <v>0</v>
      </c>
    </row>
  </sheetData>
  <phoneticPr fontId="3" type="noConversion"/>
  <pageMargins left="0.7" right="0.7" top="0.75" bottom="0.75" header="0.3" footer="0.3"/>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4" tint="-0.499984740745262"/>
  </sheetPr>
  <dimension ref="A1:AN7"/>
  <sheetViews>
    <sheetView workbookViewId="0">
      <pane xSplit="1" ySplit="1" topLeftCell="B2" activePane="bottomRight" state="frozen"/>
      <selection activeCell="Z21" sqref="Z21"/>
      <selection pane="topRight" activeCell="Z21" sqref="Z21"/>
      <selection pane="bottomLeft" activeCell="Z21" sqref="Z21"/>
      <selection pane="bottomRight" activeCell="G17" sqref="A1:XFD1048576"/>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Commercial_Final!K14</f>
        <v>30153659886000</v>
      </c>
      <c r="C2" s="175">
        <f>Commercial_Final!L14</f>
        <v>28501265365999.996</v>
      </c>
      <c r="D2" s="175">
        <f>Commercial_Final!M14</f>
        <v>28552939422000</v>
      </c>
      <c r="E2" s="175">
        <f>Commercial_Final!N14</f>
        <v>30912323886176.07</v>
      </c>
      <c r="F2" s="175">
        <f>Commercial_Final!O14</f>
        <v>31146463997666.734</v>
      </c>
      <c r="G2" s="175">
        <f>Commercial_Final!P14</f>
        <v>31381636362620.555</v>
      </c>
      <c r="H2" s="175">
        <f>Commercial_Final!Q14</f>
        <v>31617842596174.594</v>
      </c>
      <c r="I2" s="175">
        <f>Commercial_Final!R14</f>
        <v>31987620549427.703</v>
      </c>
      <c r="J2" s="175">
        <f>Commercial_Final!S14</f>
        <v>32359477251767.145</v>
      </c>
      <c r="K2" s="175">
        <f>Commercial_Final!T14</f>
        <v>32733416218490.828</v>
      </c>
      <c r="L2" s="175">
        <f>Commercial_Final!U14</f>
        <v>33109440964896.813</v>
      </c>
      <c r="M2" s="175">
        <f>Commercial_Final!V14</f>
        <v>33487555006283.117</v>
      </c>
      <c r="N2" s="175">
        <f>Commercial_Final!W14</f>
        <v>33867761857947.805</v>
      </c>
      <c r="O2" s="175">
        <f>Commercial_Final!X14</f>
        <v>34250065035188.789</v>
      </c>
      <c r="P2" s="175">
        <f>Commercial_Final!Y14</f>
        <v>34634468053304.133</v>
      </c>
      <c r="Q2" s="175">
        <f>Commercial_Final!Z14</f>
        <v>35020974427591.855</v>
      </c>
      <c r="R2" s="175">
        <f>Commercial_Final!AA14</f>
        <v>35409587673350.031</v>
      </c>
      <c r="S2" s="175">
        <f>Commercial_Final!AB14</f>
        <v>35800311305876.555</v>
      </c>
      <c r="T2" s="175">
        <f>Commercial_Final!AC14</f>
        <v>36193148840469.484</v>
      </c>
      <c r="U2" s="175">
        <f>Commercial_Final!AD14</f>
        <v>36588103792426.883</v>
      </c>
      <c r="V2" s="175">
        <f>Commercial_Final!AE14</f>
        <v>36985179677046.758</v>
      </c>
      <c r="W2" s="175">
        <f>Commercial_Final!AF14</f>
        <v>37384380009627.07</v>
      </c>
      <c r="X2" s="175">
        <f>Commercial_Final!AG14</f>
        <v>37785708305465.766</v>
      </c>
      <c r="Y2" s="175">
        <f>Commercial_Final!AH14</f>
        <v>38189168079861.031</v>
      </c>
      <c r="Z2" s="175">
        <f>Commercial_Final!AI14</f>
        <v>38594762848110.883</v>
      </c>
      <c r="AA2" s="175">
        <f>Commercial_Final!AJ14</f>
        <v>39002496125513.188</v>
      </c>
      <c r="AB2" s="175">
        <f>Commercial_Final!AK14</f>
        <v>39412371427366.039</v>
      </c>
      <c r="AC2" s="175">
        <f>Commercial_Final!AL14</f>
        <v>39824392268967.445</v>
      </c>
      <c r="AD2" s="175">
        <f>Commercial_Final!AM14</f>
        <v>40238562165615.484</v>
      </c>
      <c r="AE2" s="175">
        <f>Commercial_Final!AN14</f>
        <v>40654884632608.031</v>
      </c>
      <c r="AF2" s="175">
        <f>Commercial_Final!AO14</f>
        <v>41073363185243.195</v>
      </c>
      <c r="AG2" s="175">
        <f>Commercial_Final!AP14</f>
        <v>41494001338818.969</v>
      </c>
      <c r="AH2" s="175">
        <f>Commercial_Final!AQ14</f>
        <v>41916802608633.414</v>
      </c>
      <c r="AI2" s="175">
        <f>Commercial_Final!AR14</f>
        <v>42341770509984.477</v>
      </c>
      <c r="AJ2" s="175">
        <f>Commercial_Final!AS14</f>
        <v>42768908558170.172</v>
      </c>
      <c r="AK2" s="175">
        <f>Commercial_Final!AT14</f>
        <v>43198220268488.539</v>
      </c>
      <c r="AL2" s="175">
        <f>Commercial_Final!AU14</f>
        <v>43629709156237.609</v>
      </c>
    </row>
    <row r="3" spans="1:40">
      <c r="A3" s="18" t="s">
        <v>752</v>
      </c>
      <c r="B3" s="175">
        <f>Commercial_Final!K15</f>
        <v>0</v>
      </c>
      <c r="C3" s="175">
        <f>Commercial_Final!L15</f>
        <v>0</v>
      </c>
      <c r="D3" s="175">
        <f>Commercial_Final!M15</f>
        <v>0</v>
      </c>
      <c r="E3" s="175">
        <f>Commercial_Final!N15</f>
        <v>0</v>
      </c>
      <c r="F3" s="175">
        <f>Commercial_Final!O15</f>
        <v>0</v>
      </c>
      <c r="G3" s="175">
        <f>Commercial_Final!P15</f>
        <v>0</v>
      </c>
      <c r="H3" s="175">
        <f>Commercial_Final!Q15</f>
        <v>0</v>
      </c>
      <c r="I3" s="175">
        <f>Commercial_Final!R15</f>
        <v>0</v>
      </c>
      <c r="J3" s="175">
        <f>Commercial_Final!S15</f>
        <v>0</v>
      </c>
      <c r="K3" s="175">
        <f>Commercial_Final!T15</f>
        <v>0</v>
      </c>
      <c r="L3" s="175">
        <f>Commercial_Final!U15</f>
        <v>0</v>
      </c>
      <c r="M3" s="175">
        <f>Commercial_Final!V15</f>
        <v>0</v>
      </c>
      <c r="N3" s="175">
        <f>Commercial_Final!W15</f>
        <v>0</v>
      </c>
      <c r="O3" s="175">
        <f>Commercial_Final!X15</f>
        <v>0</v>
      </c>
      <c r="P3" s="175">
        <f>Commercial_Final!Y15</f>
        <v>0</v>
      </c>
      <c r="Q3" s="175">
        <f>Commercial_Final!Z15</f>
        <v>0</v>
      </c>
      <c r="R3" s="175">
        <f>Commercial_Final!AA15</f>
        <v>0</v>
      </c>
      <c r="S3" s="175">
        <f>Commercial_Final!AB15</f>
        <v>0</v>
      </c>
      <c r="T3" s="175">
        <f>Commercial_Final!AC15</f>
        <v>0</v>
      </c>
      <c r="U3" s="175">
        <f>Commercial_Final!AD15</f>
        <v>0</v>
      </c>
      <c r="V3" s="175">
        <f>Commercial_Final!AE15</f>
        <v>0</v>
      </c>
      <c r="W3" s="175">
        <f>Commercial_Final!AF15</f>
        <v>0</v>
      </c>
      <c r="X3" s="175">
        <f>Commercial_Final!AG15</f>
        <v>0</v>
      </c>
      <c r="Y3" s="175">
        <f>Commercial_Final!AH15</f>
        <v>0</v>
      </c>
      <c r="Z3" s="175">
        <f>Commercial_Final!AI15</f>
        <v>0</v>
      </c>
      <c r="AA3" s="175">
        <f>Commercial_Final!AJ15</f>
        <v>0</v>
      </c>
      <c r="AB3" s="175">
        <f>Commercial_Final!AK15</f>
        <v>0</v>
      </c>
      <c r="AC3" s="175">
        <f>Commercial_Final!AL15</f>
        <v>0</v>
      </c>
      <c r="AD3" s="175">
        <f>Commercial_Final!AM15</f>
        <v>0</v>
      </c>
      <c r="AE3" s="175">
        <f>Commercial_Final!AN15</f>
        <v>0</v>
      </c>
      <c r="AF3" s="175">
        <f>Commercial_Final!AO15</f>
        <v>0</v>
      </c>
      <c r="AG3" s="175">
        <f>Commercial_Final!AP15</f>
        <v>0</v>
      </c>
      <c r="AH3" s="175">
        <f>Commercial_Final!AQ15</f>
        <v>0</v>
      </c>
      <c r="AI3" s="175">
        <f>Commercial_Final!AR15</f>
        <v>0</v>
      </c>
      <c r="AJ3" s="175">
        <f>Commercial_Final!AS15</f>
        <v>0</v>
      </c>
      <c r="AK3" s="175">
        <f>Commercial_Final!AT15</f>
        <v>0</v>
      </c>
      <c r="AL3" s="175">
        <f>Commercial_Final!AU15</f>
        <v>0</v>
      </c>
    </row>
    <row r="4" spans="1:40">
      <c r="A4" s="18" t="s">
        <v>753</v>
      </c>
      <c r="B4" s="175">
        <f>Commercial_Final!K16</f>
        <v>0</v>
      </c>
      <c r="C4" s="175">
        <f>Commercial_Final!L16</f>
        <v>0</v>
      </c>
      <c r="D4" s="175">
        <f>Commercial_Final!M16</f>
        <v>0</v>
      </c>
      <c r="E4" s="175">
        <f>Commercial_Final!N16</f>
        <v>0</v>
      </c>
      <c r="F4" s="175">
        <f>Commercial_Final!O16</f>
        <v>0</v>
      </c>
      <c r="G4" s="175">
        <f>Commercial_Final!P16</f>
        <v>0</v>
      </c>
      <c r="H4" s="175">
        <f>Commercial_Final!Q16</f>
        <v>0</v>
      </c>
      <c r="I4" s="175">
        <f>Commercial_Final!R16</f>
        <v>0</v>
      </c>
      <c r="J4" s="175">
        <f>Commercial_Final!S16</f>
        <v>0</v>
      </c>
      <c r="K4" s="175">
        <f>Commercial_Final!T16</f>
        <v>0</v>
      </c>
      <c r="L4" s="175">
        <f>Commercial_Final!U16</f>
        <v>0</v>
      </c>
      <c r="M4" s="175">
        <f>Commercial_Final!V16</f>
        <v>0</v>
      </c>
      <c r="N4" s="175">
        <f>Commercial_Final!W16</f>
        <v>0</v>
      </c>
      <c r="O4" s="175">
        <f>Commercial_Final!X16</f>
        <v>0</v>
      </c>
      <c r="P4" s="175">
        <f>Commercial_Final!Y16</f>
        <v>0</v>
      </c>
      <c r="Q4" s="175">
        <f>Commercial_Final!Z16</f>
        <v>0</v>
      </c>
      <c r="R4" s="175">
        <f>Commercial_Final!AA16</f>
        <v>0</v>
      </c>
      <c r="S4" s="175">
        <f>Commercial_Final!AB16</f>
        <v>0</v>
      </c>
      <c r="T4" s="175">
        <f>Commercial_Final!AC16</f>
        <v>0</v>
      </c>
      <c r="U4" s="175">
        <f>Commercial_Final!AD16</f>
        <v>0</v>
      </c>
      <c r="V4" s="175">
        <f>Commercial_Final!AE16</f>
        <v>0</v>
      </c>
      <c r="W4" s="175">
        <f>Commercial_Final!AF16</f>
        <v>0</v>
      </c>
      <c r="X4" s="175">
        <f>Commercial_Final!AG16</f>
        <v>0</v>
      </c>
      <c r="Y4" s="175">
        <f>Commercial_Final!AH16</f>
        <v>0</v>
      </c>
      <c r="Z4" s="175">
        <f>Commercial_Final!AI16</f>
        <v>0</v>
      </c>
      <c r="AA4" s="175">
        <f>Commercial_Final!AJ16</f>
        <v>0</v>
      </c>
      <c r="AB4" s="175">
        <f>Commercial_Final!AK16</f>
        <v>0</v>
      </c>
      <c r="AC4" s="175">
        <f>Commercial_Final!AL16</f>
        <v>0</v>
      </c>
      <c r="AD4" s="175">
        <f>Commercial_Final!AM16</f>
        <v>0</v>
      </c>
      <c r="AE4" s="175">
        <f>Commercial_Final!AN16</f>
        <v>0</v>
      </c>
      <c r="AF4" s="175">
        <f>Commercial_Final!AO16</f>
        <v>0</v>
      </c>
      <c r="AG4" s="175">
        <f>Commercial_Final!AP16</f>
        <v>0</v>
      </c>
      <c r="AH4" s="175">
        <f>Commercial_Final!AQ16</f>
        <v>0</v>
      </c>
      <c r="AI4" s="175">
        <f>Commercial_Final!AR16</f>
        <v>0</v>
      </c>
      <c r="AJ4" s="175">
        <f>Commercial_Final!AS16</f>
        <v>0</v>
      </c>
      <c r="AK4" s="175">
        <f>Commercial_Final!AT16</f>
        <v>0</v>
      </c>
      <c r="AL4" s="175">
        <f>Commercial_Final!AU16</f>
        <v>0</v>
      </c>
    </row>
    <row r="5" spans="1:40">
      <c r="A5" s="18" t="s">
        <v>754</v>
      </c>
      <c r="B5" s="175">
        <f>Commercial_Final!K17</f>
        <v>0</v>
      </c>
      <c r="C5" s="175">
        <f>Commercial_Final!L17</f>
        <v>0</v>
      </c>
      <c r="D5" s="175">
        <f>Commercial_Final!M17</f>
        <v>0</v>
      </c>
      <c r="E5" s="175">
        <f>Commercial_Final!N17</f>
        <v>0</v>
      </c>
      <c r="F5" s="175">
        <f>Commercial_Final!O17</f>
        <v>0</v>
      </c>
      <c r="G5" s="175">
        <f>Commercial_Final!P17</f>
        <v>0</v>
      </c>
      <c r="H5" s="175">
        <f>Commercial_Final!Q17</f>
        <v>0</v>
      </c>
      <c r="I5" s="175">
        <f>Commercial_Final!R17</f>
        <v>0</v>
      </c>
      <c r="J5" s="175">
        <f>Commercial_Final!S17</f>
        <v>0</v>
      </c>
      <c r="K5" s="175">
        <f>Commercial_Final!T17</f>
        <v>0</v>
      </c>
      <c r="L5" s="175">
        <f>Commercial_Final!U17</f>
        <v>0</v>
      </c>
      <c r="M5" s="175">
        <f>Commercial_Final!V17</f>
        <v>0</v>
      </c>
      <c r="N5" s="175">
        <f>Commercial_Final!W17</f>
        <v>0</v>
      </c>
      <c r="O5" s="175">
        <f>Commercial_Final!X17</f>
        <v>0</v>
      </c>
      <c r="P5" s="175">
        <f>Commercial_Final!Y17</f>
        <v>0</v>
      </c>
      <c r="Q5" s="175">
        <f>Commercial_Final!Z17</f>
        <v>0</v>
      </c>
      <c r="R5" s="175">
        <f>Commercial_Final!AA17</f>
        <v>0</v>
      </c>
      <c r="S5" s="175">
        <f>Commercial_Final!AB17</f>
        <v>0</v>
      </c>
      <c r="T5" s="175">
        <f>Commercial_Final!AC17</f>
        <v>0</v>
      </c>
      <c r="U5" s="175">
        <f>Commercial_Final!AD17</f>
        <v>0</v>
      </c>
      <c r="V5" s="175">
        <f>Commercial_Final!AE17</f>
        <v>0</v>
      </c>
      <c r="W5" s="175">
        <f>Commercial_Final!AF17</f>
        <v>0</v>
      </c>
      <c r="X5" s="175">
        <f>Commercial_Final!AG17</f>
        <v>0</v>
      </c>
      <c r="Y5" s="175">
        <f>Commercial_Final!AH17</f>
        <v>0</v>
      </c>
      <c r="Z5" s="175">
        <f>Commercial_Final!AI17</f>
        <v>0</v>
      </c>
      <c r="AA5" s="175">
        <f>Commercial_Final!AJ17</f>
        <v>0</v>
      </c>
      <c r="AB5" s="175">
        <f>Commercial_Final!AK17</f>
        <v>0</v>
      </c>
      <c r="AC5" s="175">
        <f>Commercial_Final!AL17</f>
        <v>0</v>
      </c>
      <c r="AD5" s="175">
        <f>Commercial_Final!AM17</f>
        <v>0</v>
      </c>
      <c r="AE5" s="175">
        <f>Commercial_Final!AN17</f>
        <v>0</v>
      </c>
      <c r="AF5" s="175">
        <f>Commercial_Final!AO17</f>
        <v>0</v>
      </c>
      <c r="AG5" s="175">
        <f>Commercial_Final!AP17</f>
        <v>0</v>
      </c>
      <c r="AH5" s="175">
        <f>Commercial_Final!AQ17</f>
        <v>0</v>
      </c>
      <c r="AI5" s="175">
        <f>Commercial_Final!AR17</f>
        <v>0</v>
      </c>
      <c r="AJ5" s="175">
        <f>Commercial_Final!AS17</f>
        <v>0</v>
      </c>
      <c r="AK5" s="175">
        <f>Commercial_Final!AT17</f>
        <v>0</v>
      </c>
      <c r="AL5" s="175">
        <f>Commercial_Final!AU17</f>
        <v>0</v>
      </c>
    </row>
    <row r="6" spans="1:40">
      <c r="A6" s="18" t="s">
        <v>755</v>
      </c>
      <c r="B6" s="175">
        <f>Commercial_Final!K18</f>
        <v>0</v>
      </c>
      <c r="C6" s="175">
        <f>Commercial_Final!L18</f>
        <v>0</v>
      </c>
      <c r="D6" s="175">
        <f>Commercial_Final!M18</f>
        <v>0</v>
      </c>
      <c r="E6" s="175">
        <f>Commercial_Final!N18</f>
        <v>0</v>
      </c>
      <c r="F6" s="175">
        <f>Commercial_Final!O18</f>
        <v>0</v>
      </c>
      <c r="G6" s="175">
        <f>Commercial_Final!P18</f>
        <v>0</v>
      </c>
      <c r="H6" s="175">
        <f>Commercial_Final!Q18</f>
        <v>0</v>
      </c>
      <c r="I6" s="175">
        <f>Commercial_Final!R18</f>
        <v>0</v>
      </c>
      <c r="J6" s="175">
        <f>Commercial_Final!S18</f>
        <v>0</v>
      </c>
      <c r="K6" s="175">
        <f>Commercial_Final!T18</f>
        <v>0</v>
      </c>
      <c r="L6" s="175">
        <f>Commercial_Final!U18</f>
        <v>0</v>
      </c>
      <c r="M6" s="175">
        <f>Commercial_Final!V18</f>
        <v>0</v>
      </c>
      <c r="N6" s="175">
        <f>Commercial_Final!W18</f>
        <v>0</v>
      </c>
      <c r="O6" s="175">
        <f>Commercial_Final!X18</f>
        <v>0</v>
      </c>
      <c r="P6" s="175">
        <f>Commercial_Final!Y18</f>
        <v>0</v>
      </c>
      <c r="Q6" s="175">
        <f>Commercial_Final!Z18</f>
        <v>0</v>
      </c>
      <c r="R6" s="175">
        <f>Commercial_Final!AA18</f>
        <v>0</v>
      </c>
      <c r="S6" s="175">
        <f>Commercial_Final!AB18</f>
        <v>0</v>
      </c>
      <c r="T6" s="175">
        <f>Commercial_Final!AC18</f>
        <v>0</v>
      </c>
      <c r="U6" s="175">
        <f>Commercial_Final!AD18</f>
        <v>0</v>
      </c>
      <c r="V6" s="175">
        <f>Commercial_Final!AE18</f>
        <v>0</v>
      </c>
      <c r="W6" s="175">
        <f>Commercial_Final!AF18</f>
        <v>0</v>
      </c>
      <c r="X6" s="175">
        <f>Commercial_Final!AG18</f>
        <v>0</v>
      </c>
      <c r="Y6" s="175">
        <f>Commercial_Final!AH18</f>
        <v>0</v>
      </c>
      <c r="Z6" s="175">
        <f>Commercial_Final!AI18</f>
        <v>0</v>
      </c>
      <c r="AA6" s="175">
        <f>Commercial_Final!AJ18</f>
        <v>0</v>
      </c>
      <c r="AB6" s="175">
        <f>Commercial_Final!AK18</f>
        <v>0</v>
      </c>
      <c r="AC6" s="175">
        <f>Commercial_Final!AL18</f>
        <v>0</v>
      </c>
      <c r="AD6" s="175">
        <f>Commercial_Final!AM18</f>
        <v>0</v>
      </c>
      <c r="AE6" s="175">
        <f>Commercial_Final!AN18</f>
        <v>0</v>
      </c>
      <c r="AF6" s="175">
        <f>Commercial_Final!AO18</f>
        <v>0</v>
      </c>
      <c r="AG6" s="175">
        <f>Commercial_Final!AP18</f>
        <v>0</v>
      </c>
      <c r="AH6" s="175">
        <f>Commercial_Final!AQ18</f>
        <v>0</v>
      </c>
      <c r="AI6" s="175">
        <f>Commercial_Final!AR18</f>
        <v>0</v>
      </c>
      <c r="AJ6" s="175">
        <f>Commercial_Final!AS18</f>
        <v>0</v>
      </c>
      <c r="AK6" s="175">
        <f>Commercial_Final!AT18</f>
        <v>0</v>
      </c>
      <c r="AL6" s="175">
        <f>Commercial_Final!AU18</f>
        <v>0</v>
      </c>
    </row>
    <row r="7" spans="1:40">
      <c r="A7" s="18" t="s">
        <v>756</v>
      </c>
      <c r="B7" s="175">
        <f>Commercial_Final!K19</f>
        <v>0</v>
      </c>
      <c r="C7" s="175">
        <f>Commercial_Final!L19</f>
        <v>0</v>
      </c>
      <c r="D7" s="175">
        <f>Commercial_Final!M19</f>
        <v>0</v>
      </c>
      <c r="E7" s="175">
        <f>Commercial_Final!N19</f>
        <v>0</v>
      </c>
      <c r="F7" s="175">
        <f>Commercial_Final!O19</f>
        <v>0</v>
      </c>
      <c r="G7" s="175">
        <f>Commercial_Final!P19</f>
        <v>0</v>
      </c>
      <c r="H7" s="175">
        <f>Commercial_Final!Q19</f>
        <v>0</v>
      </c>
      <c r="I7" s="175">
        <f>Commercial_Final!R19</f>
        <v>0</v>
      </c>
      <c r="J7" s="175">
        <f>Commercial_Final!S19</f>
        <v>0</v>
      </c>
      <c r="K7" s="175">
        <f>Commercial_Final!T19</f>
        <v>0</v>
      </c>
      <c r="L7" s="175">
        <f>Commercial_Final!U19</f>
        <v>0</v>
      </c>
      <c r="M7" s="175">
        <f>Commercial_Final!V19</f>
        <v>0</v>
      </c>
      <c r="N7" s="175">
        <f>Commercial_Final!W19</f>
        <v>0</v>
      </c>
      <c r="O7" s="175">
        <f>Commercial_Final!X19</f>
        <v>0</v>
      </c>
      <c r="P7" s="175">
        <f>Commercial_Final!Y19</f>
        <v>0</v>
      </c>
      <c r="Q7" s="175">
        <f>Commercial_Final!Z19</f>
        <v>0</v>
      </c>
      <c r="R7" s="175">
        <f>Commercial_Final!AA19</f>
        <v>0</v>
      </c>
      <c r="S7" s="175">
        <f>Commercial_Final!AB19</f>
        <v>0</v>
      </c>
      <c r="T7" s="175">
        <f>Commercial_Final!AC19</f>
        <v>0</v>
      </c>
      <c r="U7" s="175">
        <f>Commercial_Final!AD19</f>
        <v>0</v>
      </c>
      <c r="V7" s="175">
        <f>Commercial_Final!AE19</f>
        <v>0</v>
      </c>
      <c r="W7" s="175">
        <f>Commercial_Final!AF19</f>
        <v>0</v>
      </c>
      <c r="X7" s="175">
        <f>Commercial_Final!AG19</f>
        <v>0</v>
      </c>
      <c r="Y7" s="175">
        <f>Commercial_Final!AH19</f>
        <v>0</v>
      </c>
      <c r="Z7" s="175">
        <f>Commercial_Final!AI19</f>
        <v>0</v>
      </c>
      <c r="AA7" s="175">
        <f>Commercial_Final!AJ19</f>
        <v>0</v>
      </c>
      <c r="AB7" s="175">
        <f>Commercial_Final!AK19</f>
        <v>0</v>
      </c>
      <c r="AC7" s="175">
        <f>Commercial_Final!AL19</f>
        <v>0</v>
      </c>
      <c r="AD7" s="175">
        <f>Commercial_Final!AM19</f>
        <v>0</v>
      </c>
      <c r="AE7" s="175">
        <f>Commercial_Final!AN19</f>
        <v>0</v>
      </c>
      <c r="AF7" s="175">
        <f>Commercial_Final!AO19</f>
        <v>0</v>
      </c>
      <c r="AG7" s="175">
        <f>Commercial_Final!AP19</f>
        <v>0</v>
      </c>
      <c r="AH7" s="175">
        <f>Commercial_Final!AQ19</f>
        <v>0</v>
      </c>
      <c r="AI7" s="175">
        <f>Commercial_Final!AR19</f>
        <v>0</v>
      </c>
      <c r="AJ7" s="175">
        <f>Commercial_Final!AS19</f>
        <v>0</v>
      </c>
      <c r="AK7" s="175">
        <f>Commercial_Final!AT19</f>
        <v>0</v>
      </c>
      <c r="AL7" s="175">
        <f>Commercial_Final!AU19</f>
        <v>0</v>
      </c>
    </row>
  </sheetData>
  <phoneticPr fontId="3" type="noConversion"/>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4" tint="-0.499984740745262"/>
  </sheetPr>
  <dimension ref="A1:AN7"/>
  <sheetViews>
    <sheetView workbookViewId="0">
      <pane xSplit="1" ySplit="1" topLeftCell="B2" activePane="bottomRight" state="frozen"/>
      <selection activeCell="Z21" sqref="Z21"/>
      <selection pane="topRight" activeCell="Z21" sqref="Z21"/>
      <selection pane="bottomLeft" activeCell="Z21" sqref="Z21"/>
      <selection pane="bottomRight" activeCell="J19" sqref="A1:XFD1048576"/>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Commercial_Final!K5</f>
        <v>14590480590000</v>
      </c>
      <c r="C2" s="175">
        <f>Commercial_Final!L5</f>
        <v>14742033809999.998</v>
      </c>
      <c r="D2" s="175">
        <f>Commercial_Final!M5</f>
        <v>14768761770000</v>
      </c>
      <c r="E2" s="175">
        <f>Commercial_Final!N5</f>
        <v>14810084434213.041</v>
      </c>
      <c r="F2" s="175">
        <f>Commercial_Final!O5</f>
        <v>14774604716841.934</v>
      </c>
      <c r="G2" s="175">
        <f>Commercial_Final!P5</f>
        <v>14738340400336.209</v>
      </c>
      <c r="H2" s="175">
        <f>Commercial_Final!Q5</f>
        <v>14701289869558.941</v>
      </c>
      <c r="I2" s="175">
        <f>Commercial_Final!R5</f>
        <v>14724460252911.236</v>
      </c>
      <c r="J2" s="175">
        <f>Commercial_Final!S5</f>
        <v>14746090899539.479</v>
      </c>
      <c r="K2" s="175">
        <f>Commercial_Final!T5</f>
        <v>14766178294145.74</v>
      </c>
      <c r="L2" s="175">
        <f>Commercial_Final!U5</f>
        <v>14784718921431.965</v>
      </c>
      <c r="M2" s="175">
        <f>Commercial_Final!V5</f>
        <v>14801709266100.135</v>
      </c>
      <c r="N2" s="175">
        <f>Commercial_Final!W5</f>
        <v>14817145812852.184</v>
      </c>
      <c r="O2" s="175">
        <f>Commercial_Final!X5</f>
        <v>14831025046390.197</v>
      </c>
      <c r="P2" s="175">
        <f>Commercial_Final!Y5</f>
        <v>14843343451416.111</v>
      </c>
      <c r="Q2" s="175">
        <f>Commercial_Final!Z5</f>
        <v>14854097512631.91</v>
      </c>
      <c r="R2" s="175">
        <f>Commercial_Final!AA5</f>
        <v>14863283714739.539</v>
      </c>
      <c r="S2" s="175">
        <f>Commercial_Final!AB5</f>
        <v>14870898542441.066</v>
      </c>
      <c r="T2" s="175">
        <f>Commercial_Final!AC5</f>
        <v>14876938480438.434</v>
      </c>
      <c r="U2" s="175">
        <f>Commercial_Final!AD5</f>
        <v>14881400013433.637</v>
      </c>
      <c r="V2" s="175">
        <f>Commercial_Final!AE5</f>
        <v>14884279626128.594</v>
      </c>
      <c r="W2" s="175">
        <f>Commercial_Final!AF5</f>
        <v>14885573803225.402</v>
      </c>
      <c r="X2" s="175">
        <f>Commercial_Final!AG5</f>
        <v>14885279029425.961</v>
      </c>
      <c r="Y2" s="175">
        <f>Commercial_Final!AH5</f>
        <v>14883391789432.32</v>
      </c>
      <c r="Z2" s="175">
        <f>Commercial_Final!AI5</f>
        <v>14879908567946.385</v>
      </c>
      <c r="AA2" s="175">
        <f>Commercial_Final!AJ5</f>
        <v>14874825849670.232</v>
      </c>
      <c r="AB2" s="175">
        <f>Commercial_Final!AK5</f>
        <v>14868140119305.807</v>
      </c>
      <c r="AC2" s="175">
        <f>Commercial_Final!AL5</f>
        <v>14859847861555.094</v>
      </c>
      <c r="AD2" s="175">
        <f>Commercial_Final!AM5</f>
        <v>14849945561120.02</v>
      </c>
      <c r="AE2" s="175">
        <f>Commercial_Final!AN5</f>
        <v>14838429702702.674</v>
      </c>
      <c r="AF2" s="175">
        <f>Commercial_Final!AO5</f>
        <v>14825296771004.996</v>
      </c>
      <c r="AG2" s="175">
        <f>Commercial_Final!AP5</f>
        <v>14810543250728.969</v>
      </c>
      <c r="AH2" s="175">
        <f>Commercial_Final!AQ5</f>
        <v>14794165626576.52</v>
      </c>
      <c r="AI2" s="175">
        <f>Commercial_Final!AR5</f>
        <v>14776160383249.752</v>
      </c>
      <c r="AJ2" s="175">
        <f>Commercial_Final!AS5</f>
        <v>14756524005450.584</v>
      </c>
      <c r="AK2" s="175">
        <f>Commercial_Final!AT5</f>
        <v>14735252977881.004</v>
      </c>
      <c r="AL2" s="175">
        <f>Commercial_Final!AU5</f>
        <v>14712343785243.012</v>
      </c>
    </row>
    <row r="3" spans="1:40">
      <c r="A3" s="18" t="s">
        <v>752</v>
      </c>
      <c r="B3" s="175">
        <f>Commercial_Final!K6</f>
        <v>0</v>
      </c>
      <c r="C3" s="175">
        <f>Commercial_Final!L6</f>
        <v>0</v>
      </c>
      <c r="D3" s="175">
        <f>Commercial_Final!M6</f>
        <v>0</v>
      </c>
      <c r="E3" s="175">
        <f>Commercial_Final!N6</f>
        <v>0</v>
      </c>
      <c r="F3" s="175">
        <f>Commercial_Final!O6</f>
        <v>0</v>
      </c>
      <c r="G3" s="175">
        <f>Commercial_Final!P6</f>
        <v>0</v>
      </c>
      <c r="H3" s="175">
        <f>Commercial_Final!Q6</f>
        <v>0</v>
      </c>
      <c r="I3" s="175">
        <f>Commercial_Final!R6</f>
        <v>0</v>
      </c>
      <c r="J3" s="175">
        <f>Commercial_Final!S6</f>
        <v>0</v>
      </c>
      <c r="K3" s="175">
        <f>Commercial_Final!T6</f>
        <v>0</v>
      </c>
      <c r="L3" s="175">
        <f>Commercial_Final!U6</f>
        <v>0</v>
      </c>
      <c r="M3" s="175">
        <f>Commercial_Final!V6</f>
        <v>0</v>
      </c>
      <c r="N3" s="175">
        <f>Commercial_Final!W6</f>
        <v>0</v>
      </c>
      <c r="O3" s="175">
        <f>Commercial_Final!X6</f>
        <v>0</v>
      </c>
      <c r="P3" s="175">
        <f>Commercial_Final!Y6</f>
        <v>0</v>
      </c>
      <c r="Q3" s="175">
        <f>Commercial_Final!Z6</f>
        <v>0</v>
      </c>
      <c r="R3" s="175">
        <f>Commercial_Final!AA6</f>
        <v>0</v>
      </c>
      <c r="S3" s="175">
        <f>Commercial_Final!AB6</f>
        <v>0</v>
      </c>
      <c r="T3" s="175">
        <f>Commercial_Final!AC6</f>
        <v>0</v>
      </c>
      <c r="U3" s="175">
        <f>Commercial_Final!AD6</f>
        <v>0</v>
      </c>
      <c r="V3" s="175">
        <f>Commercial_Final!AE6</f>
        <v>0</v>
      </c>
      <c r="W3" s="175">
        <f>Commercial_Final!AF6</f>
        <v>0</v>
      </c>
      <c r="X3" s="175">
        <f>Commercial_Final!AG6</f>
        <v>0</v>
      </c>
      <c r="Y3" s="175">
        <f>Commercial_Final!AH6</f>
        <v>0</v>
      </c>
      <c r="Z3" s="175">
        <f>Commercial_Final!AI6</f>
        <v>0</v>
      </c>
      <c r="AA3" s="175">
        <f>Commercial_Final!AJ6</f>
        <v>0</v>
      </c>
      <c r="AB3" s="175">
        <f>Commercial_Final!AK6</f>
        <v>0</v>
      </c>
      <c r="AC3" s="175">
        <f>Commercial_Final!AL6</f>
        <v>0</v>
      </c>
      <c r="AD3" s="175">
        <f>Commercial_Final!AM6</f>
        <v>0</v>
      </c>
      <c r="AE3" s="175">
        <f>Commercial_Final!AN6</f>
        <v>0</v>
      </c>
      <c r="AF3" s="175">
        <f>Commercial_Final!AO6</f>
        <v>0</v>
      </c>
      <c r="AG3" s="175">
        <f>Commercial_Final!AP6</f>
        <v>0</v>
      </c>
      <c r="AH3" s="175">
        <f>Commercial_Final!AQ6</f>
        <v>0</v>
      </c>
      <c r="AI3" s="175">
        <f>Commercial_Final!AR6</f>
        <v>0</v>
      </c>
      <c r="AJ3" s="175">
        <f>Commercial_Final!AS6</f>
        <v>0</v>
      </c>
      <c r="AK3" s="175">
        <f>Commercial_Final!AT6</f>
        <v>0</v>
      </c>
      <c r="AL3" s="175">
        <f>Commercial_Final!AU6</f>
        <v>0</v>
      </c>
    </row>
    <row r="4" spans="1:40">
      <c r="A4" s="18" t="s">
        <v>753</v>
      </c>
      <c r="B4" s="175">
        <f>Commercial_Final!K7</f>
        <v>0</v>
      </c>
      <c r="C4" s="175">
        <f>Commercial_Final!L7</f>
        <v>0</v>
      </c>
      <c r="D4" s="175">
        <f>Commercial_Final!M7</f>
        <v>0</v>
      </c>
      <c r="E4" s="175">
        <f>Commercial_Final!N7</f>
        <v>0</v>
      </c>
      <c r="F4" s="175">
        <f>Commercial_Final!O7</f>
        <v>0</v>
      </c>
      <c r="G4" s="175">
        <f>Commercial_Final!P7</f>
        <v>0</v>
      </c>
      <c r="H4" s="175">
        <f>Commercial_Final!Q7</f>
        <v>0</v>
      </c>
      <c r="I4" s="175">
        <f>Commercial_Final!R7</f>
        <v>0</v>
      </c>
      <c r="J4" s="175">
        <f>Commercial_Final!S7</f>
        <v>0</v>
      </c>
      <c r="K4" s="175">
        <f>Commercial_Final!T7</f>
        <v>0</v>
      </c>
      <c r="L4" s="175">
        <f>Commercial_Final!U7</f>
        <v>0</v>
      </c>
      <c r="M4" s="175">
        <f>Commercial_Final!V7</f>
        <v>0</v>
      </c>
      <c r="N4" s="175">
        <f>Commercial_Final!W7</f>
        <v>0</v>
      </c>
      <c r="O4" s="175">
        <f>Commercial_Final!X7</f>
        <v>0</v>
      </c>
      <c r="P4" s="175">
        <f>Commercial_Final!Y7</f>
        <v>0</v>
      </c>
      <c r="Q4" s="175">
        <f>Commercial_Final!Z7</f>
        <v>0</v>
      </c>
      <c r="R4" s="175">
        <f>Commercial_Final!AA7</f>
        <v>0</v>
      </c>
      <c r="S4" s="175">
        <f>Commercial_Final!AB7</f>
        <v>0</v>
      </c>
      <c r="T4" s="175">
        <f>Commercial_Final!AC7</f>
        <v>0</v>
      </c>
      <c r="U4" s="175">
        <f>Commercial_Final!AD7</f>
        <v>0</v>
      </c>
      <c r="V4" s="175">
        <f>Commercial_Final!AE7</f>
        <v>0</v>
      </c>
      <c r="W4" s="175">
        <f>Commercial_Final!AF7</f>
        <v>0</v>
      </c>
      <c r="X4" s="175">
        <f>Commercial_Final!AG7</f>
        <v>0</v>
      </c>
      <c r="Y4" s="175">
        <f>Commercial_Final!AH7</f>
        <v>0</v>
      </c>
      <c r="Z4" s="175">
        <f>Commercial_Final!AI7</f>
        <v>0</v>
      </c>
      <c r="AA4" s="175">
        <f>Commercial_Final!AJ7</f>
        <v>0</v>
      </c>
      <c r="AB4" s="175">
        <f>Commercial_Final!AK7</f>
        <v>0</v>
      </c>
      <c r="AC4" s="175">
        <f>Commercial_Final!AL7</f>
        <v>0</v>
      </c>
      <c r="AD4" s="175">
        <f>Commercial_Final!AM7</f>
        <v>0</v>
      </c>
      <c r="AE4" s="175">
        <f>Commercial_Final!AN7</f>
        <v>0</v>
      </c>
      <c r="AF4" s="175">
        <f>Commercial_Final!AO7</f>
        <v>0</v>
      </c>
      <c r="AG4" s="175">
        <f>Commercial_Final!AP7</f>
        <v>0</v>
      </c>
      <c r="AH4" s="175">
        <f>Commercial_Final!AQ7</f>
        <v>0</v>
      </c>
      <c r="AI4" s="175">
        <f>Commercial_Final!AR7</f>
        <v>0</v>
      </c>
      <c r="AJ4" s="175">
        <f>Commercial_Final!AS7</f>
        <v>0</v>
      </c>
      <c r="AK4" s="175">
        <f>Commercial_Final!AT7</f>
        <v>0</v>
      </c>
      <c r="AL4" s="175">
        <f>Commercial_Final!AU7</f>
        <v>0</v>
      </c>
    </row>
    <row r="5" spans="1:40">
      <c r="A5" s="18" t="s">
        <v>754</v>
      </c>
      <c r="B5" s="175">
        <f>Commercial_Final!K8</f>
        <v>0</v>
      </c>
      <c r="C5" s="175">
        <f>Commercial_Final!L8</f>
        <v>0</v>
      </c>
      <c r="D5" s="175">
        <f>Commercial_Final!M8</f>
        <v>0</v>
      </c>
      <c r="E5" s="175">
        <f>Commercial_Final!N8</f>
        <v>0</v>
      </c>
      <c r="F5" s="175">
        <f>Commercial_Final!O8</f>
        <v>0</v>
      </c>
      <c r="G5" s="175">
        <f>Commercial_Final!P8</f>
        <v>0</v>
      </c>
      <c r="H5" s="175">
        <f>Commercial_Final!Q8</f>
        <v>0</v>
      </c>
      <c r="I5" s="175">
        <f>Commercial_Final!R8</f>
        <v>0</v>
      </c>
      <c r="J5" s="175">
        <f>Commercial_Final!S8</f>
        <v>0</v>
      </c>
      <c r="K5" s="175">
        <f>Commercial_Final!T8</f>
        <v>0</v>
      </c>
      <c r="L5" s="175">
        <f>Commercial_Final!U8</f>
        <v>0</v>
      </c>
      <c r="M5" s="175">
        <f>Commercial_Final!V8</f>
        <v>0</v>
      </c>
      <c r="N5" s="175">
        <f>Commercial_Final!W8</f>
        <v>0</v>
      </c>
      <c r="O5" s="175">
        <f>Commercial_Final!X8</f>
        <v>0</v>
      </c>
      <c r="P5" s="175">
        <f>Commercial_Final!Y8</f>
        <v>0</v>
      </c>
      <c r="Q5" s="175">
        <f>Commercial_Final!Z8</f>
        <v>0</v>
      </c>
      <c r="R5" s="175">
        <f>Commercial_Final!AA8</f>
        <v>0</v>
      </c>
      <c r="S5" s="175">
        <f>Commercial_Final!AB8</f>
        <v>0</v>
      </c>
      <c r="T5" s="175">
        <f>Commercial_Final!AC8</f>
        <v>0</v>
      </c>
      <c r="U5" s="175">
        <f>Commercial_Final!AD8</f>
        <v>0</v>
      </c>
      <c r="V5" s="175">
        <f>Commercial_Final!AE8</f>
        <v>0</v>
      </c>
      <c r="W5" s="175">
        <f>Commercial_Final!AF8</f>
        <v>0</v>
      </c>
      <c r="X5" s="175">
        <f>Commercial_Final!AG8</f>
        <v>0</v>
      </c>
      <c r="Y5" s="175">
        <f>Commercial_Final!AH8</f>
        <v>0</v>
      </c>
      <c r="Z5" s="175">
        <f>Commercial_Final!AI8</f>
        <v>0</v>
      </c>
      <c r="AA5" s="175">
        <f>Commercial_Final!AJ8</f>
        <v>0</v>
      </c>
      <c r="AB5" s="175">
        <f>Commercial_Final!AK8</f>
        <v>0</v>
      </c>
      <c r="AC5" s="175">
        <f>Commercial_Final!AL8</f>
        <v>0</v>
      </c>
      <c r="AD5" s="175">
        <f>Commercial_Final!AM8</f>
        <v>0</v>
      </c>
      <c r="AE5" s="175">
        <f>Commercial_Final!AN8</f>
        <v>0</v>
      </c>
      <c r="AF5" s="175">
        <f>Commercial_Final!AO8</f>
        <v>0</v>
      </c>
      <c r="AG5" s="175">
        <f>Commercial_Final!AP8</f>
        <v>0</v>
      </c>
      <c r="AH5" s="175">
        <f>Commercial_Final!AQ8</f>
        <v>0</v>
      </c>
      <c r="AI5" s="175">
        <f>Commercial_Final!AR8</f>
        <v>0</v>
      </c>
      <c r="AJ5" s="175">
        <f>Commercial_Final!AS8</f>
        <v>0</v>
      </c>
      <c r="AK5" s="175">
        <f>Commercial_Final!AT8</f>
        <v>0</v>
      </c>
      <c r="AL5" s="175">
        <f>Commercial_Final!AU8</f>
        <v>0</v>
      </c>
    </row>
    <row r="6" spans="1:40">
      <c r="A6" s="18" t="s">
        <v>755</v>
      </c>
      <c r="B6" s="175">
        <f>Commercial_Final!K9</f>
        <v>0</v>
      </c>
      <c r="C6" s="175">
        <f>Commercial_Final!L9</f>
        <v>0</v>
      </c>
      <c r="D6" s="175">
        <f>Commercial_Final!M9</f>
        <v>0</v>
      </c>
      <c r="E6" s="175">
        <f>Commercial_Final!N9</f>
        <v>0</v>
      </c>
      <c r="F6" s="175">
        <f>Commercial_Final!O9</f>
        <v>0</v>
      </c>
      <c r="G6" s="175">
        <f>Commercial_Final!P9</f>
        <v>0</v>
      </c>
      <c r="H6" s="175">
        <f>Commercial_Final!Q9</f>
        <v>0</v>
      </c>
      <c r="I6" s="175">
        <f>Commercial_Final!R9</f>
        <v>0</v>
      </c>
      <c r="J6" s="175">
        <f>Commercial_Final!S9</f>
        <v>0</v>
      </c>
      <c r="K6" s="175">
        <f>Commercial_Final!T9</f>
        <v>0</v>
      </c>
      <c r="L6" s="175">
        <f>Commercial_Final!U9</f>
        <v>0</v>
      </c>
      <c r="M6" s="175">
        <f>Commercial_Final!V9</f>
        <v>0</v>
      </c>
      <c r="N6" s="175">
        <f>Commercial_Final!W9</f>
        <v>0</v>
      </c>
      <c r="O6" s="175">
        <f>Commercial_Final!X9</f>
        <v>0</v>
      </c>
      <c r="P6" s="175">
        <f>Commercial_Final!Y9</f>
        <v>0</v>
      </c>
      <c r="Q6" s="175">
        <f>Commercial_Final!Z9</f>
        <v>0</v>
      </c>
      <c r="R6" s="175">
        <f>Commercial_Final!AA9</f>
        <v>0</v>
      </c>
      <c r="S6" s="175">
        <f>Commercial_Final!AB9</f>
        <v>0</v>
      </c>
      <c r="T6" s="175">
        <f>Commercial_Final!AC9</f>
        <v>0</v>
      </c>
      <c r="U6" s="175">
        <f>Commercial_Final!AD9</f>
        <v>0</v>
      </c>
      <c r="V6" s="175">
        <f>Commercial_Final!AE9</f>
        <v>0</v>
      </c>
      <c r="W6" s="175">
        <f>Commercial_Final!AF9</f>
        <v>0</v>
      </c>
      <c r="X6" s="175">
        <f>Commercial_Final!AG9</f>
        <v>0</v>
      </c>
      <c r="Y6" s="175">
        <f>Commercial_Final!AH9</f>
        <v>0</v>
      </c>
      <c r="Z6" s="175">
        <f>Commercial_Final!AI9</f>
        <v>0</v>
      </c>
      <c r="AA6" s="175">
        <f>Commercial_Final!AJ9</f>
        <v>0</v>
      </c>
      <c r="AB6" s="175">
        <f>Commercial_Final!AK9</f>
        <v>0</v>
      </c>
      <c r="AC6" s="175">
        <f>Commercial_Final!AL9</f>
        <v>0</v>
      </c>
      <c r="AD6" s="175">
        <f>Commercial_Final!AM9</f>
        <v>0</v>
      </c>
      <c r="AE6" s="175">
        <f>Commercial_Final!AN9</f>
        <v>0</v>
      </c>
      <c r="AF6" s="175">
        <f>Commercial_Final!AO9</f>
        <v>0</v>
      </c>
      <c r="AG6" s="175">
        <f>Commercial_Final!AP9</f>
        <v>0</v>
      </c>
      <c r="AH6" s="175">
        <f>Commercial_Final!AQ9</f>
        <v>0</v>
      </c>
      <c r="AI6" s="175">
        <f>Commercial_Final!AR9</f>
        <v>0</v>
      </c>
      <c r="AJ6" s="175">
        <f>Commercial_Final!AS9</f>
        <v>0</v>
      </c>
      <c r="AK6" s="175">
        <f>Commercial_Final!AT9</f>
        <v>0</v>
      </c>
      <c r="AL6" s="175">
        <f>Commercial_Final!AU9</f>
        <v>0</v>
      </c>
    </row>
    <row r="7" spans="1:40">
      <c r="A7" s="18" t="s">
        <v>756</v>
      </c>
      <c r="B7" s="175">
        <f>Commercial_Final!K10</f>
        <v>0</v>
      </c>
      <c r="C7" s="175">
        <f>Commercial_Final!L10</f>
        <v>0</v>
      </c>
      <c r="D7" s="175">
        <f>Commercial_Final!M10</f>
        <v>0</v>
      </c>
      <c r="E7" s="175">
        <f>Commercial_Final!N10</f>
        <v>0</v>
      </c>
      <c r="F7" s="175">
        <f>Commercial_Final!O10</f>
        <v>0</v>
      </c>
      <c r="G7" s="175">
        <f>Commercial_Final!P10</f>
        <v>0</v>
      </c>
      <c r="H7" s="175">
        <f>Commercial_Final!Q10</f>
        <v>0</v>
      </c>
      <c r="I7" s="175">
        <f>Commercial_Final!R10</f>
        <v>0</v>
      </c>
      <c r="J7" s="175">
        <f>Commercial_Final!S10</f>
        <v>0</v>
      </c>
      <c r="K7" s="175">
        <f>Commercial_Final!T10</f>
        <v>0</v>
      </c>
      <c r="L7" s="175">
        <f>Commercial_Final!U10</f>
        <v>0</v>
      </c>
      <c r="M7" s="175">
        <f>Commercial_Final!V10</f>
        <v>0</v>
      </c>
      <c r="N7" s="175">
        <f>Commercial_Final!W10</f>
        <v>0</v>
      </c>
      <c r="O7" s="175">
        <f>Commercial_Final!X10</f>
        <v>0</v>
      </c>
      <c r="P7" s="175">
        <f>Commercial_Final!Y10</f>
        <v>0</v>
      </c>
      <c r="Q7" s="175">
        <f>Commercial_Final!Z10</f>
        <v>0</v>
      </c>
      <c r="R7" s="175">
        <f>Commercial_Final!AA10</f>
        <v>0</v>
      </c>
      <c r="S7" s="175">
        <f>Commercial_Final!AB10</f>
        <v>0</v>
      </c>
      <c r="T7" s="175">
        <f>Commercial_Final!AC10</f>
        <v>0</v>
      </c>
      <c r="U7" s="175">
        <f>Commercial_Final!AD10</f>
        <v>0</v>
      </c>
      <c r="V7" s="175">
        <f>Commercial_Final!AE10</f>
        <v>0</v>
      </c>
      <c r="W7" s="175">
        <f>Commercial_Final!AF10</f>
        <v>0</v>
      </c>
      <c r="X7" s="175">
        <f>Commercial_Final!AG10</f>
        <v>0</v>
      </c>
      <c r="Y7" s="175">
        <f>Commercial_Final!AH10</f>
        <v>0</v>
      </c>
      <c r="Z7" s="175">
        <f>Commercial_Final!AI10</f>
        <v>0</v>
      </c>
      <c r="AA7" s="175">
        <f>Commercial_Final!AJ10</f>
        <v>0</v>
      </c>
      <c r="AB7" s="175">
        <f>Commercial_Final!AK10</f>
        <v>0</v>
      </c>
      <c r="AC7" s="175">
        <f>Commercial_Final!AL10</f>
        <v>0</v>
      </c>
      <c r="AD7" s="175">
        <f>Commercial_Final!AM10</f>
        <v>0</v>
      </c>
      <c r="AE7" s="175">
        <f>Commercial_Final!AN10</f>
        <v>0</v>
      </c>
      <c r="AF7" s="175">
        <f>Commercial_Final!AO10</f>
        <v>0</v>
      </c>
      <c r="AG7" s="175">
        <f>Commercial_Final!AP10</f>
        <v>0</v>
      </c>
      <c r="AH7" s="175">
        <f>Commercial_Final!AQ10</f>
        <v>0</v>
      </c>
      <c r="AI7" s="175">
        <f>Commercial_Final!AR10</f>
        <v>0</v>
      </c>
      <c r="AJ7" s="175">
        <f>Commercial_Final!AS10</f>
        <v>0</v>
      </c>
      <c r="AK7" s="175">
        <f>Commercial_Final!AT10</f>
        <v>0</v>
      </c>
      <c r="AL7" s="175">
        <f>Commercial_Final!AU10</f>
        <v>0</v>
      </c>
    </row>
  </sheetData>
  <phoneticPr fontId="3" type="noConversion"/>
  <pageMargins left="0.7" right="0.7" top="0.75" bottom="0.75" header="0.3" footer="0.3"/>
  <pageSetup orientation="portrait" horizontalDpi="1200" verticalDpi="1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4" tint="-0.499984740745262"/>
  </sheetPr>
  <dimension ref="A1:AN7"/>
  <sheetViews>
    <sheetView workbookViewId="0">
      <pane xSplit="1" ySplit="1" topLeftCell="B2" activePane="bottomRight" state="frozen"/>
      <selection activeCell="Z21" sqref="Z21"/>
      <selection pane="topRight" activeCell="Z21" sqref="Z21"/>
      <selection pane="bottomLeft" activeCell="Z21" sqref="Z21"/>
      <selection pane="bottomRight" activeCell="G15" sqref="A1:XFD1048576"/>
    </sheetView>
  </sheetViews>
  <sheetFormatPr defaultColWidth="8.7109375" defaultRowHeight="15"/>
  <cols>
    <col min="1" max="1" width="23.7109375" style="103" customWidth="1"/>
    <col min="2" max="2" width="10.7109375" style="103" bestFit="1" customWidth="1"/>
    <col min="3" max="6" width="8.7109375" style="103"/>
    <col min="7" max="7" width="10.7109375" style="103" bestFit="1" customWidth="1"/>
    <col min="8"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Commercial_Final!K32</f>
        <v>21399371532000.004</v>
      </c>
      <c r="C2" s="175">
        <f>Commercial_Final!L32</f>
        <v>20638847334000.004</v>
      </c>
      <c r="D2" s="175">
        <f>Commercial_Final!M32</f>
        <v>20676266478000</v>
      </c>
      <c r="E2" s="175">
        <f>Commercial_Final!N32</f>
        <v>21867238761925.234</v>
      </c>
      <c r="F2" s="175">
        <f>Commercial_Final!O32</f>
        <v>21962250254765.02</v>
      </c>
      <c r="G2" s="175">
        <f>Commercial_Final!P32</f>
        <v>22057380190979.324</v>
      </c>
      <c r="H2" s="175">
        <f>Commercial_Final!Q32</f>
        <v>22152628570568.215</v>
      </c>
      <c r="I2" s="175">
        <f>Commercial_Final!R32</f>
        <v>22340560383727.324</v>
      </c>
      <c r="J2" s="175">
        <f>Commercial_Final!S32</f>
        <v>22528749985407.52</v>
      </c>
      <c r="K2" s="175">
        <f>Commercial_Final!T32</f>
        <v>22717197375608.797</v>
      </c>
      <c r="L2" s="175">
        <f>Commercial_Final!U32</f>
        <v>22905902554331.16</v>
      </c>
      <c r="M2" s="175">
        <f>Commercial_Final!V32</f>
        <v>23094865521574.605</v>
      </c>
      <c r="N2" s="175">
        <f>Commercial_Final!W32</f>
        <v>23284086277339.129</v>
      </c>
      <c r="O2" s="175">
        <f>Commercial_Final!X32</f>
        <v>23473564821624.734</v>
      </c>
      <c r="P2" s="175">
        <f>Commercial_Final!Y32</f>
        <v>23663301154431.43</v>
      </c>
      <c r="Q2" s="175">
        <f>Commercial_Final!Z32</f>
        <v>23853295275759.195</v>
      </c>
      <c r="R2" s="175">
        <f>Commercial_Final!AA32</f>
        <v>24043547185608.059</v>
      </c>
      <c r="S2" s="175">
        <f>Commercial_Final!AB32</f>
        <v>24234056883977.996</v>
      </c>
      <c r="T2" s="175">
        <f>Commercial_Final!AC32</f>
        <v>24424824370869.012</v>
      </c>
      <c r="U2" s="175">
        <f>Commercial_Final!AD32</f>
        <v>24615849646281.121</v>
      </c>
      <c r="V2" s="175">
        <f>Commercial_Final!AE32</f>
        <v>24807132710214.305</v>
      </c>
      <c r="W2" s="175">
        <f>Commercial_Final!AF32</f>
        <v>24998673562668.574</v>
      </c>
      <c r="X2" s="175">
        <f>Commercial_Final!AG32</f>
        <v>25190472203643.871</v>
      </c>
      <c r="Y2" s="175">
        <f>Commercial_Final!AH32</f>
        <v>25382528633140.305</v>
      </c>
      <c r="Z2" s="175">
        <f>Commercial_Final!AI32</f>
        <v>25574842851157.828</v>
      </c>
      <c r="AA2" s="175">
        <f>Commercial_Final!AJ32</f>
        <v>25767414857696.426</v>
      </c>
      <c r="AB2" s="175">
        <f>Commercial_Final!AK32</f>
        <v>25960244652756.105</v>
      </c>
      <c r="AC2" s="175">
        <f>Commercial_Final!AL32</f>
        <v>26153332236336.875</v>
      </c>
      <c r="AD2" s="175">
        <f>Commercial_Final!AM32</f>
        <v>26346677608438.723</v>
      </c>
      <c r="AE2" s="175">
        <f>Commercial_Final!AN32</f>
        <v>26540280769061.648</v>
      </c>
      <c r="AF2" s="175">
        <f>Commercial_Final!AO32</f>
        <v>26734141718205.664</v>
      </c>
      <c r="AG2" s="175">
        <f>Commercial_Final!AP32</f>
        <v>26928260455870.758</v>
      </c>
      <c r="AH2" s="175">
        <f>Commercial_Final!AQ32</f>
        <v>27122636982056.93</v>
      </c>
      <c r="AI2" s="175">
        <f>Commercial_Final!AR32</f>
        <v>27317271296764.199</v>
      </c>
      <c r="AJ2" s="175">
        <f>Commercial_Final!AS32</f>
        <v>27512163399992.543</v>
      </c>
      <c r="AK2" s="175">
        <f>Commercial_Final!AT32</f>
        <v>27707313291741.961</v>
      </c>
      <c r="AL2" s="175">
        <f>Commercial_Final!AU32</f>
        <v>27902720972012.477</v>
      </c>
    </row>
    <row r="3" spans="1:40">
      <c r="A3" s="18" t="s">
        <v>752</v>
      </c>
      <c r="B3" s="175">
        <f>Commercial_Final!K33</f>
        <v>2443428400000</v>
      </c>
      <c r="C3" s="175">
        <f>Commercial_Final!L33</f>
        <v>2457645400000</v>
      </c>
      <c r="D3" s="175">
        <f>Commercial_Final!M33</f>
        <v>2447219600000</v>
      </c>
      <c r="E3" s="175">
        <f>Commercial_Final!N33</f>
        <v>2176175321922.7163</v>
      </c>
      <c r="F3" s="175">
        <f>Commercial_Final!O33</f>
        <v>2135568427030.1653</v>
      </c>
      <c r="G3" s="175">
        <f>Commercial_Final!P33</f>
        <v>2094615431367.8447</v>
      </c>
      <c r="H3" s="175">
        <f>Commercial_Final!Q33</f>
        <v>2053316334935.7078</v>
      </c>
      <c r="I3" s="175">
        <f>Commercial_Final!R33</f>
        <v>2020040894911.8088</v>
      </c>
      <c r="J3" s="175">
        <f>Commercial_Final!S33</f>
        <v>1986012176741.8767</v>
      </c>
      <c r="K3" s="175">
        <f>Commercial_Final!T33</f>
        <v>1951230180425.9167</v>
      </c>
      <c r="L3" s="175">
        <f>Commercial_Final!U33</f>
        <v>1915694905963.9504</v>
      </c>
      <c r="M3" s="175">
        <f>Commercial_Final!V33</f>
        <v>1879406353355.9495</v>
      </c>
      <c r="N3" s="175">
        <f>Commercial_Final!W33</f>
        <v>1842364522601.9417</v>
      </c>
      <c r="O3" s="175">
        <f>Commercial_Final!X33</f>
        <v>1804569413701.9133</v>
      </c>
      <c r="P3" s="175">
        <f>Commercial_Final!Y33</f>
        <v>1766021026655.8503</v>
      </c>
      <c r="Q3" s="175">
        <f>Commercial_Final!Z33</f>
        <v>1726719361463.7739</v>
      </c>
      <c r="R3" s="175">
        <f>Commercial_Final!AA33</f>
        <v>1686664418125.6775</v>
      </c>
      <c r="S3" s="175">
        <f>Commercial_Final!AB33</f>
        <v>1645856196641.5598</v>
      </c>
      <c r="T3" s="175">
        <f>Commercial_Final!AC33</f>
        <v>1604294697011.436</v>
      </c>
      <c r="U3" s="175">
        <f>Commercial_Final!AD33</f>
        <v>1561979919235.2629</v>
      </c>
      <c r="V3" s="175">
        <f>Commercial_Final!AE33</f>
        <v>1518911863313.0911</v>
      </c>
      <c r="W3" s="175">
        <f>Commercial_Final!AF33</f>
        <v>1475090529244.8838</v>
      </c>
      <c r="X3" s="175">
        <f>Commercial_Final!AG33</f>
        <v>1430515917030.6677</v>
      </c>
      <c r="Y3" s="175">
        <f>Commercial_Final!AH33</f>
        <v>1385188026670.4343</v>
      </c>
      <c r="Z3" s="175">
        <f>Commercial_Final!AI33</f>
        <v>1339106858164.1658</v>
      </c>
      <c r="AA3" s="175">
        <f>Commercial_Final!AJ33</f>
        <v>1292272411511.8911</v>
      </c>
      <c r="AB3" s="175">
        <f>Commercial_Final!AK33</f>
        <v>1244684686713.5732</v>
      </c>
      <c r="AC3" s="175">
        <f>Commercial_Final!AL33</f>
        <v>1196343683769.2654</v>
      </c>
      <c r="AD3" s="175">
        <f>Commercial_Final!AM33</f>
        <v>1147249402678.9063</v>
      </c>
      <c r="AE3" s="175">
        <f>Commercial_Final!AN33</f>
        <v>1097401843442.5574</v>
      </c>
      <c r="AF3" s="175">
        <f>Commercial_Final!AO33</f>
        <v>1046801006060.1729</v>
      </c>
      <c r="AG3" s="175">
        <f>Commercial_Final!AP33</f>
        <v>995446890531.76733</v>
      </c>
      <c r="AH3" s="175">
        <f>Commercial_Final!AQ33</f>
        <v>943339496857.34119</v>
      </c>
      <c r="AI3" s="175">
        <f>Commercial_Final!AR33</f>
        <v>890478825036.88672</v>
      </c>
      <c r="AJ3" s="175">
        <f>Commercial_Final!AS33</f>
        <v>836864875070.42737</v>
      </c>
      <c r="AK3" s="175">
        <f>Commercial_Final!AT33</f>
        <v>782497646957.94775</v>
      </c>
      <c r="AL3" s="175">
        <f>Commercial_Final!AU33</f>
        <v>727377140699.4314</v>
      </c>
    </row>
    <row r="4" spans="1:40">
      <c r="A4" s="18" t="s">
        <v>753</v>
      </c>
      <c r="B4" s="175">
        <f>Commercial_Final!K34</f>
        <v>14148758400000</v>
      </c>
      <c r="C4" s="175">
        <f>Commercial_Final!L34</f>
        <v>14022701000000</v>
      </c>
      <c r="D4" s="175">
        <f>Commercial_Final!M34</f>
        <v>14144967200000</v>
      </c>
      <c r="E4" s="175">
        <f>Commercial_Final!N34</f>
        <v>14171939781191.246</v>
      </c>
      <c r="F4" s="175">
        <f>Commercial_Final!O34</f>
        <v>14244295200946.854</v>
      </c>
      <c r="G4" s="175">
        <f>Commercial_Final!P34</f>
        <v>14316804443266.789</v>
      </c>
      <c r="H4" s="175">
        <f>Commercial_Final!Q34</f>
        <v>14389467508151.096</v>
      </c>
      <c r="I4" s="175">
        <f>Commercial_Final!R34</f>
        <v>14522456163420.008</v>
      </c>
      <c r="J4" s="175">
        <f>Commercial_Final!S34</f>
        <v>14655779608976.045</v>
      </c>
      <c r="K4" s="175">
        <f>Commercial_Final!T34</f>
        <v>14789437844819.207</v>
      </c>
      <c r="L4" s="175">
        <f>Commercial_Final!U34</f>
        <v>14923430870949.486</v>
      </c>
      <c r="M4" s="175">
        <f>Commercial_Final!V34</f>
        <v>15057758687366.881</v>
      </c>
      <c r="N4" s="175">
        <f>Commercial_Final!W34</f>
        <v>15192421294071.4</v>
      </c>
      <c r="O4" s="175">
        <f>Commercial_Final!X34</f>
        <v>15327418691063.035</v>
      </c>
      <c r="P4" s="175">
        <f>Commercial_Final!Y34</f>
        <v>15462750878341.791</v>
      </c>
      <c r="Q4" s="175">
        <f>Commercial_Final!Z34</f>
        <v>15598417855907.676</v>
      </c>
      <c r="R4" s="175">
        <f>Commercial_Final!AA34</f>
        <v>15734419623760.676</v>
      </c>
      <c r="S4" s="175">
        <f>Commercial_Final!AB34</f>
        <v>15870756181900.793</v>
      </c>
      <c r="T4" s="175">
        <f>Commercial_Final!AC34</f>
        <v>16007427530328.029</v>
      </c>
      <c r="U4" s="175">
        <f>Commercial_Final!AD34</f>
        <v>16144433669042.389</v>
      </c>
      <c r="V4" s="175">
        <f>Commercial_Final!AE34</f>
        <v>16281774598043.877</v>
      </c>
      <c r="W4" s="175">
        <f>Commercial_Final!AF34</f>
        <v>16419450317332.473</v>
      </c>
      <c r="X4" s="175">
        <f>Commercial_Final!AG34</f>
        <v>16557460826908.158</v>
      </c>
      <c r="Y4" s="175">
        <f>Commercial_Final!AH34</f>
        <v>16695806126770.996</v>
      </c>
      <c r="Z4" s="175">
        <f>Commercial_Final!AI34</f>
        <v>16834486216920.959</v>
      </c>
      <c r="AA4" s="175">
        <f>Commercial_Final!AJ34</f>
        <v>16973501097358.037</v>
      </c>
      <c r="AB4" s="175">
        <f>Commercial_Final!AK34</f>
        <v>17112850768082.244</v>
      </c>
      <c r="AC4" s="175">
        <f>Commercial_Final!AL34</f>
        <v>17252535229093.566</v>
      </c>
      <c r="AD4" s="175">
        <f>Commercial_Final!AM34</f>
        <v>17392554480392.008</v>
      </c>
      <c r="AE4" s="175">
        <f>Commercial_Final!AN34</f>
        <v>17532908521977.566</v>
      </c>
      <c r="AF4" s="175">
        <f>Commercial_Final!AO34</f>
        <v>17673597353850.25</v>
      </c>
      <c r="AG4" s="175">
        <f>Commercial_Final!AP34</f>
        <v>17814620976010.051</v>
      </c>
      <c r="AH4" s="175">
        <f>Commercial_Final!AQ34</f>
        <v>17955979388456.98</v>
      </c>
      <c r="AI4" s="175">
        <f>Commercial_Final!AR34</f>
        <v>18097672591191.023</v>
      </c>
      <c r="AJ4" s="175">
        <f>Commercial_Final!AS34</f>
        <v>18239700584212.184</v>
      </c>
      <c r="AK4" s="175">
        <f>Commercial_Final!AT34</f>
        <v>18382063367520.465</v>
      </c>
      <c r="AL4" s="175">
        <f>Commercial_Final!AU34</f>
        <v>18524760941115.871</v>
      </c>
    </row>
    <row r="5" spans="1:40">
      <c r="A5" s="18" t="s">
        <v>754</v>
      </c>
      <c r="B5" s="175">
        <f>Commercial_Final!K35</f>
        <v>2443428400000</v>
      </c>
      <c r="C5" s="175">
        <f>Commercial_Final!L35</f>
        <v>2457645400000</v>
      </c>
      <c r="D5" s="175">
        <f>Commercial_Final!M35</f>
        <v>2447219600000</v>
      </c>
      <c r="E5" s="175">
        <f>Commercial_Final!N35</f>
        <v>2176175321922.7163</v>
      </c>
      <c r="F5" s="175">
        <f>Commercial_Final!O35</f>
        <v>2135568427030.1653</v>
      </c>
      <c r="G5" s="175">
        <f>Commercial_Final!P35</f>
        <v>2094615431367.8447</v>
      </c>
      <c r="H5" s="175">
        <f>Commercial_Final!Q35</f>
        <v>2053316334935.7078</v>
      </c>
      <c r="I5" s="175">
        <f>Commercial_Final!R35</f>
        <v>2020040894911.8088</v>
      </c>
      <c r="J5" s="175">
        <f>Commercial_Final!S35</f>
        <v>1986012176741.8767</v>
      </c>
      <c r="K5" s="175">
        <f>Commercial_Final!T35</f>
        <v>1951230180425.9167</v>
      </c>
      <c r="L5" s="175">
        <f>Commercial_Final!U35</f>
        <v>1915694905963.9504</v>
      </c>
      <c r="M5" s="175">
        <f>Commercial_Final!V35</f>
        <v>1879406353355.9495</v>
      </c>
      <c r="N5" s="175">
        <f>Commercial_Final!W35</f>
        <v>1842364522601.9417</v>
      </c>
      <c r="O5" s="175">
        <f>Commercial_Final!X35</f>
        <v>1804569413701.9133</v>
      </c>
      <c r="P5" s="175">
        <f>Commercial_Final!Y35</f>
        <v>1766021026655.8503</v>
      </c>
      <c r="Q5" s="175">
        <f>Commercial_Final!Z35</f>
        <v>1726719361463.7739</v>
      </c>
      <c r="R5" s="175">
        <f>Commercial_Final!AA35</f>
        <v>1686664418125.6775</v>
      </c>
      <c r="S5" s="175">
        <f>Commercial_Final!AB35</f>
        <v>1645856196641.5598</v>
      </c>
      <c r="T5" s="175">
        <f>Commercial_Final!AC35</f>
        <v>1604294697011.436</v>
      </c>
      <c r="U5" s="175">
        <f>Commercial_Final!AD35</f>
        <v>1561979919235.2629</v>
      </c>
      <c r="V5" s="175">
        <f>Commercial_Final!AE35</f>
        <v>1518911863313.0911</v>
      </c>
      <c r="W5" s="175">
        <f>Commercial_Final!AF35</f>
        <v>1475090529244.8838</v>
      </c>
      <c r="X5" s="175">
        <f>Commercial_Final!AG35</f>
        <v>1430515917030.6677</v>
      </c>
      <c r="Y5" s="175">
        <f>Commercial_Final!AH35</f>
        <v>1385188026670.4343</v>
      </c>
      <c r="Z5" s="175">
        <f>Commercial_Final!AI35</f>
        <v>1339106858164.1658</v>
      </c>
      <c r="AA5" s="175">
        <f>Commercial_Final!AJ35</f>
        <v>1292272411511.8911</v>
      </c>
      <c r="AB5" s="175">
        <f>Commercial_Final!AK35</f>
        <v>1244684686713.5732</v>
      </c>
      <c r="AC5" s="175">
        <f>Commercial_Final!AL35</f>
        <v>1196343683769.2654</v>
      </c>
      <c r="AD5" s="175">
        <f>Commercial_Final!AM35</f>
        <v>1147249402678.9063</v>
      </c>
      <c r="AE5" s="175">
        <f>Commercial_Final!AN35</f>
        <v>1097401843442.5574</v>
      </c>
      <c r="AF5" s="175">
        <f>Commercial_Final!AO35</f>
        <v>1046801006060.1729</v>
      </c>
      <c r="AG5" s="175">
        <f>Commercial_Final!AP35</f>
        <v>995446890531.76733</v>
      </c>
      <c r="AH5" s="175">
        <f>Commercial_Final!AQ35</f>
        <v>943339496857.34119</v>
      </c>
      <c r="AI5" s="175">
        <f>Commercial_Final!AR35</f>
        <v>890478825036.88672</v>
      </c>
      <c r="AJ5" s="175">
        <f>Commercial_Final!AS35</f>
        <v>836864875070.42737</v>
      </c>
      <c r="AK5" s="175">
        <f>Commercial_Final!AT35</f>
        <v>782497646957.94775</v>
      </c>
      <c r="AL5" s="175">
        <f>Commercial_Final!AU35</f>
        <v>727377140699.4314</v>
      </c>
    </row>
    <row r="6" spans="1:40">
      <c r="A6" s="18" t="s">
        <v>755</v>
      </c>
      <c r="B6" s="175">
        <f>Commercial_Final!K36</f>
        <v>0</v>
      </c>
      <c r="C6" s="175">
        <f>Commercial_Final!L36</f>
        <v>0</v>
      </c>
      <c r="D6" s="175">
        <f>Commercial_Final!M36</f>
        <v>0</v>
      </c>
      <c r="E6" s="175">
        <f>Commercial_Final!N36</f>
        <v>0</v>
      </c>
      <c r="F6" s="175">
        <f>Commercial_Final!O36</f>
        <v>0</v>
      </c>
      <c r="G6" s="175">
        <f>Commercial_Final!P36</f>
        <v>0</v>
      </c>
      <c r="H6" s="175">
        <f>Commercial_Final!Q36</f>
        <v>0</v>
      </c>
      <c r="I6" s="175">
        <f>Commercial_Final!R36</f>
        <v>0</v>
      </c>
      <c r="J6" s="175">
        <f>Commercial_Final!S36</f>
        <v>0</v>
      </c>
      <c r="K6" s="175">
        <f>Commercial_Final!T36</f>
        <v>0</v>
      </c>
      <c r="L6" s="175">
        <f>Commercial_Final!U36</f>
        <v>0</v>
      </c>
      <c r="M6" s="175">
        <f>Commercial_Final!V36</f>
        <v>0</v>
      </c>
      <c r="N6" s="175">
        <f>Commercial_Final!W36</f>
        <v>0</v>
      </c>
      <c r="O6" s="175">
        <f>Commercial_Final!X36</f>
        <v>0</v>
      </c>
      <c r="P6" s="175">
        <f>Commercial_Final!Y36</f>
        <v>0</v>
      </c>
      <c r="Q6" s="175">
        <f>Commercial_Final!Z36</f>
        <v>0</v>
      </c>
      <c r="R6" s="175">
        <f>Commercial_Final!AA36</f>
        <v>0</v>
      </c>
      <c r="S6" s="175">
        <f>Commercial_Final!AB36</f>
        <v>0</v>
      </c>
      <c r="T6" s="175">
        <f>Commercial_Final!AC36</f>
        <v>0</v>
      </c>
      <c r="U6" s="175">
        <f>Commercial_Final!AD36</f>
        <v>0</v>
      </c>
      <c r="V6" s="175">
        <f>Commercial_Final!AE36</f>
        <v>0</v>
      </c>
      <c r="W6" s="175">
        <f>Commercial_Final!AF36</f>
        <v>0</v>
      </c>
      <c r="X6" s="175">
        <f>Commercial_Final!AG36</f>
        <v>0</v>
      </c>
      <c r="Y6" s="175">
        <f>Commercial_Final!AH36</f>
        <v>0</v>
      </c>
      <c r="Z6" s="175">
        <f>Commercial_Final!AI36</f>
        <v>0</v>
      </c>
      <c r="AA6" s="175">
        <f>Commercial_Final!AJ36</f>
        <v>0</v>
      </c>
      <c r="AB6" s="175">
        <f>Commercial_Final!AK36</f>
        <v>0</v>
      </c>
      <c r="AC6" s="175">
        <f>Commercial_Final!AL36</f>
        <v>0</v>
      </c>
      <c r="AD6" s="175">
        <f>Commercial_Final!AM36</f>
        <v>0</v>
      </c>
      <c r="AE6" s="175">
        <f>Commercial_Final!AN36</f>
        <v>0</v>
      </c>
      <c r="AF6" s="175">
        <f>Commercial_Final!AO36</f>
        <v>0</v>
      </c>
      <c r="AG6" s="175">
        <f>Commercial_Final!AP36</f>
        <v>0</v>
      </c>
      <c r="AH6" s="175">
        <f>Commercial_Final!AQ36</f>
        <v>0</v>
      </c>
      <c r="AI6" s="175">
        <f>Commercial_Final!AR36</f>
        <v>0</v>
      </c>
      <c r="AJ6" s="175">
        <f>Commercial_Final!AS36</f>
        <v>0</v>
      </c>
      <c r="AK6" s="175">
        <f>Commercial_Final!AT36</f>
        <v>0</v>
      </c>
      <c r="AL6" s="175">
        <f>Commercial_Final!AU36</f>
        <v>0</v>
      </c>
    </row>
    <row r="7" spans="1:40">
      <c r="A7" s="18" t="s">
        <v>756</v>
      </c>
      <c r="B7" s="175">
        <f>Commercial_Final!K37</f>
        <v>0</v>
      </c>
      <c r="C7" s="175">
        <f>Commercial_Final!L37</f>
        <v>0</v>
      </c>
      <c r="D7" s="175">
        <f>Commercial_Final!M37</f>
        <v>0</v>
      </c>
      <c r="E7" s="175">
        <f>Commercial_Final!N37</f>
        <v>0</v>
      </c>
      <c r="F7" s="175">
        <f>Commercial_Final!O37</f>
        <v>0</v>
      </c>
      <c r="G7" s="175">
        <f>Commercial_Final!P37</f>
        <v>0</v>
      </c>
      <c r="H7" s="175">
        <f>Commercial_Final!Q37</f>
        <v>0</v>
      </c>
      <c r="I7" s="175">
        <f>Commercial_Final!R37</f>
        <v>0</v>
      </c>
      <c r="J7" s="175">
        <f>Commercial_Final!S37</f>
        <v>0</v>
      </c>
      <c r="K7" s="175">
        <f>Commercial_Final!T37</f>
        <v>0</v>
      </c>
      <c r="L7" s="175">
        <f>Commercial_Final!U37</f>
        <v>0</v>
      </c>
      <c r="M7" s="175">
        <f>Commercial_Final!V37</f>
        <v>0</v>
      </c>
      <c r="N7" s="175">
        <f>Commercial_Final!W37</f>
        <v>0</v>
      </c>
      <c r="O7" s="175">
        <f>Commercial_Final!X37</f>
        <v>0</v>
      </c>
      <c r="P7" s="175">
        <f>Commercial_Final!Y37</f>
        <v>0</v>
      </c>
      <c r="Q7" s="175">
        <f>Commercial_Final!Z37</f>
        <v>0</v>
      </c>
      <c r="R7" s="175">
        <f>Commercial_Final!AA37</f>
        <v>0</v>
      </c>
      <c r="S7" s="175">
        <f>Commercial_Final!AB37</f>
        <v>0</v>
      </c>
      <c r="T7" s="175">
        <f>Commercial_Final!AC37</f>
        <v>0</v>
      </c>
      <c r="U7" s="175">
        <f>Commercial_Final!AD37</f>
        <v>0</v>
      </c>
      <c r="V7" s="175">
        <f>Commercial_Final!AE37</f>
        <v>0</v>
      </c>
      <c r="W7" s="175">
        <f>Commercial_Final!AF37</f>
        <v>0</v>
      </c>
      <c r="X7" s="175">
        <f>Commercial_Final!AG37</f>
        <v>0</v>
      </c>
      <c r="Y7" s="175">
        <f>Commercial_Final!AH37</f>
        <v>0</v>
      </c>
      <c r="Z7" s="175">
        <f>Commercial_Final!AI37</f>
        <v>0</v>
      </c>
      <c r="AA7" s="175">
        <f>Commercial_Final!AJ37</f>
        <v>0</v>
      </c>
      <c r="AB7" s="175">
        <f>Commercial_Final!AK37</f>
        <v>0</v>
      </c>
      <c r="AC7" s="175">
        <f>Commercial_Final!AL37</f>
        <v>0</v>
      </c>
      <c r="AD7" s="175">
        <f>Commercial_Final!AM37</f>
        <v>0</v>
      </c>
      <c r="AE7" s="175">
        <f>Commercial_Final!AN37</f>
        <v>0</v>
      </c>
      <c r="AF7" s="175">
        <f>Commercial_Final!AO37</f>
        <v>0</v>
      </c>
      <c r="AG7" s="175">
        <f>Commercial_Final!AP37</f>
        <v>0</v>
      </c>
      <c r="AH7" s="175">
        <f>Commercial_Final!AQ37</f>
        <v>0</v>
      </c>
      <c r="AI7" s="175">
        <f>Commercial_Final!AR37</f>
        <v>0</v>
      </c>
      <c r="AJ7" s="175">
        <f>Commercial_Final!AS37</f>
        <v>0</v>
      </c>
      <c r="AK7" s="175">
        <f>Commercial_Final!AT37</f>
        <v>0</v>
      </c>
      <c r="AL7" s="175">
        <f>Commercial_Final!AU37</f>
        <v>0</v>
      </c>
    </row>
  </sheetData>
  <phoneticPr fontId="3" type="noConversion"/>
  <pageMargins left="0.7" right="0.7" top="0.75" bottom="0.75" header="0.3" footer="0.3"/>
  <pageSetup orientation="portrait" horizontalDpi="1200" verticalDpi="1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4" tint="-0.499984740745262"/>
  </sheetPr>
  <dimension ref="A1:AN7"/>
  <sheetViews>
    <sheetView workbookViewId="0">
      <pane xSplit="1" ySplit="1" topLeftCell="B2" activePane="bottomRight" state="frozen"/>
      <selection activeCell="Z21" sqref="Z21"/>
      <selection pane="topRight" activeCell="Z21" sqref="Z21"/>
      <selection pane="bottomLeft" activeCell="Z21" sqref="Z21"/>
      <selection pane="bottomRight" activeCell="K12" sqref="K12"/>
    </sheetView>
  </sheetViews>
  <sheetFormatPr defaultColWidth="8.7109375" defaultRowHeight="15"/>
  <cols>
    <col min="1" max="1" width="23.7109375" style="103" customWidth="1"/>
    <col min="2" max="2" width="10.7109375" style="103" bestFit="1" customWidth="1"/>
    <col min="3" max="16384" width="8.7109375" style="103"/>
  </cols>
  <sheetData>
    <row r="1" spans="1:40">
      <c r="A1" s="18" t="s">
        <v>0</v>
      </c>
      <c r="B1" s="18">
        <v>2014</v>
      </c>
      <c r="C1" s="18">
        <v>2015</v>
      </c>
      <c r="D1" s="18">
        <v>2016</v>
      </c>
      <c r="E1" s="18">
        <v>2017</v>
      </c>
      <c r="F1" s="18">
        <v>2018</v>
      </c>
      <c r="G1" s="18">
        <v>2019</v>
      </c>
      <c r="H1" s="18">
        <v>2020</v>
      </c>
      <c r="I1" s="18">
        <v>2021</v>
      </c>
      <c r="J1" s="18">
        <v>2022</v>
      </c>
      <c r="K1" s="18">
        <v>2023</v>
      </c>
      <c r="L1" s="18">
        <v>2024</v>
      </c>
      <c r="M1" s="18">
        <v>2025</v>
      </c>
      <c r="N1" s="18">
        <v>2026</v>
      </c>
      <c r="O1" s="18">
        <v>2027</v>
      </c>
      <c r="P1" s="18">
        <v>2028</v>
      </c>
      <c r="Q1" s="18">
        <v>2029</v>
      </c>
      <c r="R1" s="18">
        <v>2030</v>
      </c>
      <c r="S1" s="18">
        <v>2031</v>
      </c>
      <c r="T1" s="18">
        <v>2032</v>
      </c>
      <c r="U1" s="18">
        <v>2033</v>
      </c>
      <c r="V1" s="18">
        <v>2034</v>
      </c>
      <c r="W1" s="18">
        <v>2035</v>
      </c>
      <c r="X1" s="18">
        <v>2036</v>
      </c>
      <c r="Y1" s="18">
        <v>2037</v>
      </c>
      <c r="Z1" s="18">
        <v>2038</v>
      </c>
      <c r="AA1" s="18">
        <v>2039</v>
      </c>
      <c r="AB1" s="18">
        <v>2040</v>
      </c>
      <c r="AC1" s="18">
        <v>2041</v>
      </c>
      <c r="AD1" s="18">
        <v>2042</v>
      </c>
      <c r="AE1" s="18">
        <v>2043</v>
      </c>
      <c r="AF1" s="18">
        <v>2044</v>
      </c>
      <c r="AG1" s="18">
        <v>2045</v>
      </c>
      <c r="AH1" s="18">
        <v>2046</v>
      </c>
      <c r="AI1" s="18">
        <v>2047</v>
      </c>
      <c r="AJ1" s="18">
        <v>2048</v>
      </c>
      <c r="AK1" s="18">
        <v>2049</v>
      </c>
      <c r="AL1" s="18">
        <v>2050</v>
      </c>
      <c r="AM1" s="18"/>
      <c r="AN1" s="18"/>
    </row>
    <row r="2" spans="1:40">
      <c r="A2" s="18" t="s">
        <v>751</v>
      </c>
      <c r="B2" s="175">
        <f>Commercial_Final!K41</f>
        <v>31126358592000</v>
      </c>
      <c r="C2" s="175">
        <f>Commercial_Final!L41</f>
        <v>34398078889999.996</v>
      </c>
      <c r="D2" s="175">
        <f>Commercial_Final!M41</f>
        <v>34460444130000</v>
      </c>
      <c r="E2" s="175">
        <f>Commercial_Final!N41</f>
        <v>31806892744618.516</v>
      </c>
      <c r="F2" s="175">
        <f>Commercial_Final!O41</f>
        <v>31945091279658.203</v>
      </c>
      <c r="G2" s="175">
        <f>Commercial_Final!P41</f>
        <v>32083462095969.922</v>
      </c>
      <c r="H2" s="175">
        <f>Commercial_Final!Q41</f>
        <v>32222005193553.766</v>
      </c>
      <c r="I2" s="175">
        <f>Commercial_Final!R41</f>
        <v>32495360558148.832</v>
      </c>
      <c r="J2" s="175">
        <f>Commercial_Final!S41</f>
        <v>32769090887865.48</v>
      </c>
      <c r="K2" s="175">
        <f>Commercial_Final!T41</f>
        <v>33043196182703.699</v>
      </c>
      <c r="L2" s="175">
        <f>Commercial_Final!U41</f>
        <v>33317676442663.5</v>
      </c>
      <c r="M2" s="175">
        <f>Commercial_Final!V41</f>
        <v>33592531667744.879</v>
      </c>
      <c r="N2" s="175">
        <f>Commercial_Final!W41</f>
        <v>33867761857947.82</v>
      </c>
      <c r="O2" s="175">
        <f>Commercial_Final!X41</f>
        <v>34143367013272.34</v>
      </c>
      <c r="P2" s="175">
        <f>Commercial_Final!Y41</f>
        <v>34419347133718.434</v>
      </c>
      <c r="Q2" s="175">
        <f>Commercial_Final!Z41</f>
        <v>34695702219286.098</v>
      </c>
      <c r="R2" s="175">
        <f>Commercial_Final!AA41</f>
        <v>34972432269975.355</v>
      </c>
      <c r="S2" s="175">
        <f>Commercial_Final!AB41</f>
        <v>35249537285786.172</v>
      </c>
      <c r="T2" s="175">
        <f>Commercial_Final!AC41</f>
        <v>35527017266718.555</v>
      </c>
      <c r="U2" s="175">
        <f>Commercial_Final!AD41</f>
        <v>35804872212772.539</v>
      </c>
      <c r="V2" s="175">
        <f>Commercial_Final!AE41</f>
        <v>36083102123948.078</v>
      </c>
      <c r="W2" s="175">
        <f>Commercial_Final!AF41</f>
        <v>36361707000245.195</v>
      </c>
      <c r="X2" s="175">
        <f>Commercial_Final!AG41</f>
        <v>36640686841663.805</v>
      </c>
      <c r="Y2" s="175">
        <f>Commercial_Final!AH41</f>
        <v>36920041648204.078</v>
      </c>
      <c r="Z2" s="175">
        <f>Commercial_Final!AI41</f>
        <v>37199771419865.93</v>
      </c>
      <c r="AA2" s="175">
        <f>Commercial_Final!AJ41</f>
        <v>37479876156649.344</v>
      </c>
      <c r="AB2" s="175">
        <f>Commercial_Final!AK41</f>
        <v>37760355858554.328</v>
      </c>
      <c r="AC2" s="175">
        <f>Commercial_Final!AL41</f>
        <v>38041210525580.906</v>
      </c>
      <c r="AD2" s="175">
        <f>Commercial_Final!AM41</f>
        <v>38322440157729.047</v>
      </c>
      <c r="AE2" s="175">
        <f>Commercial_Final!AN41</f>
        <v>38604044754998.758</v>
      </c>
      <c r="AF2" s="175">
        <f>Commercial_Final!AO41</f>
        <v>38886024317390.047</v>
      </c>
      <c r="AG2" s="175">
        <f>Commercial_Final!AP41</f>
        <v>39168378844902.914</v>
      </c>
      <c r="AH2" s="175">
        <f>Commercial_Final!AQ41</f>
        <v>39451108337537.344</v>
      </c>
      <c r="AI2" s="175">
        <f>Commercial_Final!AR41</f>
        <v>39734212795293.383</v>
      </c>
      <c r="AJ2" s="175">
        <f>Commercial_Final!AS41</f>
        <v>40017692218170.969</v>
      </c>
      <c r="AK2" s="175">
        <f>Commercial_Final!AT41</f>
        <v>40301546606170.125</v>
      </c>
      <c r="AL2" s="175">
        <f>Commercial_Final!AU41</f>
        <v>40585775959290.867</v>
      </c>
    </row>
    <row r="3" spans="1:40">
      <c r="A3" s="18" t="s">
        <v>752</v>
      </c>
      <c r="B3" s="175">
        <f>Commercial_Final!K42</f>
        <v>0</v>
      </c>
      <c r="C3" s="175">
        <f>Commercial_Final!L42</f>
        <v>0</v>
      </c>
      <c r="D3" s="175">
        <f>Commercial_Final!M42</f>
        <v>0</v>
      </c>
      <c r="E3" s="175">
        <f>Commercial_Final!N42</f>
        <v>0</v>
      </c>
      <c r="F3" s="175">
        <f>Commercial_Final!O42</f>
        <v>0</v>
      </c>
      <c r="G3" s="175">
        <f>Commercial_Final!P42</f>
        <v>0</v>
      </c>
      <c r="H3" s="175">
        <f>Commercial_Final!Q42</f>
        <v>0</v>
      </c>
      <c r="I3" s="175">
        <f>Commercial_Final!R42</f>
        <v>0</v>
      </c>
      <c r="J3" s="175">
        <f>Commercial_Final!S42</f>
        <v>0</v>
      </c>
      <c r="K3" s="175">
        <f>Commercial_Final!T42</f>
        <v>0</v>
      </c>
      <c r="L3" s="175">
        <f>Commercial_Final!U42</f>
        <v>0</v>
      </c>
      <c r="M3" s="175">
        <f>Commercial_Final!V42</f>
        <v>0</v>
      </c>
      <c r="N3" s="175">
        <f>Commercial_Final!W42</f>
        <v>0</v>
      </c>
      <c r="O3" s="175">
        <f>Commercial_Final!X42</f>
        <v>0</v>
      </c>
      <c r="P3" s="175">
        <f>Commercial_Final!Y42</f>
        <v>0</v>
      </c>
      <c r="Q3" s="175">
        <f>Commercial_Final!Z42</f>
        <v>0</v>
      </c>
      <c r="R3" s="175">
        <f>Commercial_Final!AA42</f>
        <v>0</v>
      </c>
      <c r="S3" s="175">
        <f>Commercial_Final!AB42</f>
        <v>0</v>
      </c>
      <c r="T3" s="175">
        <f>Commercial_Final!AC42</f>
        <v>0</v>
      </c>
      <c r="U3" s="175">
        <f>Commercial_Final!AD42</f>
        <v>0</v>
      </c>
      <c r="V3" s="175">
        <f>Commercial_Final!AE42</f>
        <v>0</v>
      </c>
      <c r="W3" s="175">
        <f>Commercial_Final!AF42</f>
        <v>0</v>
      </c>
      <c r="X3" s="175">
        <f>Commercial_Final!AG42</f>
        <v>0</v>
      </c>
      <c r="Y3" s="175">
        <f>Commercial_Final!AH42</f>
        <v>0</v>
      </c>
      <c r="Z3" s="175">
        <f>Commercial_Final!AI42</f>
        <v>0</v>
      </c>
      <c r="AA3" s="175">
        <f>Commercial_Final!AJ42</f>
        <v>0</v>
      </c>
      <c r="AB3" s="175">
        <f>Commercial_Final!AK42</f>
        <v>0</v>
      </c>
      <c r="AC3" s="175">
        <f>Commercial_Final!AL42</f>
        <v>0</v>
      </c>
      <c r="AD3" s="175">
        <f>Commercial_Final!AM42</f>
        <v>0</v>
      </c>
      <c r="AE3" s="175">
        <f>Commercial_Final!AN42</f>
        <v>0</v>
      </c>
      <c r="AF3" s="175">
        <f>Commercial_Final!AO42</f>
        <v>0</v>
      </c>
      <c r="AG3" s="175">
        <f>Commercial_Final!AP42</f>
        <v>0</v>
      </c>
      <c r="AH3" s="175">
        <f>Commercial_Final!AQ42</f>
        <v>0</v>
      </c>
      <c r="AI3" s="175">
        <f>Commercial_Final!AR42</f>
        <v>0</v>
      </c>
      <c r="AJ3" s="175">
        <f>Commercial_Final!AS42</f>
        <v>0</v>
      </c>
      <c r="AK3" s="175">
        <f>Commercial_Final!AT42</f>
        <v>0</v>
      </c>
      <c r="AL3" s="175">
        <f>Commercial_Final!AU42</f>
        <v>0</v>
      </c>
    </row>
    <row r="4" spans="1:40">
      <c r="A4" s="18" t="s">
        <v>753</v>
      </c>
      <c r="B4" s="175">
        <f>Commercial_Final!K43</f>
        <v>0</v>
      </c>
      <c r="C4" s="175">
        <f>Commercial_Final!L43</f>
        <v>0</v>
      </c>
      <c r="D4" s="175">
        <f>Commercial_Final!M43</f>
        <v>0</v>
      </c>
      <c r="E4" s="175">
        <f>Commercial_Final!N43</f>
        <v>0</v>
      </c>
      <c r="F4" s="175">
        <f>Commercial_Final!O43</f>
        <v>0</v>
      </c>
      <c r="G4" s="175">
        <f>Commercial_Final!P43</f>
        <v>0</v>
      </c>
      <c r="H4" s="175">
        <f>Commercial_Final!Q43</f>
        <v>0</v>
      </c>
      <c r="I4" s="175">
        <f>Commercial_Final!R43</f>
        <v>0</v>
      </c>
      <c r="J4" s="175">
        <f>Commercial_Final!S43</f>
        <v>0</v>
      </c>
      <c r="K4" s="175">
        <f>Commercial_Final!T43</f>
        <v>0</v>
      </c>
      <c r="L4" s="175">
        <f>Commercial_Final!U43</f>
        <v>0</v>
      </c>
      <c r="M4" s="175">
        <f>Commercial_Final!V43</f>
        <v>0</v>
      </c>
      <c r="N4" s="175">
        <f>Commercial_Final!W43</f>
        <v>0</v>
      </c>
      <c r="O4" s="175">
        <f>Commercial_Final!X43</f>
        <v>0</v>
      </c>
      <c r="P4" s="175">
        <f>Commercial_Final!Y43</f>
        <v>0</v>
      </c>
      <c r="Q4" s="175">
        <f>Commercial_Final!Z43</f>
        <v>0</v>
      </c>
      <c r="R4" s="175">
        <f>Commercial_Final!AA43</f>
        <v>0</v>
      </c>
      <c r="S4" s="175">
        <f>Commercial_Final!AB43</f>
        <v>0</v>
      </c>
      <c r="T4" s="175">
        <f>Commercial_Final!AC43</f>
        <v>0</v>
      </c>
      <c r="U4" s="175">
        <f>Commercial_Final!AD43</f>
        <v>0</v>
      </c>
      <c r="V4" s="175">
        <f>Commercial_Final!AE43</f>
        <v>0</v>
      </c>
      <c r="W4" s="175">
        <f>Commercial_Final!AF43</f>
        <v>0</v>
      </c>
      <c r="X4" s="175">
        <f>Commercial_Final!AG43</f>
        <v>0</v>
      </c>
      <c r="Y4" s="175">
        <f>Commercial_Final!AH43</f>
        <v>0</v>
      </c>
      <c r="Z4" s="175">
        <f>Commercial_Final!AI43</f>
        <v>0</v>
      </c>
      <c r="AA4" s="175">
        <f>Commercial_Final!AJ43</f>
        <v>0</v>
      </c>
      <c r="AB4" s="175">
        <f>Commercial_Final!AK43</f>
        <v>0</v>
      </c>
      <c r="AC4" s="175">
        <f>Commercial_Final!AL43</f>
        <v>0</v>
      </c>
      <c r="AD4" s="175">
        <f>Commercial_Final!AM43</f>
        <v>0</v>
      </c>
      <c r="AE4" s="175">
        <f>Commercial_Final!AN43</f>
        <v>0</v>
      </c>
      <c r="AF4" s="175">
        <f>Commercial_Final!AO43</f>
        <v>0</v>
      </c>
      <c r="AG4" s="175">
        <f>Commercial_Final!AP43</f>
        <v>0</v>
      </c>
      <c r="AH4" s="175">
        <f>Commercial_Final!AQ43</f>
        <v>0</v>
      </c>
      <c r="AI4" s="175">
        <f>Commercial_Final!AR43</f>
        <v>0</v>
      </c>
      <c r="AJ4" s="175">
        <f>Commercial_Final!AS43</f>
        <v>0</v>
      </c>
      <c r="AK4" s="175">
        <f>Commercial_Final!AT43</f>
        <v>0</v>
      </c>
      <c r="AL4" s="175">
        <f>Commercial_Final!AU43</f>
        <v>0</v>
      </c>
    </row>
    <row r="5" spans="1:40">
      <c r="A5" s="18" t="s">
        <v>754</v>
      </c>
      <c r="B5" s="175">
        <f>Commercial_Final!K44</f>
        <v>0</v>
      </c>
      <c r="C5" s="175">
        <f>Commercial_Final!L44</f>
        <v>0</v>
      </c>
      <c r="D5" s="175">
        <f>Commercial_Final!M44</f>
        <v>0</v>
      </c>
      <c r="E5" s="175">
        <f>Commercial_Final!N44</f>
        <v>0</v>
      </c>
      <c r="F5" s="175">
        <f>Commercial_Final!O44</f>
        <v>0</v>
      </c>
      <c r="G5" s="175">
        <f>Commercial_Final!P44</f>
        <v>0</v>
      </c>
      <c r="H5" s="175">
        <f>Commercial_Final!Q44</f>
        <v>0</v>
      </c>
      <c r="I5" s="175">
        <f>Commercial_Final!R44</f>
        <v>0</v>
      </c>
      <c r="J5" s="175">
        <f>Commercial_Final!S44</f>
        <v>0</v>
      </c>
      <c r="K5" s="175">
        <f>Commercial_Final!T44</f>
        <v>0</v>
      </c>
      <c r="L5" s="175">
        <f>Commercial_Final!U44</f>
        <v>0</v>
      </c>
      <c r="M5" s="175">
        <f>Commercial_Final!V44</f>
        <v>0</v>
      </c>
      <c r="N5" s="175">
        <f>Commercial_Final!W44</f>
        <v>0</v>
      </c>
      <c r="O5" s="175">
        <f>Commercial_Final!X44</f>
        <v>0</v>
      </c>
      <c r="P5" s="175">
        <f>Commercial_Final!Y44</f>
        <v>0</v>
      </c>
      <c r="Q5" s="175">
        <f>Commercial_Final!Z44</f>
        <v>0</v>
      </c>
      <c r="R5" s="175">
        <f>Commercial_Final!AA44</f>
        <v>0</v>
      </c>
      <c r="S5" s="175">
        <f>Commercial_Final!AB44</f>
        <v>0</v>
      </c>
      <c r="T5" s="175">
        <f>Commercial_Final!AC44</f>
        <v>0</v>
      </c>
      <c r="U5" s="175">
        <f>Commercial_Final!AD44</f>
        <v>0</v>
      </c>
      <c r="V5" s="175">
        <f>Commercial_Final!AE44</f>
        <v>0</v>
      </c>
      <c r="W5" s="175">
        <f>Commercial_Final!AF44</f>
        <v>0</v>
      </c>
      <c r="X5" s="175">
        <f>Commercial_Final!AG44</f>
        <v>0</v>
      </c>
      <c r="Y5" s="175">
        <f>Commercial_Final!AH44</f>
        <v>0</v>
      </c>
      <c r="Z5" s="175">
        <f>Commercial_Final!AI44</f>
        <v>0</v>
      </c>
      <c r="AA5" s="175">
        <f>Commercial_Final!AJ44</f>
        <v>0</v>
      </c>
      <c r="AB5" s="175">
        <f>Commercial_Final!AK44</f>
        <v>0</v>
      </c>
      <c r="AC5" s="175">
        <f>Commercial_Final!AL44</f>
        <v>0</v>
      </c>
      <c r="AD5" s="175">
        <f>Commercial_Final!AM44</f>
        <v>0</v>
      </c>
      <c r="AE5" s="175">
        <f>Commercial_Final!AN44</f>
        <v>0</v>
      </c>
      <c r="AF5" s="175">
        <f>Commercial_Final!AO44</f>
        <v>0</v>
      </c>
      <c r="AG5" s="175">
        <f>Commercial_Final!AP44</f>
        <v>0</v>
      </c>
      <c r="AH5" s="175">
        <f>Commercial_Final!AQ44</f>
        <v>0</v>
      </c>
      <c r="AI5" s="175">
        <f>Commercial_Final!AR44</f>
        <v>0</v>
      </c>
      <c r="AJ5" s="175">
        <f>Commercial_Final!AS44</f>
        <v>0</v>
      </c>
      <c r="AK5" s="175">
        <f>Commercial_Final!AT44</f>
        <v>0</v>
      </c>
      <c r="AL5" s="175">
        <f>Commercial_Final!AU44</f>
        <v>0</v>
      </c>
    </row>
    <row r="6" spans="1:40">
      <c r="A6" s="18" t="s">
        <v>755</v>
      </c>
      <c r="B6" s="175">
        <f>Commercial_Final!K45</f>
        <v>0</v>
      </c>
      <c r="C6" s="175">
        <f>Commercial_Final!L45</f>
        <v>0</v>
      </c>
      <c r="D6" s="175">
        <f>Commercial_Final!M45</f>
        <v>0</v>
      </c>
      <c r="E6" s="175">
        <f>Commercial_Final!N45</f>
        <v>0</v>
      </c>
      <c r="F6" s="175">
        <f>Commercial_Final!O45</f>
        <v>0</v>
      </c>
      <c r="G6" s="175">
        <f>Commercial_Final!P45</f>
        <v>0</v>
      </c>
      <c r="H6" s="175">
        <f>Commercial_Final!Q45</f>
        <v>0</v>
      </c>
      <c r="I6" s="175">
        <f>Commercial_Final!R45</f>
        <v>0</v>
      </c>
      <c r="J6" s="175">
        <f>Commercial_Final!S45</f>
        <v>0</v>
      </c>
      <c r="K6" s="175">
        <f>Commercial_Final!T45</f>
        <v>0</v>
      </c>
      <c r="L6" s="175">
        <f>Commercial_Final!U45</f>
        <v>0</v>
      </c>
      <c r="M6" s="175">
        <f>Commercial_Final!V45</f>
        <v>0</v>
      </c>
      <c r="N6" s="175">
        <f>Commercial_Final!W45</f>
        <v>0</v>
      </c>
      <c r="O6" s="175">
        <f>Commercial_Final!X45</f>
        <v>0</v>
      </c>
      <c r="P6" s="175">
        <f>Commercial_Final!Y45</f>
        <v>0</v>
      </c>
      <c r="Q6" s="175">
        <f>Commercial_Final!Z45</f>
        <v>0</v>
      </c>
      <c r="R6" s="175">
        <f>Commercial_Final!AA45</f>
        <v>0</v>
      </c>
      <c r="S6" s="175">
        <f>Commercial_Final!AB45</f>
        <v>0</v>
      </c>
      <c r="T6" s="175">
        <f>Commercial_Final!AC45</f>
        <v>0</v>
      </c>
      <c r="U6" s="175">
        <f>Commercial_Final!AD45</f>
        <v>0</v>
      </c>
      <c r="V6" s="175">
        <f>Commercial_Final!AE45</f>
        <v>0</v>
      </c>
      <c r="W6" s="175">
        <f>Commercial_Final!AF45</f>
        <v>0</v>
      </c>
      <c r="X6" s="175">
        <f>Commercial_Final!AG45</f>
        <v>0</v>
      </c>
      <c r="Y6" s="175">
        <f>Commercial_Final!AH45</f>
        <v>0</v>
      </c>
      <c r="Z6" s="175">
        <f>Commercial_Final!AI45</f>
        <v>0</v>
      </c>
      <c r="AA6" s="175">
        <f>Commercial_Final!AJ45</f>
        <v>0</v>
      </c>
      <c r="AB6" s="175">
        <f>Commercial_Final!AK45</f>
        <v>0</v>
      </c>
      <c r="AC6" s="175">
        <f>Commercial_Final!AL45</f>
        <v>0</v>
      </c>
      <c r="AD6" s="175">
        <f>Commercial_Final!AM45</f>
        <v>0</v>
      </c>
      <c r="AE6" s="175">
        <f>Commercial_Final!AN45</f>
        <v>0</v>
      </c>
      <c r="AF6" s="175">
        <f>Commercial_Final!AO45</f>
        <v>0</v>
      </c>
      <c r="AG6" s="175">
        <f>Commercial_Final!AP45</f>
        <v>0</v>
      </c>
      <c r="AH6" s="175">
        <f>Commercial_Final!AQ45</f>
        <v>0</v>
      </c>
      <c r="AI6" s="175">
        <f>Commercial_Final!AR45</f>
        <v>0</v>
      </c>
      <c r="AJ6" s="175">
        <f>Commercial_Final!AS45</f>
        <v>0</v>
      </c>
      <c r="AK6" s="175">
        <f>Commercial_Final!AT45</f>
        <v>0</v>
      </c>
      <c r="AL6" s="175">
        <f>Commercial_Final!AU45</f>
        <v>0</v>
      </c>
    </row>
    <row r="7" spans="1:40">
      <c r="A7" s="18" t="s">
        <v>756</v>
      </c>
      <c r="B7" s="175">
        <f>Commercial_Final!K46</f>
        <v>0</v>
      </c>
      <c r="C7" s="175">
        <f>Commercial_Final!L46</f>
        <v>0</v>
      </c>
      <c r="D7" s="175">
        <f>Commercial_Final!M46</f>
        <v>0</v>
      </c>
      <c r="E7" s="175">
        <f>Commercial_Final!N46</f>
        <v>0</v>
      </c>
      <c r="F7" s="175">
        <f>Commercial_Final!O46</f>
        <v>0</v>
      </c>
      <c r="G7" s="175">
        <f>Commercial_Final!P46</f>
        <v>0</v>
      </c>
      <c r="H7" s="175">
        <f>Commercial_Final!Q46</f>
        <v>0</v>
      </c>
      <c r="I7" s="175">
        <f>Commercial_Final!R46</f>
        <v>0</v>
      </c>
      <c r="J7" s="175">
        <f>Commercial_Final!S46</f>
        <v>0</v>
      </c>
      <c r="K7" s="175">
        <f>Commercial_Final!T46</f>
        <v>0</v>
      </c>
      <c r="L7" s="175">
        <f>Commercial_Final!U46</f>
        <v>0</v>
      </c>
      <c r="M7" s="175">
        <f>Commercial_Final!V46</f>
        <v>0</v>
      </c>
      <c r="N7" s="175">
        <f>Commercial_Final!W46</f>
        <v>0</v>
      </c>
      <c r="O7" s="175">
        <f>Commercial_Final!X46</f>
        <v>0</v>
      </c>
      <c r="P7" s="175">
        <f>Commercial_Final!Y46</f>
        <v>0</v>
      </c>
      <c r="Q7" s="175">
        <f>Commercial_Final!Z46</f>
        <v>0</v>
      </c>
      <c r="R7" s="175">
        <f>Commercial_Final!AA46</f>
        <v>0</v>
      </c>
      <c r="S7" s="175">
        <f>Commercial_Final!AB46</f>
        <v>0</v>
      </c>
      <c r="T7" s="175">
        <f>Commercial_Final!AC46</f>
        <v>0</v>
      </c>
      <c r="U7" s="175">
        <f>Commercial_Final!AD46</f>
        <v>0</v>
      </c>
      <c r="V7" s="175">
        <f>Commercial_Final!AE46</f>
        <v>0</v>
      </c>
      <c r="W7" s="175">
        <f>Commercial_Final!AF46</f>
        <v>0</v>
      </c>
      <c r="X7" s="175">
        <f>Commercial_Final!AG46</f>
        <v>0</v>
      </c>
      <c r="Y7" s="175">
        <f>Commercial_Final!AH46</f>
        <v>0</v>
      </c>
      <c r="Z7" s="175">
        <f>Commercial_Final!AI46</f>
        <v>0</v>
      </c>
      <c r="AA7" s="175">
        <f>Commercial_Final!AJ46</f>
        <v>0</v>
      </c>
      <c r="AB7" s="175">
        <f>Commercial_Final!AK46</f>
        <v>0</v>
      </c>
      <c r="AC7" s="175">
        <f>Commercial_Final!AL46</f>
        <v>0</v>
      </c>
      <c r="AD7" s="175">
        <f>Commercial_Final!AM46</f>
        <v>0</v>
      </c>
      <c r="AE7" s="175">
        <f>Commercial_Final!AN46</f>
        <v>0</v>
      </c>
      <c r="AF7" s="175">
        <f>Commercial_Final!AO46</f>
        <v>0</v>
      </c>
      <c r="AG7" s="175">
        <f>Commercial_Final!AP46</f>
        <v>0</v>
      </c>
      <c r="AH7" s="175">
        <f>Commercial_Final!AQ46</f>
        <v>0</v>
      </c>
      <c r="AI7" s="175">
        <f>Commercial_Final!AR46</f>
        <v>0</v>
      </c>
      <c r="AJ7" s="175">
        <f>Commercial_Final!AS46</f>
        <v>0</v>
      </c>
      <c r="AK7" s="175">
        <f>Commercial_Final!AT46</f>
        <v>0</v>
      </c>
      <c r="AL7" s="175">
        <f>Commercial_Final!AU46</f>
        <v>0</v>
      </c>
    </row>
  </sheetData>
  <phoneticPr fontId="3" type="noConversion"/>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4" ma:contentTypeDescription="Create a new document." ma:contentTypeScope="" ma:versionID="00c0eb7d4c43453177323eb1ac58d7e7">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5fe72540fcc493259a136614ad94e00"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74112B5-E4F7-4A43-9760-F60963D275BF}">
  <ds:schemaRefs>
    <ds:schemaRef ds:uri="c9df191c-55f2-496b-9838-9a5abe4742ad"/>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microsoft.com/sharepoint/v3"/>
    <ds:schemaRef ds:uri="http://schemas.openxmlformats.org/package/2006/metadata/core-properties"/>
    <ds:schemaRef ds:uri="http://purl.org/dc/terms/"/>
    <ds:schemaRef ds:uri="7889d872-e2a2-4afb-87bc-97561eced75f"/>
    <ds:schemaRef ds:uri="http://www.w3.org/XML/1998/namespace"/>
    <ds:schemaRef ds:uri="http://purl.org/dc/dcmitype/"/>
  </ds:schemaRefs>
</ds:datastoreItem>
</file>

<file path=customXml/itemProps2.xml><?xml version="1.0" encoding="utf-8"?>
<ds:datastoreItem xmlns:ds="http://schemas.openxmlformats.org/officeDocument/2006/customXml" ds:itemID="{C2CFEDA5-4BDC-43DB-9741-907095DEC2E4}">
  <ds:schemaRefs>
    <ds:schemaRef ds:uri="http://schemas.microsoft.com/sharepoint/v3/contenttype/forms"/>
  </ds:schemaRefs>
</ds:datastoreItem>
</file>

<file path=customXml/itemProps3.xml><?xml version="1.0" encoding="utf-8"?>
<ds:datastoreItem xmlns:ds="http://schemas.openxmlformats.org/officeDocument/2006/customXml" ds:itemID="{C4C9817A-F160-48A6-8EF0-BA52325A92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889d872-e2a2-4afb-87bc-97561eced75f"/>
    <ds:schemaRef ds:uri="c9df191c-55f2-496b-9838-9a5abe4742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vt:i4>
      </vt:variant>
    </vt:vector>
  </HeadingPairs>
  <TitlesOfParts>
    <vt:vector size="46" baseType="lpstr">
      <vt:lpstr>About</vt:lpstr>
      <vt:lpstr>Note</vt:lpstr>
      <vt:lpstr>InternalLink</vt:lpstr>
      <vt:lpstr>Household_Histo</vt:lpstr>
      <vt:lpstr>Household_Pred</vt:lpstr>
      <vt:lpstr>Energy8Sec</vt:lpstr>
      <vt:lpstr>History Type Share</vt:lpstr>
      <vt:lpstr>Commercial8Fuel</vt:lpstr>
      <vt:lpstr>Residential8EndUse</vt:lpstr>
      <vt:lpstr>Private,Public8EndUse</vt:lpstr>
      <vt:lpstr>Commercial8EndUse</vt:lpstr>
      <vt:lpstr>FloorAreaPer</vt:lpstr>
      <vt:lpstr>DataSum</vt:lpstr>
      <vt:lpstr>Building</vt:lpstr>
      <vt:lpstr>Future Total Energy</vt:lpstr>
      <vt:lpstr>FittingHH</vt:lpstr>
      <vt:lpstr>Future Type Share</vt:lpstr>
      <vt:lpstr>BTU Conversion Factor</vt:lpstr>
      <vt:lpstr>Future EndUse Share</vt:lpstr>
      <vt:lpstr>Commercial_1</vt:lpstr>
      <vt:lpstr>Commercial_2</vt:lpstr>
      <vt:lpstr>Commercial_Final</vt:lpstr>
      <vt:lpstr>Private_1</vt:lpstr>
      <vt:lpstr>Private_2</vt:lpstr>
      <vt:lpstr>Public_1</vt:lpstr>
      <vt:lpstr>Public_2</vt:lpstr>
      <vt:lpstr>Private_Final</vt:lpstr>
      <vt:lpstr>Public_Final</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BCEU-commercial-heating</vt:lpstr>
      <vt:lpstr>BCEU-commercial-cooling</vt:lpstr>
      <vt:lpstr>BCEU-commercial-lighting</vt:lpstr>
      <vt:lpstr>BCEU-commercial-appl</vt:lpstr>
      <vt:lpstr>BCEU-commercial-other</vt:lpstr>
      <vt:lpstr>FloorAreaPer!footnote500011</vt:lpstr>
      <vt:lpstr>Building!Print_Area</vt:lpstr>
      <vt:lpstr>Household_Pred!Print_Area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2019-09-19T02:42:28Z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