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1.5.0-us-wipJ\InputData\elec\CCaMC\"/>
    </mc:Choice>
  </mc:AlternateContent>
  <bookViews>
    <workbookView xWindow="360" yWindow="60" windowWidth="14355" windowHeight="12150" firstSheet="2" activeTab="7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62913"/>
</workbook>
</file>

<file path=xl/calcChain.xml><?xml version="1.0" encoding="utf-8"?>
<calcChain xmlns="http://schemas.openxmlformats.org/spreadsheetml/2006/main">
  <c r="B53" i="15" l="1"/>
  <c r="C45" i="15" l="1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B52" i="15"/>
  <c r="B51" i="15"/>
  <c r="B50" i="15"/>
  <c r="B49" i="15"/>
  <c r="B48" i="15"/>
  <c r="B47" i="15"/>
  <c r="B46" i="15"/>
  <c r="B45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D17" i="8" l="1"/>
  <c r="B17" i="8"/>
  <c r="D17" i="7"/>
  <c r="B17" i="7"/>
  <c r="N2" i="6" l="1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2" i="7"/>
  <c r="B11" i="7" s="1"/>
  <c r="B10" i="7"/>
  <c r="B9" i="7"/>
  <c r="B8" i="7"/>
  <c r="B7" i="7"/>
  <c r="B6" i="7"/>
  <c r="B5" i="7"/>
  <c r="B4" i="7"/>
  <c r="B3" i="7"/>
  <c r="B2" i="7"/>
  <c r="B13" i="7" s="1"/>
  <c r="G2" i="6"/>
  <c r="F2" i="6"/>
  <c r="B16" i="7" l="1"/>
  <c r="B15" i="7"/>
  <c r="B33" i="6"/>
  <c r="M33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B34" i="6"/>
  <c r="M34" i="6" s="1"/>
  <c r="I34" i="6" l="1"/>
  <c r="Q34" i="6"/>
  <c r="I26" i="6"/>
  <c r="Q26" i="6"/>
  <c r="I18" i="6"/>
  <c r="Q18" i="6"/>
  <c r="I10" i="6"/>
  <c r="Q10" i="6"/>
  <c r="I2" i="6"/>
  <c r="Q2" i="6"/>
  <c r="I33" i="6"/>
  <c r="Q33" i="6"/>
  <c r="I25" i="6"/>
  <c r="Q25" i="6"/>
  <c r="I17" i="6"/>
  <c r="Q17" i="6"/>
  <c r="I9" i="6"/>
  <c r="Q9" i="6"/>
  <c r="I32" i="6"/>
  <c r="Q32" i="6"/>
  <c r="I24" i="6"/>
  <c r="Q24" i="6"/>
  <c r="I16" i="6"/>
  <c r="Q16" i="6"/>
  <c r="I8" i="6"/>
  <c r="Q8" i="6"/>
  <c r="I31" i="6"/>
  <c r="Q31" i="6"/>
  <c r="I23" i="6"/>
  <c r="Q23" i="6"/>
  <c r="I15" i="6"/>
  <c r="Q15" i="6"/>
  <c r="I7" i="6"/>
  <c r="Q7" i="6"/>
  <c r="I30" i="6"/>
  <c r="Q30" i="6"/>
  <c r="I22" i="6"/>
  <c r="Q22" i="6"/>
  <c r="I14" i="6"/>
  <c r="Q14" i="6"/>
  <c r="I6" i="6"/>
  <c r="Q6" i="6"/>
  <c r="I29" i="6"/>
  <c r="Q29" i="6"/>
  <c r="I21" i="6"/>
  <c r="Q21" i="6"/>
  <c r="I13" i="6"/>
  <c r="Q13" i="6"/>
  <c r="I5" i="6"/>
  <c r="Q5" i="6"/>
  <c r="I28" i="6"/>
  <c r="Q28" i="6"/>
  <c r="I20" i="6"/>
  <c r="Q20" i="6"/>
  <c r="I12" i="6"/>
  <c r="Q12" i="6"/>
  <c r="I4" i="6"/>
  <c r="Q4" i="6"/>
  <c r="I27" i="6"/>
  <c r="Q27" i="6"/>
  <c r="I19" i="6"/>
  <c r="Q19" i="6"/>
  <c r="I11" i="6"/>
  <c r="Q11" i="6"/>
  <c r="I3" i="6"/>
  <c r="Q3" i="6"/>
  <c r="K2" i="6"/>
  <c r="L2" i="6"/>
  <c r="K33" i="6"/>
  <c r="L33" i="6"/>
  <c r="K25" i="6"/>
  <c r="L25" i="6"/>
  <c r="K17" i="6"/>
  <c r="L17" i="6"/>
  <c r="K9" i="6"/>
  <c r="L9" i="6"/>
  <c r="K32" i="6"/>
  <c r="L32" i="6"/>
  <c r="K24" i="6"/>
  <c r="L24" i="6"/>
  <c r="K16" i="6"/>
  <c r="L16" i="6"/>
  <c r="K8" i="6"/>
  <c r="L8" i="6"/>
  <c r="K34" i="6"/>
  <c r="L34" i="6"/>
  <c r="K31" i="6"/>
  <c r="L31" i="6"/>
  <c r="K23" i="6"/>
  <c r="L23" i="6"/>
  <c r="K15" i="6"/>
  <c r="L15" i="6"/>
  <c r="K7" i="6"/>
  <c r="L7" i="6"/>
  <c r="K30" i="6"/>
  <c r="L30" i="6"/>
  <c r="K22" i="6"/>
  <c r="L22" i="6"/>
  <c r="K14" i="6"/>
  <c r="L14" i="6"/>
  <c r="K6" i="6"/>
  <c r="L6" i="6"/>
  <c r="K26" i="6"/>
  <c r="L26" i="6"/>
  <c r="K29" i="6"/>
  <c r="L29" i="6"/>
  <c r="K21" i="6"/>
  <c r="L21" i="6"/>
  <c r="K13" i="6"/>
  <c r="L13" i="6"/>
  <c r="K5" i="6"/>
  <c r="L5" i="6"/>
  <c r="K10" i="6"/>
  <c r="L10" i="6"/>
  <c r="K28" i="6"/>
  <c r="L28" i="6"/>
  <c r="K20" i="6"/>
  <c r="L20" i="6"/>
  <c r="K12" i="6"/>
  <c r="L12" i="6"/>
  <c r="K4" i="6"/>
  <c r="L4" i="6"/>
  <c r="K18" i="6"/>
  <c r="L18" i="6"/>
  <c r="K27" i="6"/>
  <c r="L27" i="6"/>
  <c r="K19" i="6"/>
  <c r="L19" i="6"/>
  <c r="K11" i="6"/>
  <c r="L11" i="6"/>
  <c r="K3" i="6"/>
  <c r="L3" i="6"/>
  <c r="B4" i="6"/>
  <c r="M4" i="6" s="1"/>
  <c r="B12" i="6"/>
  <c r="M12" i="6" s="1"/>
  <c r="B20" i="6"/>
  <c r="M20" i="6" s="1"/>
  <c r="B28" i="6"/>
  <c r="M28" i="6" s="1"/>
  <c r="B2" i="6"/>
  <c r="M2" i="6" s="1"/>
  <c r="B3" i="6"/>
  <c r="M3" i="6" s="1"/>
  <c r="B5" i="6"/>
  <c r="M5" i="6" s="1"/>
  <c r="B6" i="6"/>
  <c r="M6" i="6" s="1"/>
  <c r="B7" i="6"/>
  <c r="M7" i="6" s="1"/>
  <c r="B8" i="6"/>
  <c r="M8" i="6" s="1"/>
  <c r="B9" i="6"/>
  <c r="M9" i="6" s="1"/>
  <c r="B10" i="6"/>
  <c r="M10" i="6" s="1"/>
  <c r="B11" i="6"/>
  <c r="M11" i="6" s="1"/>
  <c r="B13" i="6"/>
  <c r="M13" i="6" s="1"/>
  <c r="B14" i="6"/>
  <c r="M14" i="6" s="1"/>
  <c r="B15" i="6"/>
  <c r="M15" i="6" s="1"/>
  <c r="B16" i="6"/>
  <c r="M16" i="6" s="1"/>
  <c r="B17" i="6"/>
  <c r="M17" i="6" s="1"/>
  <c r="B18" i="6"/>
  <c r="M18" i="6" s="1"/>
  <c r="B19" i="6"/>
  <c r="M19" i="6" s="1"/>
  <c r="B21" i="6"/>
  <c r="M21" i="6" s="1"/>
  <c r="B22" i="6"/>
  <c r="M22" i="6" s="1"/>
  <c r="B23" i="6"/>
  <c r="M23" i="6" s="1"/>
  <c r="B24" i="6"/>
  <c r="M24" i="6" s="1"/>
  <c r="B25" i="6"/>
  <c r="M25" i="6" s="1"/>
  <c r="B26" i="6"/>
  <c r="M26" i="6" s="1"/>
  <c r="B27" i="6"/>
  <c r="M27" i="6" s="1"/>
  <c r="B29" i="6"/>
  <c r="M29" i="6" s="1"/>
  <c r="B30" i="6"/>
  <c r="M30" i="6" s="1"/>
  <c r="B31" i="6"/>
  <c r="M31" i="6" s="1"/>
  <c r="B32" i="6"/>
  <c r="M32" i="6" s="1"/>
  <c r="B35" i="12"/>
  <c r="B34" i="12"/>
  <c r="B33" i="12"/>
  <c r="C13" i="8"/>
  <c r="C13" i="7"/>
  <c r="B14" i="8"/>
  <c r="B11" i="8"/>
  <c r="D11" i="8"/>
  <c r="D13" i="8"/>
  <c r="B13" i="8"/>
  <c r="D11" i="7"/>
  <c r="D13" i="7"/>
  <c r="O11" i="6" l="1"/>
  <c r="P11" i="6"/>
  <c r="O4" i="6"/>
  <c r="P4" i="6"/>
  <c r="P10" i="6"/>
  <c r="O10" i="6"/>
  <c r="O29" i="6"/>
  <c r="P29" i="6"/>
  <c r="P22" i="6"/>
  <c r="O22" i="6"/>
  <c r="O23" i="6"/>
  <c r="P23" i="6"/>
  <c r="O16" i="6"/>
  <c r="P16" i="6"/>
  <c r="O17" i="6"/>
  <c r="P17" i="6"/>
  <c r="B15" i="8"/>
  <c r="B16" i="8"/>
  <c r="O19" i="6"/>
  <c r="P19" i="6"/>
  <c r="O12" i="6"/>
  <c r="P12" i="6"/>
  <c r="O5" i="6"/>
  <c r="P5" i="6"/>
  <c r="O26" i="6"/>
  <c r="P26" i="6"/>
  <c r="P30" i="6"/>
  <c r="O30" i="6"/>
  <c r="O31" i="6"/>
  <c r="P31" i="6"/>
  <c r="O24" i="6"/>
  <c r="P24" i="6"/>
  <c r="O25" i="6"/>
  <c r="P25" i="6"/>
  <c r="D15" i="7"/>
  <c r="D16" i="7"/>
  <c r="O27" i="6"/>
  <c r="P27" i="6"/>
  <c r="O20" i="6"/>
  <c r="P20" i="6"/>
  <c r="O13" i="6"/>
  <c r="P13" i="6"/>
  <c r="P6" i="6"/>
  <c r="O6" i="6"/>
  <c r="O7" i="6"/>
  <c r="P7" i="6"/>
  <c r="O34" i="6"/>
  <c r="P34" i="6"/>
  <c r="O32" i="6"/>
  <c r="P32" i="6"/>
  <c r="O33" i="6"/>
  <c r="P33" i="6"/>
  <c r="D15" i="8"/>
  <c r="D16" i="8"/>
  <c r="O3" i="6"/>
  <c r="P3" i="6"/>
  <c r="P18" i="6"/>
  <c r="O18" i="6"/>
  <c r="O28" i="6"/>
  <c r="P28" i="6"/>
  <c r="O21" i="6"/>
  <c r="P21" i="6"/>
  <c r="P14" i="6"/>
  <c r="O14" i="6"/>
  <c r="O15" i="6"/>
  <c r="P15" i="6"/>
  <c r="O8" i="6"/>
  <c r="P8" i="6"/>
  <c r="O9" i="6"/>
  <c r="P9" i="6"/>
  <c r="P2" i="6"/>
  <c r="O2" i="6"/>
</calcChain>
</file>

<file path=xl/sharedStrings.xml><?xml version="1.0" encoding="utf-8"?>
<sst xmlns="http://schemas.openxmlformats.org/spreadsheetml/2006/main" count="360" uniqueCount="239">
  <si>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</si>
  <si>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</si>
  <si>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</si>
  <si>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</si>
  <si>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</si>
  <si>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</si>
  <si>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</si>
  <si>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</si>
  <si>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</si>
  <si>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</si>
  <si>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</si>
  <si>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</si>
  <si>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</si>
  <si>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</si>
  <si>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</si>
  <si>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</si>
  <si>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</si>
  <si>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</si>
  <si>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</si>
  <si>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</si>
  <si>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</si>
  <si>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</si>
  <si>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</si>
  <si>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</si>
  <si>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</si>
  <si>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</si>
  <si>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</si>
  <si>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</si>
  <si>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</si>
  <si>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</si>
  <si>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</si>
  <si>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</si>
  <si>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</si>
  <si>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</si>
  <si>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</si>
  <si>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</si>
  <si>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</si>
  <si>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</si>
  <si>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</si>
  <si>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</si>
  <si>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</si>
  <si>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</si>
  <si>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</si>
  <si>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</si>
  <si>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</si>
  <si>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</si>
  <si>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EIA Technology Name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</si>
  <si>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</si>
  <si>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</si>
  <si>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</si>
  <si>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</si>
  <si>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</si>
  <si>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</si>
  <si>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</si>
  <si>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</si>
  <si>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</si>
  <si>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</si>
  <si>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</si>
  <si>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</si>
  <si>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</si>
  <si>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</si>
  <si>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</si>
  <si>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</si>
  <si>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</si>
  <si>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</si>
  <si>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</si>
  <si>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</si>
  <si>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</si>
  <si>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</si>
  <si>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</si>
  <si>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</si>
  <si>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</si>
  <si>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</si>
  <si>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</si>
  <si>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</si>
  <si>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</si>
  <si>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</si>
  <si>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</si>
  <si>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</si>
  <si>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</si>
  <si>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</si>
  <si>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</si>
  <si>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</si>
  <si>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</si>
  <si>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</si>
  <si>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</si>
  <si>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</si>
  <si>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</si>
  <si>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</si>
  <si>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</si>
  <si>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</si>
  <si>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</si>
  <si>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</si>
  <si>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</si>
  <si>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</si>
  <si>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</si>
  <si>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</si>
  <si>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</si>
  <si>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</si>
  <si>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</si>
  <si>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</si>
  <si>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</si>
  <si>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</si>
  <si>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</si>
  <si>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</si>
  <si>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</si>
  <si>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</si>
  <si>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</si>
  <si>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</si>
  <si>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</si>
  <si>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</si>
  <si>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</si>
  <si>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</si>
  <si>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</si>
  <si>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</si>
  <si>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</si>
  <si>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</si>
  <si>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</si>
  <si>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</si>
  <si>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</si>
  <si>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</si>
  <si>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</si>
  <si>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</si>
  <si>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</si>
  <si>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</si>
  <si>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</si>
  <si>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</si>
  <si>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</si>
  <si>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</si>
  <si>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</si>
  <si>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</si>
  <si>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</si>
  <si>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</si>
  <si>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</si>
  <si>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</si>
  <si>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</si>
  <si>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</si>
  <si>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</si>
  <si>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</si>
  <si>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</si>
  <si>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</si>
  <si>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</si>
  <si>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</si>
  <si>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</si>
  <si>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</si>
  <si>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</si>
  <si>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</si>
  <si>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</si>
  <si>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</si>
  <si>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</si>
  <si>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</si>
  <si>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</si>
  <si>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For offshore wind, we decline costs according to NREL's annual technology baseline.</t>
  </si>
  <si>
    <t>Overnight Capital Cost</t>
  </si>
  <si>
    <t>NREL Electricity Source</t>
  </si>
  <si>
    <t>Model Electricity Source</t>
  </si>
  <si>
    <t>NPD 1 - Low</t>
  </si>
  <si>
    <t>NPD 2 - Low</t>
  </si>
  <si>
    <t>NPD 3 - Low</t>
  </si>
  <si>
    <t>NPD 4 - Low</t>
  </si>
  <si>
    <t>NSD 1 - Low</t>
  </si>
  <si>
    <t>NSD 2 - Low</t>
  </si>
  <si>
    <t>NSD 3 - Low</t>
  </si>
  <si>
    <t>NSD 4 - Low</t>
  </si>
  <si>
    <t>Nuclear - Mid</t>
  </si>
  <si>
    <t>10hrs TES - Class 1 - Low</t>
  </si>
  <si>
    <t>10hrs TES - Class 3 - Low</t>
  </si>
  <si>
    <t>10hrs TES - Class 5 - Low</t>
  </si>
  <si>
    <t>Dedicated - Low</t>
  </si>
  <si>
    <t>CofireOld - Low</t>
  </si>
  <si>
    <t>CofireNew - Low</t>
  </si>
  <si>
    <t>Hydro / Flash - Low</t>
  </si>
  <si>
    <t>Hydro / Binary - Low</t>
  </si>
  <si>
    <t>NF EGS / Flash - Low</t>
  </si>
  <si>
    <t>NF EGS / Binary - Low</t>
  </si>
  <si>
    <t>Deep EGS / Flash - Low</t>
  </si>
  <si>
    <t>Deep EGS / Binary - Low</t>
  </si>
  <si>
    <t>Gas-CT-AvgCF - Low</t>
  </si>
  <si>
    <t>Solar Energy Industries Association</t>
  </si>
  <si>
    <t>"National Solar PV System Pricing" section, last paragraph (using "fixed-tilt" value)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</si>
  <si>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</si>
  <si>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</si>
  <si>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</si>
  <si>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</si>
  <si>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</si>
  <si>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AEO 2018</t>
  </si>
  <si>
    <t>Capital Costs (Except Wind and Solar), Fixed O&amp;M, Variable O&amp;M</t>
  </si>
  <si>
    <t>2015, 2018</t>
  </si>
  <si>
    <t>Assumptions to Annual Energy Outlook 2015, 2018</t>
  </si>
  <si>
    <t>Electricity Market Module</t>
  </si>
  <si>
    <t>2017 Onshore Wind Capital Cost</t>
  </si>
  <si>
    <t>2017 Wind Technologies Market Report</t>
  </si>
  <si>
    <t>Page x, Cost Trends, bullet point 3</t>
  </si>
  <si>
    <t>https://emp.lbl.gov/sites/default/files/2017_wind_technologies_market_report.pdf</t>
  </si>
  <si>
    <t>Berkeley National Lab and Greentech Media.) Note that we use 2016 year in review data for</t>
  </si>
  <si>
    <t>show almost no change between 2017 and 2016 (due to tariffs).</t>
  </si>
  <si>
    <t>solar PV, as more recent numerical figures are not given by SEIA and graphs of year over year prices</t>
  </si>
  <si>
    <t>TRG 11 - Low</t>
  </si>
  <si>
    <t>TRG 12 - Low</t>
  </si>
  <si>
    <t>TRG 13 - Low</t>
  </si>
  <si>
    <t>TRG 14 - Low</t>
  </si>
  <si>
    <t>TRG 15 - Low</t>
  </si>
  <si>
    <t>Coal-CCS 30%-AvgCF-Low</t>
  </si>
  <si>
    <t>Gas-CC-AvgCF - Low</t>
  </si>
  <si>
    <t>https://data.nrel.gov/files/89/2018-ATB-data-interim-geo.xlsm</t>
  </si>
  <si>
    <t>Cost Improvement Rate and 2017 Offshore Wind Costs</t>
  </si>
  <si>
    <t>Annual Technology Baseline (ATB) Spreadsheet - 2018 Final</t>
  </si>
  <si>
    <t>We adjust 2016 dollars to 2012 dollars using the following conversion factor:</t>
  </si>
  <si>
    <t>Average Utility Scale Solar Cost ($/W-dc)</t>
  </si>
  <si>
    <t>Installed Cost of Wind ($/kW)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</si>
  <si>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</si>
  <si>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</si>
  <si>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</si>
  <si>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</si>
  <si>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</si>
  <si>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</si>
  <si>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</si>
  <si>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</si>
  <si>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</si>
  <si>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</si>
  <si>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</si>
  <si>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</si>
  <si>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</si>
  <si>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</si>
  <si>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</si>
  <si>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</si>
  <si>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U.S. Solar Market Insight Report: 2018 Year in Review (Executive Summary)</t>
  </si>
  <si>
    <t>https://www.seia.org/research-resources/solar-market-insight-report-2018-year-review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</si>
  <si>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</si>
  <si>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</si>
  <si>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</si>
  <si>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</si>
  <si>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</si>
  <si>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</si>
  <si>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MSW-landfill gas</t>
  </si>
  <si>
    <t>Municpal Solid Waste (MSW) has its own start year costs, but no cost improvement rate data,</t>
  </si>
  <si>
    <t>so we use the cost improvement rates for biomass power plants.</t>
  </si>
  <si>
    <t>Potential Wind Plant Capacity</t>
  </si>
  <si>
    <t>2018 Solar Capital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</si>
</sst>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-* #,##0.00_-;\-* #,##0.00_-;_-* &quot;-&quot;??_-;_-@_-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5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4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6" fillId="0" borderId="0" applyFill="0" applyProtection="0">
      <alignment horizontal="right" vertical="center"/>
    </xf>
    <xf numFmtId="165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5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228">
    <cellStyle name="20% - Accent1 2" xfId="16"/>
    <cellStyle name="20% - Accent1 2 2" xfId="17"/>
    <cellStyle name="20% - Accent1 2 2 2" xfId="151"/>
    <cellStyle name="20% - Accent1 2 2 2 2" xfId="173"/>
    <cellStyle name="20% - Accent1 2 2 2 2 2" xfId="217"/>
    <cellStyle name="20% - Accent1 2 2 2 3" xfId="195"/>
    <cellStyle name="20% - Accent1 2 2 3" xfId="162"/>
    <cellStyle name="20% - Accent1 2 2 3 2" xfId="206"/>
    <cellStyle name="20% - Accent1 2 2 4" xfId="184"/>
    <cellStyle name="20% - Accent2 2" xfId="18"/>
    <cellStyle name="20% - Accent2 2 2" xfId="19"/>
    <cellStyle name="20% - Accent2 2 2 2" xfId="152"/>
    <cellStyle name="20% - Accent2 2 2 2 2" xfId="174"/>
    <cellStyle name="20% - Accent2 2 2 2 2 2" xfId="218"/>
    <cellStyle name="20% - Accent2 2 2 2 3" xfId="196"/>
    <cellStyle name="20% - Accent2 2 2 3" xfId="163"/>
    <cellStyle name="20% - Accent2 2 2 3 2" xfId="207"/>
    <cellStyle name="20% - Accent2 2 2 4" xfId="185"/>
    <cellStyle name="20% - Accent3 2" xfId="20"/>
    <cellStyle name="20% - Accent3 2 2" xfId="21"/>
    <cellStyle name="20% - Accent3 2 2 2" xfId="153"/>
    <cellStyle name="20% - Accent3 2 2 2 2" xfId="175"/>
    <cellStyle name="20% - Accent3 2 2 2 2 2" xfId="219"/>
    <cellStyle name="20% - Accent3 2 2 2 3" xfId="197"/>
    <cellStyle name="20% - Accent3 2 2 3" xfId="164"/>
    <cellStyle name="20% - Accent3 2 2 3 2" xfId="208"/>
    <cellStyle name="20% - Accent3 2 2 4" xfId="186"/>
    <cellStyle name="20% - Accent4 2" xfId="22"/>
    <cellStyle name="20% - Accent4 2 2" xfId="23"/>
    <cellStyle name="20% - Accent4 2 2 2" xfId="154"/>
    <cellStyle name="20% - Accent4 2 2 2 2" xfId="176"/>
    <cellStyle name="20% - Accent4 2 2 2 2 2" xfId="220"/>
    <cellStyle name="20% - Accent4 2 2 2 3" xfId="198"/>
    <cellStyle name="20% - Accent4 2 2 3" xfId="165"/>
    <cellStyle name="20% - Accent4 2 2 3 2" xfId="209"/>
    <cellStyle name="20% - Accent4 2 2 4" xfId="187"/>
    <cellStyle name="Body: normal cell" xfId="4"/>
    <cellStyle name="Calculated" xfId="24"/>
    <cellStyle name="Comma 10" xfId="25"/>
    <cellStyle name="Comma 10 2" xfId="155"/>
    <cellStyle name="Comma 10 2 2" xfId="177"/>
    <cellStyle name="Comma 10 2 2 2" xfId="221"/>
    <cellStyle name="Comma 10 2 3" xfId="199"/>
    <cellStyle name="Comma 10 3" xfId="166"/>
    <cellStyle name="Comma 10 3 2" xfId="210"/>
    <cellStyle name="Comma 10 4" xfId="188"/>
    <cellStyle name="Comma 11" xfId="26"/>
    <cellStyle name="Comma 2" xfId="27"/>
    <cellStyle name="Comma 2 2" xfId="28"/>
    <cellStyle name="Comma 2 2 2" xfId="156"/>
    <cellStyle name="Comma 2 2 2 2" xfId="178"/>
    <cellStyle name="Comma 2 2 2 2 2" xfId="222"/>
    <cellStyle name="Comma 2 2 2 3" xfId="200"/>
    <cellStyle name="Comma 2 2 3" xfId="167"/>
    <cellStyle name="Comma 2 2 3 2" xfId="211"/>
    <cellStyle name="Comma 2 2 4" xfId="189"/>
    <cellStyle name="Comma 3" xfId="29"/>
    <cellStyle name="Comma 3 2" xfId="30"/>
    <cellStyle name="Comma 3 2 2" xfId="157"/>
    <cellStyle name="Comma 3 2 2 2" xfId="179"/>
    <cellStyle name="Comma 3 2 2 2 2" xfId="223"/>
    <cellStyle name="Comma 3 2 2 3" xfId="201"/>
    <cellStyle name="Comma 3 2 3" xfId="168"/>
    <cellStyle name="Comma 3 2 3 2" xfId="212"/>
    <cellStyle name="Comma 3 2 4" xfId="190"/>
    <cellStyle name="Comma 4" xfId="31"/>
    <cellStyle name="Comma 5" xfId="32"/>
    <cellStyle name="Comma 6" xfId="33"/>
    <cellStyle name="Comma 7" xfId="34"/>
    <cellStyle name="Comma 8" xfId="35"/>
    <cellStyle name="Comma 9" xfId="36"/>
    <cellStyle name="Currency 2" xfId="37"/>
    <cellStyle name="Currency 3" xfId="38"/>
    <cellStyle name="Currency 4" xfId="39"/>
    <cellStyle name="Currency 5" xfId="40"/>
    <cellStyle name="Currency 6" xfId="41"/>
    <cellStyle name="Currency 7" xfId="42"/>
    <cellStyle name="Currency 8" xfId="43"/>
    <cellStyle name="Currency 8 2" xfId="158"/>
    <cellStyle name="Currency 8 2 2" xfId="180"/>
    <cellStyle name="Currency 8 2 2 2" xfId="224"/>
    <cellStyle name="Currency 8 2 3" xfId="202"/>
    <cellStyle name="Currency 8 3" xfId="169"/>
    <cellStyle name="Currency 8 3 2" xfId="213"/>
    <cellStyle name="Currency 8 4" xfId="191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eading" xfId="44"/>
    <cellStyle name="Heading 2 2" xfId="45"/>
    <cellStyle name="Heading2" xfId="46"/>
    <cellStyle name="Hyperlink" xfId="5" builtinId="8"/>
    <cellStyle name="Hyperlink 10" xfId="47"/>
    <cellStyle name="Hyperlink 10 2" xfId="48"/>
    <cellStyle name="Hyperlink 10 3" xfId="49"/>
    <cellStyle name="Hyperlink 11" xfId="50"/>
    <cellStyle name="Hyperlink 11 2" xfId="51"/>
    <cellStyle name="Hyperlink 11 3" xfId="52"/>
    <cellStyle name="Hyperlink 12" xfId="53"/>
    <cellStyle name="Hyperlink 12 2" xfId="54"/>
    <cellStyle name="Hyperlink 12 3" xfId="55"/>
    <cellStyle name="Hyperlink 13" xfId="56"/>
    <cellStyle name="Hyperlink 13 2" xfId="57"/>
    <cellStyle name="Hyperlink 13 3" xfId="58"/>
    <cellStyle name="Hyperlink 14" xfId="59"/>
    <cellStyle name="Hyperlink 14 2" xfId="60"/>
    <cellStyle name="Hyperlink 14 3" xfId="61"/>
    <cellStyle name="Hyperlink 15" xfId="62"/>
    <cellStyle name="Hyperlink 15 2" xfId="63"/>
    <cellStyle name="Hyperlink 15 3" xfId="64"/>
    <cellStyle name="Hyperlink 16" xfId="65"/>
    <cellStyle name="Hyperlink 16 2" xfId="66"/>
    <cellStyle name="Hyperlink 16 3" xfId="67"/>
    <cellStyle name="Hyperlink 17" xfId="68"/>
    <cellStyle name="Hyperlink 17 2" xfId="69"/>
    <cellStyle name="Hyperlink 17 3" xfId="70"/>
    <cellStyle name="Hyperlink 18" xfId="71"/>
    <cellStyle name="Hyperlink 18 2" xfId="72"/>
    <cellStyle name="Hyperlink 18 3" xfId="73"/>
    <cellStyle name="Hyperlink 19" xfId="74"/>
    <cellStyle name="Hyperlink 19 2" xfId="75"/>
    <cellStyle name="Hyperlink 19 3" xfId="76"/>
    <cellStyle name="Hyperlink 2" xfId="11"/>
    <cellStyle name="Hyperlink 2 2" xfId="78"/>
    <cellStyle name="Hyperlink 2 3" xfId="79"/>
    <cellStyle name="Hyperlink 2 4" xfId="77"/>
    <cellStyle name="Hyperlink 20" xfId="80"/>
    <cellStyle name="Hyperlink 20 2" xfId="81"/>
    <cellStyle name="Hyperlink 20 3" xfId="82"/>
    <cellStyle name="Hyperlink 21" xfId="83"/>
    <cellStyle name="Hyperlink 21 2" xfId="84"/>
    <cellStyle name="Hyperlink 21 3" xfId="85"/>
    <cellStyle name="Hyperlink 22" xfId="86"/>
    <cellStyle name="Hyperlink 22 2" xfId="87"/>
    <cellStyle name="Hyperlink 22 3" xfId="88"/>
    <cellStyle name="Hyperlink 23" xfId="89"/>
    <cellStyle name="Hyperlink 23 2" xfId="90"/>
    <cellStyle name="Hyperlink 23 3" xfId="91"/>
    <cellStyle name="Hyperlink 24" xfId="92"/>
    <cellStyle name="Hyperlink 25" xfId="93"/>
    <cellStyle name="Hyperlink 26" xfId="94"/>
    <cellStyle name="Hyperlink 27" xfId="95"/>
    <cellStyle name="Hyperlink 28" xfId="96"/>
    <cellStyle name="Hyperlink 29" xfId="97"/>
    <cellStyle name="Hyperlink 3" xfId="98"/>
    <cellStyle name="Hyperlink 3 2" xfId="99"/>
    <cellStyle name="Hyperlink 3 3" xfId="100"/>
    <cellStyle name="Hyperlink 30" xfId="101"/>
    <cellStyle name="Hyperlink 31" xfId="102"/>
    <cellStyle name="Hyperlink 32" xfId="103"/>
    <cellStyle name="Hyperlink 33" xfId="104"/>
    <cellStyle name="Hyperlink 33 2" xfId="105"/>
    <cellStyle name="Hyperlink 33 3" xfId="106"/>
    <cellStyle name="Hyperlink 34" xfId="107"/>
    <cellStyle name="Hyperlink 34 2" xfId="108"/>
    <cellStyle name="Hyperlink 34 3" xfId="109"/>
    <cellStyle name="Hyperlink 34 4" xfId="110"/>
    <cellStyle name="Hyperlink 34 5" xfId="111"/>
    <cellStyle name="Hyperlink 4" xfId="112"/>
    <cellStyle name="Hyperlink 4 2" xfId="113"/>
    <cellStyle name="Hyperlink 4 3" xfId="114"/>
    <cellStyle name="Hyperlink 5" xfId="115"/>
    <cellStyle name="Hyperlink 5 2" xfId="116"/>
    <cellStyle name="Hyperlink 5 3" xfId="117"/>
    <cellStyle name="Hyperlink 6" xfId="118"/>
    <cellStyle name="Hyperlink 6 2" xfId="119"/>
    <cellStyle name="Hyperlink 6 3" xfId="120"/>
    <cellStyle name="Hyperlink 7" xfId="121"/>
    <cellStyle name="Hyperlink 7 2" xfId="122"/>
    <cellStyle name="Hyperlink 7 3" xfId="123"/>
    <cellStyle name="Hyperlink 8" xfId="124"/>
    <cellStyle name="Hyperlink 8 2" xfId="125"/>
    <cellStyle name="Hyperlink 8 3" xfId="126"/>
    <cellStyle name="Hyperlink 9" xfId="127"/>
    <cellStyle name="Hyperlink 9 2" xfId="128"/>
    <cellStyle name="Hyperlink 9 3" xfId="129"/>
    <cellStyle name="Input 2" xfId="130"/>
    <cellStyle name="Linked" xfId="131"/>
    <cellStyle name="Normal" xfId="0" builtinId="0"/>
    <cellStyle name="Normal 2" xfId="15"/>
    <cellStyle name="Normal 2 2" xfId="14"/>
    <cellStyle name="Normal 2 2 2" xfId="132"/>
    <cellStyle name="Normal 2 2 2 2" xfId="159"/>
    <cellStyle name="Normal 2 2 2 2 2" xfId="181"/>
    <cellStyle name="Normal 2 2 2 2 2 2" xfId="225"/>
    <cellStyle name="Normal 2 2 2 2 3" xfId="203"/>
    <cellStyle name="Normal 2 2 2 3" xfId="170"/>
    <cellStyle name="Normal 2 2 2 3 2" xfId="214"/>
    <cellStyle name="Normal 2 2 2 4" xfId="192"/>
    <cellStyle name="Normal 3" xfId="133"/>
    <cellStyle name="Normal 4" xfId="134"/>
    <cellStyle name="Normal 5" xfId="135"/>
    <cellStyle name="Normal 6" xfId="136"/>
    <cellStyle name="Normal 6 2" xfId="160"/>
    <cellStyle name="Normal 6 2 2" xfId="182"/>
    <cellStyle name="Normal 6 2 2 2" xfId="226"/>
    <cellStyle name="Normal 6 2 3" xfId="204"/>
    <cellStyle name="Normal 6 3" xfId="171"/>
    <cellStyle name="Normal 6 3 2" xfId="215"/>
    <cellStyle name="Normal 6 4" xfId="193"/>
    <cellStyle name="Normal 7" xfId="137"/>
    <cellStyle name="Normal 8" xfId="138"/>
    <cellStyle name="Normal Small" xfId="139"/>
    <cellStyle name="Parent row" xfId="3"/>
    <cellStyle name="Percent 2" xfId="140"/>
    <cellStyle name="Percent 2 2" xfId="141"/>
    <cellStyle name="Percent 2 3" xfId="142"/>
    <cellStyle name="Percent 2 4" xfId="161"/>
    <cellStyle name="Percent 2 4 2" xfId="183"/>
    <cellStyle name="Percent 2 4 2 2" xfId="227"/>
    <cellStyle name="Percent 2 4 3" xfId="205"/>
    <cellStyle name="Percent 2 5" xfId="172"/>
    <cellStyle name="Percent 2 5 2" xfId="216"/>
    <cellStyle name="Percent 2 6" xfId="194"/>
    <cellStyle name="Percent 3" xfId="143"/>
    <cellStyle name="Percent 3 2" xfId="144"/>
    <cellStyle name="Results" xfId="145"/>
    <cellStyle name="Section Break" xfId="12"/>
    <cellStyle name="Section Break: parent row" xfId="13"/>
    <cellStyle name="Table title" xfId="1"/>
    <cellStyle name="Title 2" xfId="146"/>
    <cellStyle name="Title 3" xfId="147"/>
    <cellStyle name="Unit" xfId="148"/>
    <cellStyle name="UserInput" xfId="149"/>
    <cellStyle name="Variable" xfId="15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>
      <tableStyleElement type="wholeTable" dxfId="3"/>
      <tableStyleElement type="headerRow" dxfId="2"/>
    </tableStyle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ia.org/research-resources/solar-market-insight-report-2018-year-review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forecasts/aeo/assumptions/pdf/electricity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D9" sqref="D9"/>
    </sheetView>
  </sheetViews>
  <sheetFormatPr defaultColWidth="9.140625" defaultRowHeight="1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186</v>
      </c>
      <c r="C5" s="8"/>
      <c r="D5" s="15" t="s">
        <v>190</v>
      </c>
      <c r="E5" s="8"/>
    </row>
    <row r="6" spans="1:5">
      <c r="B6" t="s">
        <v>1</v>
      </c>
      <c r="D6" s="19" t="s">
        <v>5</v>
      </c>
    </row>
    <row r="7" spans="1:5">
      <c r="B7" s="2" t="s">
        <v>187</v>
      </c>
      <c r="D7" s="2">
        <v>2018</v>
      </c>
    </row>
    <row r="8" spans="1:5">
      <c r="B8" t="s">
        <v>188</v>
      </c>
      <c r="D8" s="19" t="s">
        <v>191</v>
      </c>
    </row>
    <row r="9" spans="1:5">
      <c r="B9" s="3" t="s">
        <v>55</v>
      </c>
      <c r="D9" s="3" t="s">
        <v>193</v>
      </c>
    </row>
    <row r="10" spans="1:5">
      <c r="B10" t="s">
        <v>189</v>
      </c>
      <c r="D10" s="19" t="s">
        <v>192</v>
      </c>
    </row>
    <row r="11" spans="1:5">
      <c r="B11"/>
      <c r="D11" s="9"/>
    </row>
    <row r="12" spans="1:5">
      <c r="B12" s="6" t="s">
        <v>128</v>
      </c>
      <c r="D12" s="14" t="s">
        <v>238</v>
      </c>
    </row>
    <row r="13" spans="1:5">
      <c r="B13" s="23" t="s">
        <v>129</v>
      </c>
      <c r="D13" s="19" t="s">
        <v>178</v>
      </c>
    </row>
    <row r="14" spans="1:5">
      <c r="B14" s="2">
        <v>2009</v>
      </c>
      <c r="D14" s="2">
        <v>2019</v>
      </c>
    </row>
    <row r="15" spans="1:5">
      <c r="B15" s="2" t="s">
        <v>130</v>
      </c>
      <c r="D15" s="19" t="s">
        <v>226</v>
      </c>
    </row>
    <row r="16" spans="1:5">
      <c r="B16" s="3" t="s">
        <v>131</v>
      </c>
      <c r="D16" s="3" t="s">
        <v>227</v>
      </c>
    </row>
    <row r="17" spans="1:11">
      <c r="B17" s="23" t="s">
        <v>132</v>
      </c>
      <c r="D17" s="19" t="s">
        <v>179</v>
      </c>
    </row>
    <row r="18" spans="1:11">
      <c r="B18" s="23"/>
    </row>
    <row r="19" spans="1:11">
      <c r="A19" s="7"/>
      <c r="B19" s="6" t="s">
        <v>28</v>
      </c>
      <c r="D19" s="6" t="s">
        <v>205</v>
      </c>
    </row>
    <row r="20" spans="1:11">
      <c r="A20" s="7"/>
      <c r="B20" s="2" t="s">
        <v>68</v>
      </c>
      <c r="D20" s="23" t="s">
        <v>151</v>
      </c>
    </row>
    <row r="21" spans="1:11">
      <c r="A21" s="7"/>
      <c r="B21" s="2">
        <v>2015</v>
      </c>
      <c r="D21" s="2">
        <v>2018</v>
      </c>
    </row>
    <row r="22" spans="1:11">
      <c r="A22" s="7"/>
      <c r="B22" s="2" t="s">
        <v>69</v>
      </c>
      <c r="D22" s="23" t="s">
        <v>206</v>
      </c>
    </row>
    <row r="23" spans="1:11" ht="45">
      <c r="A23" s="7"/>
      <c r="B23" s="50" t="s">
        <v>70</v>
      </c>
      <c r="D23" s="3" t="s">
        <v>204</v>
      </c>
    </row>
    <row r="24" spans="1:11" ht="15.75" thickBot="1">
      <c r="A24" s="7"/>
      <c r="B24" s="2" t="s">
        <v>71</v>
      </c>
      <c r="D24" s="23"/>
    </row>
    <row r="25" spans="1:11" ht="15.75" thickBot="1">
      <c r="A25" s="7"/>
      <c r="B25" s="21" t="s">
        <v>29</v>
      </c>
      <c r="C25" s="22">
        <v>0.85899999999999999</v>
      </c>
      <c r="D25" s="23"/>
    </row>
    <row r="26" spans="1:11">
      <c r="A26" s="7"/>
      <c r="D26" s="23"/>
    </row>
    <row r="27" spans="1:11">
      <c r="A27" s="7"/>
    </row>
    <row r="28" spans="1:11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60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 t="s">
        <v>72</v>
      </c>
      <c r="D30" s="7"/>
      <c r="E30" s="11"/>
      <c r="F30" s="11"/>
      <c r="G30" s="11"/>
      <c r="H30" s="11"/>
      <c r="I30" s="11"/>
      <c r="J30" s="11"/>
      <c r="K30" s="11"/>
    </row>
    <row r="31" spans="1:11">
      <c r="A31" s="10" t="s">
        <v>152</v>
      </c>
      <c r="D31" s="7"/>
      <c r="E31" s="11"/>
      <c r="F31" s="11"/>
      <c r="G31" s="11"/>
      <c r="H31" s="11"/>
      <c r="I31" s="11"/>
      <c r="J31" s="11"/>
      <c r="K31" s="11"/>
    </row>
    <row r="32" spans="1:11">
      <c r="A32" s="10"/>
      <c r="D32" s="7"/>
      <c r="E32" s="11"/>
      <c r="F32" s="11"/>
      <c r="G32" s="11"/>
      <c r="H32" s="11"/>
      <c r="I32" s="11"/>
      <c r="J32" s="11"/>
      <c r="K32" s="11"/>
    </row>
    <row r="33" spans="1:11">
      <c r="A33" s="10" t="s">
        <v>61</v>
      </c>
      <c r="D33" s="7"/>
      <c r="E33" s="11"/>
      <c r="F33" s="11"/>
      <c r="G33" s="11"/>
      <c r="H33" s="11"/>
      <c r="I33" s="11"/>
      <c r="J33" s="11"/>
      <c r="K33" s="11"/>
    </row>
    <row r="34" spans="1:11">
      <c r="A34" s="10" t="s">
        <v>180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76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10" t="s">
        <v>62</v>
      </c>
      <c r="D36" s="7"/>
      <c r="E36" s="11"/>
      <c r="F36" s="11"/>
      <c r="G36" s="11"/>
      <c r="H36" s="11"/>
      <c r="I36" s="11"/>
      <c r="J36" s="11"/>
      <c r="K36" s="11"/>
    </row>
    <row r="37" spans="1:11">
      <c r="A37" s="10" t="s">
        <v>194</v>
      </c>
      <c r="D37" s="7"/>
      <c r="E37" s="11"/>
      <c r="F37" s="11"/>
      <c r="G37" s="11"/>
      <c r="H37" s="11"/>
      <c r="I37" s="11"/>
      <c r="J37" s="11"/>
      <c r="K37" s="11"/>
    </row>
    <row r="38" spans="1:11">
      <c r="A38" s="10" t="s">
        <v>196</v>
      </c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195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/>
      <c r="D40" s="7"/>
      <c r="E40" s="11"/>
      <c r="F40" s="11"/>
      <c r="G40" s="11"/>
      <c r="H40" s="11"/>
      <c r="I40" s="11"/>
      <c r="J40" s="11"/>
      <c r="K40" s="11"/>
    </row>
    <row r="41" spans="1:11">
      <c r="A41" s="10" t="s">
        <v>30</v>
      </c>
      <c r="D41" s="7"/>
      <c r="E41" s="11"/>
      <c r="F41" s="11"/>
      <c r="G41" s="11"/>
      <c r="H41" s="11"/>
      <c r="I41" s="11"/>
      <c r="J41" s="11"/>
      <c r="K41" s="11"/>
    </row>
    <row r="42" spans="1:11">
      <c r="A42" s="10" t="s">
        <v>31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/>
      <c r="D43" s="7"/>
      <c r="E43" s="11"/>
      <c r="F43" s="11"/>
      <c r="G43" s="11"/>
      <c r="H43" s="11"/>
      <c r="I43" s="11"/>
      <c r="J43" s="11"/>
      <c r="K43" s="11"/>
    </row>
    <row r="44" spans="1:11">
      <c r="A44" s="10" t="s">
        <v>73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63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 t="s">
        <v>64</v>
      </c>
      <c r="D46" s="7"/>
      <c r="E46" s="11"/>
      <c r="F46" s="11"/>
      <c r="G46" s="11"/>
      <c r="H46" s="11"/>
      <c r="I46" s="11"/>
      <c r="J46" s="11"/>
      <c r="K46" s="11"/>
    </row>
    <row r="47" spans="1:11">
      <c r="A47" s="10" t="s">
        <v>65</v>
      </c>
      <c r="D47" s="7"/>
      <c r="E47" s="11"/>
      <c r="F47" s="11"/>
      <c r="G47" s="11"/>
      <c r="H47" s="11"/>
      <c r="I47" s="11"/>
      <c r="J47" s="11"/>
      <c r="K47" s="11"/>
    </row>
    <row r="48" spans="1:11">
      <c r="A48" s="10" t="s">
        <v>66</v>
      </c>
      <c r="D48" s="7"/>
      <c r="E48" s="11"/>
      <c r="F48" s="11"/>
      <c r="G48" s="11"/>
      <c r="H48" s="11"/>
      <c r="I48" s="11"/>
      <c r="J48" s="11"/>
      <c r="K48" s="11"/>
    </row>
    <row r="49" spans="1:11">
      <c r="A49" s="10" t="s">
        <v>67</v>
      </c>
      <c r="D49" s="7"/>
      <c r="E49" s="11"/>
      <c r="F49" s="11"/>
      <c r="G49" s="11"/>
      <c r="H49" s="11"/>
      <c r="I49" s="11"/>
      <c r="J49" s="11"/>
      <c r="K49" s="11"/>
    </row>
    <row r="50" spans="1:11">
      <c r="A50" s="10"/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133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 t="s">
        <v>134</v>
      </c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135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/>
      <c r="D54" s="7"/>
      <c r="E54" s="11"/>
      <c r="F54" s="11"/>
      <c r="G54" s="11"/>
      <c r="H54" s="11"/>
      <c r="I54" s="11"/>
      <c r="J54" s="11"/>
      <c r="K54" s="11"/>
    </row>
    <row r="55" spans="1:11">
      <c r="A55" s="10" t="s">
        <v>235</v>
      </c>
      <c r="D55" s="7"/>
      <c r="E55" s="11"/>
      <c r="F55" s="11"/>
      <c r="G55" s="11"/>
      <c r="H55" s="11"/>
      <c r="I55" s="11"/>
      <c r="J55" s="11"/>
      <c r="K55" s="11"/>
    </row>
    <row r="56" spans="1:11">
      <c r="A56" s="10" t="s">
        <v>236</v>
      </c>
      <c r="D56" s="7"/>
      <c r="E56" s="11"/>
      <c r="F56" s="11"/>
      <c r="G56" s="11"/>
      <c r="H56" s="11"/>
      <c r="I56" s="11"/>
      <c r="J56" s="11"/>
      <c r="K56" s="11"/>
    </row>
    <row r="57" spans="1:11">
      <c r="A57" s="10"/>
      <c r="D57" s="7"/>
      <c r="E57" s="11"/>
      <c r="F57" s="11"/>
      <c r="G57" s="11"/>
      <c r="H57" s="11"/>
      <c r="I57" s="11"/>
      <c r="J57" s="11"/>
      <c r="K57" s="11"/>
    </row>
    <row r="58" spans="1:11">
      <c r="A58" s="7" t="s">
        <v>27</v>
      </c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58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>
      <c r="A60" s="10" t="s">
        <v>59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>
      <c r="A61" s="10" t="s">
        <v>75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>
      <c r="A62" s="19" t="s">
        <v>25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>
      <c r="A63" s="19">
        <v>0.98599999999999999</v>
      </c>
      <c r="B63" s="9"/>
      <c r="D63" s="7"/>
      <c r="E63" s="11"/>
      <c r="F63" s="11"/>
      <c r="G63" s="11"/>
      <c r="H63" s="11"/>
      <c r="I63" s="11"/>
      <c r="J63" s="11"/>
      <c r="K63" s="11"/>
    </row>
    <row r="64" spans="1:11">
      <c r="A64" s="23" t="s">
        <v>138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>
      <c r="A65" s="18">
        <v>0.97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2" t="s">
        <v>74</v>
      </c>
    </row>
    <row r="67" spans="1:11">
      <c r="A67" s="25">
        <v>0.96899999999999997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>
      <c r="A68" s="2" t="s">
        <v>207</v>
      </c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25">
        <v>9.5699999999999993E-2</v>
      </c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2" t="s">
        <v>225</v>
      </c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25">
        <v>0.9143</v>
      </c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25"/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A73" s="19" t="s">
        <v>24</v>
      </c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>
      <c r="A89" s="10"/>
      <c r="B89" s="9"/>
      <c r="D89" s="7"/>
      <c r="E89" s="11"/>
      <c r="F89" s="11"/>
      <c r="G89" s="11"/>
      <c r="H89" s="11"/>
      <c r="I89" s="11"/>
      <c r="J89" s="11"/>
      <c r="K89" s="11"/>
    </row>
    <row r="90" spans="1:11">
      <c r="A90" s="10"/>
      <c r="B90" s="9"/>
      <c r="D90" s="7"/>
      <c r="E90" s="11"/>
      <c r="F90" s="11"/>
      <c r="G90" s="11"/>
      <c r="H90" s="11"/>
      <c r="I90" s="11"/>
      <c r="J90" s="11"/>
      <c r="K90" s="11"/>
    </row>
    <row r="91" spans="1:11">
      <c r="A91" s="10"/>
      <c r="B91" s="9"/>
      <c r="D91" s="7"/>
      <c r="E91" s="11"/>
      <c r="F91" s="11"/>
      <c r="G91" s="11"/>
      <c r="H91" s="11"/>
      <c r="I91" s="11"/>
      <c r="J91" s="11"/>
      <c r="K91" s="11"/>
    </row>
    <row r="92" spans="1:11">
      <c r="A92" s="7"/>
      <c r="B92" s="9"/>
      <c r="D92" s="7"/>
      <c r="E92" s="11"/>
      <c r="F92" s="11"/>
      <c r="G92" s="11"/>
      <c r="H92" s="11"/>
      <c r="I92" s="11"/>
      <c r="J92" s="11"/>
      <c r="K92" s="11"/>
    </row>
  </sheetData>
  <hyperlinks>
    <hyperlink ref="B23" r:id="rId1" display="http://rredc.nrel.gov/solar/calculators/pvwatts/system.html"/>
    <hyperlink ref="B16" r:id="rId2"/>
    <hyperlink ref="D16" r:id="rId3"/>
    <hyperlink ref="B9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9" sqref="C9:D9"/>
    </sheetView>
  </sheetViews>
  <sheetFormatPr defaultRowHeight="15"/>
  <cols>
    <col min="1" max="1" width="26.7109375" customWidth="1"/>
    <col min="2" max="2" width="26.7109375" style="23" customWidth="1"/>
    <col min="3" max="3" width="52.5703125" customWidth="1"/>
    <col min="4" max="4" width="34.42578125" customWidth="1"/>
    <col min="5" max="5" width="31" customWidth="1"/>
    <col min="6" max="6" width="29.140625" customWidth="1"/>
  </cols>
  <sheetData>
    <row r="1" spans="1:8">
      <c r="A1" s="1" t="s">
        <v>41</v>
      </c>
      <c r="B1" s="1" t="s">
        <v>77</v>
      </c>
      <c r="C1" s="1" t="s">
        <v>46</v>
      </c>
      <c r="D1" s="1" t="s">
        <v>43</v>
      </c>
      <c r="E1" s="1" t="s">
        <v>42</v>
      </c>
      <c r="F1" s="1" t="s">
        <v>44</v>
      </c>
      <c r="G1" s="1" t="s">
        <v>181</v>
      </c>
      <c r="H1" s="1" t="s">
        <v>183</v>
      </c>
    </row>
    <row r="2" spans="1:8">
      <c r="A2" s="23" t="s">
        <v>123</v>
      </c>
      <c r="B2" s="23" t="s">
        <v>78</v>
      </c>
      <c r="C2" t="s">
        <v>45</v>
      </c>
      <c r="D2">
        <v>2917</v>
      </c>
      <c r="E2" s="16">
        <v>4.47</v>
      </c>
      <c r="F2" s="16">
        <v>31.16</v>
      </c>
      <c r="G2" t="s">
        <v>182</v>
      </c>
      <c r="H2">
        <v>2013</v>
      </c>
    </row>
    <row r="3" spans="1:8">
      <c r="A3" t="s">
        <v>123</v>
      </c>
      <c r="B3" s="23" t="s">
        <v>79</v>
      </c>
      <c r="C3" t="s">
        <v>184</v>
      </c>
      <c r="D3">
        <v>5089</v>
      </c>
      <c r="E3" s="16">
        <v>7.17</v>
      </c>
      <c r="F3" s="16">
        <v>70.7</v>
      </c>
      <c r="G3" t="s">
        <v>185</v>
      </c>
      <c r="H3">
        <v>2017</v>
      </c>
    </row>
    <row r="4" spans="1:8">
      <c r="A4" s="23" t="s">
        <v>33</v>
      </c>
      <c r="B4" s="23" t="s">
        <v>78</v>
      </c>
      <c r="C4" t="s">
        <v>47</v>
      </c>
      <c r="D4">
        <v>982</v>
      </c>
      <c r="E4" s="16">
        <v>3.54</v>
      </c>
      <c r="F4" s="16">
        <v>11.11</v>
      </c>
      <c r="G4" s="23" t="s">
        <v>185</v>
      </c>
      <c r="H4" s="23">
        <v>2017</v>
      </c>
    </row>
    <row r="5" spans="1:8">
      <c r="A5" t="s">
        <v>33</v>
      </c>
      <c r="B5" s="23" t="s">
        <v>79</v>
      </c>
      <c r="C5" t="s">
        <v>48</v>
      </c>
      <c r="D5">
        <v>1108</v>
      </c>
      <c r="E5" s="16">
        <v>2.02</v>
      </c>
      <c r="F5" s="16">
        <v>10.1</v>
      </c>
      <c r="G5" s="23" t="s">
        <v>185</v>
      </c>
      <c r="H5" s="23">
        <v>2017</v>
      </c>
    </row>
    <row r="6" spans="1:8">
      <c r="A6" s="23" t="s">
        <v>36</v>
      </c>
      <c r="B6" s="23" t="s">
        <v>78</v>
      </c>
      <c r="C6" t="s">
        <v>49</v>
      </c>
      <c r="D6">
        <v>1107</v>
      </c>
      <c r="E6" s="16">
        <v>3.54</v>
      </c>
      <c r="F6" s="16">
        <v>17.670000000000002</v>
      </c>
      <c r="G6" s="23" t="s">
        <v>185</v>
      </c>
      <c r="H6" s="23">
        <v>2017</v>
      </c>
    </row>
    <row r="7" spans="1:8">
      <c r="A7" s="23" t="s">
        <v>36</v>
      </c>
      <c r="B7" s="23" t="s">
        <v>79</v>
      </c>
      <c r="C7" t="s">
        <v>50</v>
      </c>
      <c r="D7">
        <v>680</v>
      </c>
      <c r="E7" s="16">
        <v>10.81</v>
      </c>
      <c r="F7" s="16">
        <v>6.87</v>
      </c>
      <c r="G7" s="23" t="s">
        <v>185</v>
      </c>
      <c r="H7" s="23">
        <v>2017</v>
      </c>
    </row>
    <row r="8" spans="1:8">
      <c r="A8" t="s">
        <v>16</v>
      </c>
      <c r="B8" s="23" t="s">
        <v>80</v>
      </c>
      <c r="C8" t="s">
        <v>51</v>
      </c>
      <c r="D8">
        <v>5946</v>
      </c>
      <c r="E8" s="16">
        <v>2.3199999999999998</v>
      </c>
      <c r="F8" s="16">
        <v>101.28</v>
      </c>
      <c r="G8" s="23" t="s">
        <v>185</v>
      </c>
      <c r="H8" s="23">
        <v>2017</v>
      </c>
    </row>
    <row r="9" spans="1:8">
      <c r="A9" t="s">
        <v>20</v>
      </c>
      <c r="B9" s="23" t="s">
        <v>80</v>
      </c>
      <c r="C9" t="s">
        <v>2</v>
      </c>
      <c r="D9">
        <v>3837</v>
      </c>
      <c r="E9" s="16">
        <v>5.58</v>
      </c>
      <c r="F9" s="16">
        <v>112.15</v>
      </c>
      <c r="G9" s="23" t="s">
        <v>185</v>
      </c>
      <c r="H9" s="23">
        <v>2017</v>
      </c>
    </row>
    <row r="10" spans="1:8">
      <c r="A10" t="s">
        <v>34</v>
      </c>
      <c r="B10" s="23" t="s">
        <v>80</v>
      </c>
      <c r="C10" t="s">
        <v>32</v>
      </c>
      <c r="D10">
        <v>2746</v>
      </c>
      <c r="E10" s="16">
        <v>0</v>
      </c>
      <c r="F10" s="16">
        <v>119.87</v>
      </c>
      <c r="G10" s="23" t="s">
        <v>185</v>
      </c>
      <c r="H10" s="23">
        <v>2017</v>
      </c>
    </row>
    <row r="11" spans="1:8">
      <c r="A11" t="s">
        <v>17</v>
      </c>
      <c r="B11" s="23" t="s">
        <v>80</v>
      </c>
      <c r="C11" t="s">
        <v>52</v>
      </c>
      <c r="D11">
        <v>2898</v>
      </c>
      <c r="E11" s="16">
        <v>1.33</v>
      </c>
      <c r="F11" s="16">
        <v>40.049999999999997</v>
      </c>
      <c r="G11" s="23" t="s">
        <v>185</v>
      </c>
      <c r="H11" s="23">
        <v>2017</v>
      </c>
    </row>
    <row r="12" spans="1:8">
      <c r="A12" t="s">
        <v>125</v>
      </c>
      <c r="B12" s="23" t="s">
        <v>80</v>
      </c>
      <c r="C12" t="s">
        <v>0</v>
      </c>
      <c r="D12" s="24">
        <v>1657</v>
      </c>
      <c r="E12" s="16">
        <v>0</v>
      </c>
      <c r="F12" s="16">
        <v>47.47</v>
      </c>
      <c r="G12" s="23" t="s">
        <v>185</v>
      </c>
      <c r="H12" s="23">
        <v>2017</v>
      </c>
    </row>
    <row r="13" spans="1:8">
      <c r="A13" t="s">
        <v>124</v>
      </c>
      <c r="B13" s="23" t="s">
        <v>80</v>
      </c>
      <c r="C13" t="s">
        <v>53</v>
      </c>
      <c r="D13" s="24">
        <v>6454</v>
      </c>
      <c r="E13" s="16">
        <v>0</v>
      </c>
      <c r="F13" s="16">
        <v>78.56</v>
      </c>
      <c r="G13" s="23" t="s">
        <v>185</v>
      </c>
      <c r="H13" s="23">
        <v>2017</v>
      </c>
    </row>
    <row r="14" spans="1:8">
      <c r="A14" t="s">
        <v>19</v>
      </c>
      <c r="B14" s="23" t="s">
        <v>80</v>
      </c>
      <c r="C14" t="s">
        <v>9</v>
      </c>
      <c r="D14">
        <v>4228</v>
      </c>
      <c r="E14" s="16">
        <v>0</v>
      </c>
      <c r="F14" s="16">
        <v>71.41</v>
      </c>
      <c r="G14" s="23" t="s">
        <v>185</v>
      </c>
      <c r="H14" s="23">
        <v>2017</v>
      </c>
    </row>
    <row r="15" spans="1:8">
      <c r="A15" t="s">
        <v>18</v>
      </c>
      <c r="B15" s="23" t="s">
        <v>80</v>
      </c>
      <c r="C15" t="s">
        <v>54</v>
      </c>
      <c r="D15" s="24">
        <v>2105</v>
      </c>
      <c r="E15" s="16">
        <v>0</v>
      </c>
      <c r="F15" s="16">
        <v>22.02</v>
      </c>
      <c r="G15" s="23" t="s">
        <v>185</v>
      </c>
      <c r="H15" s="23">
        <v>2017</v>
      </c>
    </row>
    <row r="16" spans="1:8" s="23" customFormat="1">
      <c r="A16" s="23" t="s">
        <v>230</v>
      </c>
      <c r="B16" s="23" t="s">
        <v>80</v>
      </c>
      <c r="C16" s="23" t="s">
        <v>234</v>
      </c>
      <c r="D16" s="52">
        <v>8742</v>
      </c>
      <c r="E16" s="16">
        <v>9.2899999999999991</v>
      </c>
      <c r="F16" s="16">
        <v>417.02</v>
      </c>
      <c r="G16" s="23" t="s">
        <v>185</v>
      </c>
      <c r="H16" s="23">
        <v>2017</v>
      </c>
    </row>
    <row r="18" spans="1:1">
      <c r="A18" t="s">
        <v>57</v>
      </c>
    </row>
    <row r="19" spans="1:1">
      <c r="A1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sqref="B4"/>
    </sheetView>
  </sheetViews>
  <sheetFormatPr defaultRowHeight="15"/>
  <cols>
    <col min="1" max="1" width="12.5703125" customWidth="1"/>
    <col min="2" max="2" width="18.42578125" customWidth="1"/>
  </cols>
  <sheetData>
    <row r="1" spans="1:2" s="19" customFormat="1">
      <c r="A1" s="1" t="s">
        <v>209</v>
      </c>
    </row>
    <row r="2" spans="1:2" s="19" customFormat="1">
      <c r="A2" s="13" t="s">
        <v>3</v>
      </c>
      <c r="B2" s="13" t="s">
        <v>26</v>
      </c>
    </row>
    <row r="3" spans="1:2" s="19" customFormat="1">
      <c r="A3" s="17">
        <v>2017</v>
      </c>
      <c r="B3" s="19">
        <v>1610</v>
      </c>
    </row>
    <row r="4" spans="1:2" s="19" customFormat="1"/>
    <row r="5" spans="1:2">
      <c r="A5" s="1" t="s">
        <v>208</v>
      </c>
    </row>
    <row r="6" spans="1:2" s="19" customFormat="1">
      <c r="A6" s="13" t="s">
        <v>3</v>
      </c>
      <c r="B6" s="13" t="s">
        <v>26</v>
      </c>
    </row>
    <row r="7" spans="1:2">
      <c r="A7" s="17">
        <v>2018</v>
      </c>
      <c r="B7" s="16">
        <v>1.04</v>
      </c>
    </row>
    <row r="10" spans="1:2">
      <c r="B10" s="18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5"/>
  <cols>
    <col min="1" max="2" width="20.7109375" style="47" customWidth="1"/>
    <col min="3" max="3" width="21" style="47" customWidth="1"/>
    <col min="4" max="8" width="20.7109375" style="47" customWidth="1"/>
  </cols>
  <sheetData>
    <row r="1" spans="1:8">
      <c r="A1" s="26"/>
      <c r="B1" s="26"/>
      <c r="C1" s="27" t="s">
        <v>82</v>
      </c>
      <c r="D1" s="27" t="s">
        <v>82</v>
      </c>
      <c r="E1" s="27" t="s">
        <v>82</v>
      </c>
      <c r="F1" s="27" t="s">
        <v>83</v>
      </c>
      <c r="G1" s="27" t="s">
        <v>83</v>
      </c>
      <c r="H1" s="27" t="s">
        <v>83</v>
      </c>
    </row>
    <row r="2" spans="1:8" ht="45">
      <c r="A2" s="28" t="s">
        <v>84</v>
      </c>
      <c r="B2" s="56" t="s">
        <v>85</v>
      </c>
      <c r="C2" s="58" t="s">
        <v>114</v>
      </c>
      <c r="D2" s="58" t="s">
        <v>115</v>
      </c>
      <c r="E2" s="58" t="s">
        <v>116</v>
      </c>
      <c r="F2" s="60" t="s">
        <v>117</v>
      </c>
      <c r="G2" s="60" t="s">
        <v>118</v>
      </c>
      <c r="H2" s="54" t="s">
        <v>86</v>
      </c>
    </row>
    <row r="3" spans="1:8" ht="30">
      <c r="A3" s="27" t="s">
        <v>87</v>
      </c>
      <c r="B3" s="57"/>
      <c r="C3" s="59"/>
      <c r="D3" s="59"/>
      <c r="E3" s="59"/>
      <c r="F3" s="61"/>
      <c r="G3" s="61"/>
      <c r="H3" s="55"/>
    </row>
    <row r="4" spans="1:8">
      <c r="A4" s="27" t="s">
        <v>88</v>
      </c>
      <c r="B4" s="29">
        <v>1000</v>
      </c>
      <c r="C4" s="26"/>
      <c r="D4" s="26"/>
      <c r="E4" s="26"/>
      <c r="F4" s="26"/>
      <c r="G4" s="26"/>
      <c r="H4" s="26"/>
    </row>
    <row r="5" spans="1:8" ht="28.5">
      <c r="A5" s="30" t="s">
        <v>89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>
      <c r="A6" s="32" t="s">
        <v>90</v>
      </c>
      <c r="B6" s="32" t="s">
        <v>91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>
      <c r="A7" s="34" t="s">
        <v>119</v>
      </c>
      <c r="B7" s="35"/>
      <c r="C7" s="35"/>
      <c r="D7" s="35"/>
      <c r="E7" s="35"/>
      <c r="F7" s="35"/>
      <c r="G7" s="35"/>
      <c r="H7" s="35"/>
    </row>
    <row r="8" spans="1:8" ht="28.5">
      <c r="A8" s="36" t="s">
        <v>92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>
      <c r="A9" s="39" t="s">
        <v>120</v>
      </c>
      <c r="B9" s="35"/>
      <c r="C9" s="35"/>
      <c r="D9" s="35"/>
      <c r="E9" s="35"/>
      <c r="F9" s="35"/>
      <c r="G9" s="35"/>
      <c r="H9" s="35"/>
    </row>
    <row r="10" spans="1:8">
      <c r="A10" s="36" t="s">
        <v>93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>
      <c r="A11" s="39" t="s">
        <v>121</v>
      </c>
      <c r="B11" s="35"/>
      <c r="C11" s="35"/>
      <c r="D11" s="35"/>
      <c r="E11" s="35"/>
      <c r="F11" s="35"/>
      <c r="G11" s="35"/>
      <c r="H11" s="35"/>
    </row>
    <row r="12" spans="1:8">
      <c r="A12" s="36" t="s">
        <v>94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>
      <c r="A13" s="36" t="s">
        <v>95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>
      <c r="A14" s="36" t="s">
        <v>96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>
      <c r="A15" s="36" t="s">
        <v>97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>
      <c r="A16" s="36" t="s">
        <v>98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>
      <c r="A17" s="36" t="s">
        <v>99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>
      <c r="A18" s="36" t="s">
        <v>100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>
      <c r="A19" s="36" t="s">
        <v>101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>
      <c r="A20" s="36" t="s">
        <v>102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>
      <c r="A21" s="36" t="s">
        <v>103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>
      <c r="A22" s="36" t="s">
        <v>104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>
      <c r="A23" s="36" t="s">
        <v>105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>
      <c r="A24" s="36" t="s">
        <v>106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>
      <c r="A25" s="36" t="s">
        <v>107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>
      <c r="A26" s="36" t="s">
        <v>108</v>
      </c>
      <c r="B26" s="37">
        <v>1000</v>
      </c>
      <c r="C26" s="42" t="s">
        <v>109</v>
      </c>
      <c r="D26" s="42" t="s">
        <v>109</v>
      </c>
      <c r="E26" s="42" t="s">
        <v>109</v>
      </c>
      <c r="F26" s="41">
        <v>555</v>
      </c>
      <c r="G26" s="41">
        <v>272</v>
      </c>
      <c r="H26" s="41">
        <v>65</v>
      </c>
    </row>
    <row r="27" spans="1:8">
      <c r="A27" s="36" t="s">
        <v>110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>
      <c r="A28" s="43" t="s">
        <v>111</v>
      </c>
      <c r="B28" s="43" t="s">
        <v>112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>
      <c r="A29" s="32" t="s">
        <v>113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>
      <c r="A30" s="43" t="s">
        <v>113</v>
      </c>
      <c r="B30" s="43" t="s">
        <v>112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>
      <c r="B32" s="47" t="s">
        <v>136</v>
      </c>
    </row>
    <row r="33" spans="1:4">
      <c r="A33" s="48" t="s">
        <v>122</v>
      </c>
      <c r="B33" s="49">
        <f>D6/AVERAGE(C6,E6)</f>
        <v>1.1589422803525733</v>
      </c>
      <c r="C33" s="49"/>
      <c r="D33" s="49"/>
    </row>
    <row r="34" spans="1:4">
      <c r="A34" s="48" t="s">
        <v>111</v>
      </c>
      <c r="B34" s="49">
        <f>D28/(AVERAGE(C28,E28))</f>
        <v>1.6941176470588235</v>
      </c>
      <c r="C34" s="49"/>
      <c r="D34" s="49"/>
    </row>
    <row r="35" spans="1:4">
      <c r="A35" s="48" t="s">
        <v>93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topLeftCell="A22" workbookViewId="0">
      <selection activeCell="B54" sqref="B54"/>
    </sheetView>
  </sheetViews>
  <sheetFormatPr defaultRowHeight="15"/>
  <cols>
    <col min="1" max="1" width="21.85546875" bestFit="1" customWidth="1"/>
    <col min="2" max="2" width="27.140625" style="23" customWidth="1"/>
  </cols>
  <sheetData>
    <row r="1" spans="1:36" s="23" customFormat="1">
      <c r="C1" s="23" t="s">
        <v>153</v>
      </c>
    </row>
    <row r="2" spans="1:36" s="23" customFormat="1">
      <c r="A2" s="23" t="s">
        <v>155</v>
      </c>
      <c r="B2" s="23" t="s">
        <v>154</v>
      </c>
      <c r="C2" s="23">
        <v>2017</v>
      </c>
      <c r="D2" s="23">
        <v>2018</v>
      </c>
      <c r="E2" s="23">
        <v>2019</v>
      </c>
      <c r="F2" s="23">
        <v>2020</v>
      </c>
      <c r="G2" s="23">
        <v>2021</v>
      </c>
      <c r="H2" s="23">
        <v>2022</v>
      </c>
      <c r="I2" s="23">
        <v>2023</v>
      </c>
      <c r="J2" s="23">
        <v>2024</v>
      </c>
      <c r="K2" s="23">
        <v>2025</v>
      </c>
      <c r="L2" s="23">
        <v>2026</v>
      </c>
      <c r="M2" s="23">
        <v>2027</v>
      </c>
      <c r="N2" s="23">
        <v>2028</v>
      </c>
      <c r="O2" s="23">
        <v>2029</v>
      </c>
      <c r="P2" s="23">
        <v>2030</v>
      </c>
      <c r="Q2" s="23">
        <v>2031</v>
      </c>
      <c r="R2" s="23">
        <v>2032</v>
      </c>
      <c r="S2" s="23">
        <v>2033</v>
      </c>
      <c r="T2" s="23">
        <v>2034</v>
      </c>
      <c r="U2" s="23">
        <v>2035</v>
      </c>
      <c r="V2" s="23">
        <v>2036</v>
      </c>
      <c r="W2" s="23">
        <v>2037</v>
      </c>
      <c r="X2" s="23">
        <v>2038</v>
      </c>
      <c r="Y2" s="23">
        <v>2039</v>
      </c>
      <c r="Z2" s="23">
        <v>2040</v>
      </c>
      <c r="AA2" s="23">
        <v>2041</v>
      </c>
      <c r="AB2" s="23">
        <v>2042</v>
      </c>
      <c r="AC2" s="23">
        <v>2043</v>
      </c>
      <c r="AD2" s="23">
        <v>2044</v>
      </c>
      <c r="AE2" s="23">
        <v>2045</v>
      </c>
      <c r="AF2" s="23">
        <v>2046</v>
      </c>
      <c r="AG2" s="23">
        <v>2047</v>
      </c>
      <c r="AH2" s="23">
        <v>2048</v>
      </c>
      <c r="AI2" s="23">
        <v>2049</v>
      </c>
      <c r="AJ2" s="23">
        <v>2050</v>
      </c>
    </row>
    <row r="3" spans="1:36">
      <c r="A3" t="s">
        <v>15</v>
      </c>
      <c r="B3" s="23" t="s">
        <v>202</v>
      </c>
      <c r="C3" s="53">
        <v>5179.5016296472777</v>
      </c>
      <c r="D3" s="53">
        <v>5146.4247038171907</v>
      </c>
      <c r="E3" s="53">
        <v>5113.3477779871037</v>
      </c>
      <c r="F3" s="53">
        <v>5080.2708521570175</v>
      </c>
      <c r="G3" s="53">
        <v>5047.1939263269305</v>
      </c>
      <c r="H3" s="53">
        <v>5014.1170004968435</v>
      </c>
      <c r="I3" s="53">
        <v>4981.0400746667574</v>
      </c>
      <c r="J3" s="53">
        <v>4950.3347055458862</v>
      </c>
      <c r="K3" s="53">
        <v>4940.0231541512985</v>
      </c>
      <c r="L3" s="53">
        <v>4927.7395933166836</v>
      </c>
      <c r="M3" s="53">
        <v>4912.8612602916446</v>
      </c>
      <c r="N3" s="53">
        <v>4892.8813792716446</v>
      </c>
      <c r="O3" s="53">
        <v>4862.7725260059642</v>
      </c>
      <c r="P3" s="53">
        <v>4840.5807781796411</v>
      </c>
      <c r="Q3" s="53">
        <v>4818.5186878339809</v>
      </c>
      <c r="R3" s="53">
        <v>4793.8218634477744</v>
      </c>
      <c r="S3" s="53">
        <v>4771.1367211563065</v>
      </c>
      <c r="T3" s="53">
        <v>4752.2023218792328</v>
      </c>
      <c r="U3" s="53">
        <v>4727.2868232515584</v>
      </c>
      <c r="V3" s="53">
        <v>4704.395721539986</v>
      </c>
      <c r="W3" s="53">
        <v>4680.3774232001588</v>
      </c>
      <c r="X3" s="53">
        <v>4658.934748640504</v>
      </c>
      <c r="Y3" s="53">
        <v>4635.0106343083889</v>
      </c>
      <c r="Z3" s="53">
        <v>4611.6745664807204</v>
      </c>
      <c r="AA3" s="53">
        <v>4593.083142629077</v>
      </c>
      <c r="AB3" s="53">
        <v>4564.1405626021142</v>
      </c>
      <c r="AC3" s="53">
        <v>4547.9134904102184</v>
      </c>
      <c r="AD3" s="53">
        <v>4519.9760921597126</v>
      </c>
      <c r="AE3" s="53">
        <v>4502.7191356786698</v>
      </c>
      <c r="AF3" s="53">
        <v>4476.5660242020267</v>
      </c>
      <c r="AG3" s="53">
        <v>4454.5913134739239</v>
      </c>
      <c r="AH3" s="53">
        <v>4432.543136439037</v>
      </c>
      <c r="AI3" s="53">
        <v>4410.0974711849458</v>
      </c>
      <c r="AJ3" s="53">
        <v>4353.8331693374803</v>
      </c>
    </row>
    <row r="4" spans="1:36">
      <c r="A4" t="s">
        <v>33</v>
      </c>
      <c r="B4" s="23" t="s">
        <v>203</v>
      </c>
      <c r="C4" s="53">
        <v>906.43752501948961</v>
      </c>
      <c r="D4" s="53">
        <v>899.9978810447127</v>
      </c>
      <c r="E4" s="53">
        <v>893.55823706993579</v>
      </c>
      <c r="F4" s="53">
        <v>887.11859309515887</v>
      </c>
      <c r="G4" s="53">
        <v>880.67894912038184</v>
      </c>
      <c r="H4" s="53">
        <v>874.23930514560493</v>
      </c>
      <c r="I4" s="53">
        <v>860.99336799720379</v>
      </c>
      <c r="J4" s="53">
        <v>854.32854041412975</v>
      </c>
      <c r="K4" s="53">
        <v>851.00108847467982</v>
      </c>
      <c r="L4" s="53">
        <v>847.60525252981984</v>
      </c>
      <c r="M4" s="53">
        <v>844.02613311296204</v>
      </c>
      <c r="N4" s="53">
        <v>840.96381691481633</v>
      </c>
      <c r="O4" s="53">
        <v>836.18321619224696</v>
      </c>
      <c r="P4" s="53">
        <v>833.47037802782177</v>
      </c>
      <c r="Q4" s="53">
        <v>830.95397758344177</v>
      </c>
      <c r="R4" s="53">
        <v>827.5465800056603</v>
      </c>
      <c r="S4" s="53">
        <v>824.86769757513628</v>
      </c>
      <c r="T4" s="53">
        <v>822.55802561149642</v>
      </c>
      <c r="U4" s="53">
        <v>819.5665929739622</v>
      </c>
      <c r="V4" s="53">
        <v>816.71372174727787</v>
      </c>
      <c r="W4" s="53">
        <v>814.10774143657648</v>
      </c>
      <c r="X4" s="53">
        <v>812.37134151922521</v>
      </c>
      <c r="Y4" s="53">
        <v>810.20193810709952</v>
      </c>
      <c r="Z4" s="53">
        <v>808.13438960250664</v>
      </c>
      <c r="AA4" s="53">
        <v>806.89975506248322</v>
      </c>
      <c r="AB4" s="53">
        <v>803.84551348762341</v>
      </c>
      <c r="AC4" s="53">
        <v>803.0307430030623</v>
      </c>
      <c r="AD4" s="53">
        <v>800.14869900307053</v>
      </c>
      <c r="AE4" s="53">
        <v>799.15723982955649</v>
      </c>
      <c r="AF4" s="53">
        <v>796.58781975182876</v>
      </c>
      <c r="AG4" s="53">
        <v>794.76048032511164</v>
      </c>
      <c r="AH4" s="53">
        <v>792.92033252427757</v>
      </c>
      <c r="AI4" s="53">
        <v>791.00954777913921</v>
      </c>
      <c r="AJ4" s="53">
        <v>783.01670075636775</v>
      </c>
    </row>
    <row r="5" spans="1:36">
      <c r="A5" t="s">
        <v>17</v>
      </c>
      <c r="B5" s="23" t="s">
        <v>156</v>
      </c>
      <c r="C5" s="53">
        <v>6044.2528846388041</v>
      </c>
      <c r="D5" s="53">
        <v>5950.7850565258332</v>
      </c>
      <c r="E5" s="53">
        <v>5857.3172284128623</v>
      </c>
      <c r="F5" s="53">
        <v>5763.8494002998914</v>
      </c>
      <c r="G5" s="53">
        <v>5670.3815721869196</v>
      </c>
      <c r="H5" s="53">
        <v>5576.9137440739496</v>
      </c>
      <c r="I5" s="53">
        <v>5483.4459159609778</v>
      </c>
      <c r="J5" s="53">
        <v>5389.978087848006</v>
      </c>
      <c r="K5" s="53">
        <v>5296.5102597350342</v>
      </c>
      <c r="L5" s="53">
        <v>5203.0424316220642</v>
      </c>
      <c r="M5" s="53">
        <v>5109.5746035090924</v>
      </c>
      <c r="N5" s="53">
        <v>5016.1067753961215</v>
      </c>
      <c r="O5" s="53">
        <v>4922.6389472831497</v>
      </c>
      <c r="P5" s="53">
        <v>4829.1711191701788</v>
      </c>
      <c r="Q5" s="53">
        <v>4735.7032910572079</v>
      </c>
      <c r="R5" s="53">
        <v>4642.2354629442361</v>
      </c>
      <c r="S5" s="53">
        <v>4548.7676348312662</v>
      </c>
      <c r="T5" s="53">
        <v>4455.2998067182953</v>
      </c>
      <c r="U5" s="53">
        <v>4361.8319786053225</v>
      </c>
      <c r="V5" s="53">
        <v>4339.8151124276001</v>
      </c>
      <c r="W5" s="53">
        <v>4317.7982462498794</v>
      </c>
      <c r="X5" s="53">
        <v>4295.7813800721569</v>
      </c>
      <c r="Y5" s="53">
        <v>4273.7645138944345</v>
      </c>
      <c r="Z5" s="53">
        <v>4251.7476477167129</v>
      </c>
      <c r="AA5" s="53">
        <v>4229.7307815389904</v>
      </c>
      <c r="AB5" s="53">
        <v>4207.7139153612688</v>
      </c>
      <c r="AC5" s="53">
        <v>4185.6970491835464</v>
      </c>
      <c r="AD5" s="53">
        <v>4163.6801830058248</v>
      </c>
      <c r="AE5" s="53">
        <v>4141.6633168281023</v>
      </c>
      <c r="AF5" s="53">
        <v>4119.6464506503798</v>
      </c>
      <c r="AG5" s="53">
        <v>4097.6295844726574</v>
      </c>
      <c r="AH5" s="53">
        <v>4075.6127182949353</v>
      </c>
      <c r="AI5" s="53">
        <v>4053.5958521172138</v>
      </c>
      <c r="AJ5" s="53">
        <v>4031.5789859394913</v>
      </c>
    </row>
    <row r="6" spans="1:36">
      <c r="A6" s="23" t="s">
        <v>17</v>
      </c>
      <c r="B6" s="23" t="s">
        <v>157</v>
      </c>
      <c r="C6" s="53">
        <v>5501.4276276478286</v>
      </c>
      <c r="D6" s="53">
        <v>5416.3540045398731</v>
      </c>
      <c r="E6" s="53">
        <v>5331.2803814319159</v>
      </c>
      <c r="F6" s="53">
        <v>5246.2067583239623</v>
      </c>
      <c r="G6" s="53">
        <v>5161.1331352160041</v>
      </c>
      <c r="H6" s="53">
        <v>5076.0595121080496</v>
      </c>
      <c r="I6" s="53">
        <v>4990.9858890000933</v>
      </c>
      <c r="J6" s="53">
        <v>4905.9122658921369</v>
      </c>
      <c r="K6" s="53">
        <v>4820.8386427841797</v>
      </c>
      <c r="L6" s="53">
        <v>4735.7650196762243</v>
      </c>
      <c r="M6" s="53">
        <v>4650.6913965682679</v>
      </c>
      <c r="N6" s="53">
        <v>4565.6177734603107</v>
      </c>
      <c r="O6" s="53">
        <v>4480.5441503523552</v>
      </c>
      <c r="P6" s="53">
        <v>4395.470527244398</v>
      </c>
      <c r="Q6" s="53">
        <v>4310.3969041364426</v>
      </c>
      <c r="R6" s="53">
        <v>4225.3232810284871</v>
      </c>
      <c r="S6" s="53">
        <v>4140.2496579205308</v>
      </c>
      <c r="T6" s="53">
        <v>4055.1760348125754</v>
      </c>
      <c r="U6" s="53">
        <v>3970.1024117046186</v>
      </c>
      <c r="V6" s="53">
        <v>3950.0628471503005</v>
      </c>
      <c r="W6" s="53">
        <v>3930.0232825959815</v>
      </c>
      <c r="X6" s="53">
        <v>3909.9837180416639</v>
      </c>
      <c r="Y6" s="53">
        <v>3889.9441534873445</v>
      </c>
      <c r="Z6" s="53">
        <v>3869.9045889330264</v>
      </c>
      <c r="AA6" s="53">
        <v>3849.8650243787074</v>
      </c>
      <c r="AB6" s="53">
        <v>3829.8254598243893</v>
      </c>
      <c r="AC6" s="53">
        <v>3809.7858952700694</v>
      </c>
      <c r="AD6" s="53">
        <v>3789.7463307157523</v>
      </c>
      <c r="AE6" s="53">
        <v>3769.7067661614337</v>
      </c>
      <c r="AF6" s="53">
        <v>3749.6672016071147</v>
      </c>
      <c r="AG6" s="53">
        <v>3729.6276370527967</v>
      </c>
      <c r="AH6" s="53">
        <v>3709.5880724984777</v>
      </c>
      <c r="AI6" s="53">
        <v>3689.5485079441601</v>
      </c>
      <c r="AJ6" s="53">
        <v>3669.5089433898406</v>
      </c>
    </row>
    <row r="7" spans="1:36">
      <c r="A7" s="23" t="s">
        <v>17</v>
      </c>
      <c r="B7" s="23" t="s">
        <v>158</v>
      </c>
      <c r="C7" s="53">
        <v>4068.8324979159847</v>
      </c>
      <c r="D7" s="53">
        <v>4016.6679787119342</v>
      </c>
      <c r="E7" s="53">
        <v>3964.5034595078828</v>
      </c>
      <c r="F7" s="53">
        <v>3912.3389403038323</v>
      </c>
      <c r="G7" s="53">
        <v>3860.1744210997813</v>
      </c>
      <c r="H7" s="53">
        <v>3808.0099018957303</v>
      </c>
      <c r="I7" s="53">
        <v>3755.8453826916789</v>
      </c>
      <c r="J7" s="53">
        <v>3703.6808634876274</v>
      </c>
      <c r="K7" s="53">
        <v>3651.5163442835769</v>
      </c>
      <c r="L7" s="53">
        <v>3599.3518250795255</v>
      </c>
      <c r="M7" s="53">
        <v>3547.1873058754745</v>
      </c>
      <c r="N7" s="53">
        <v>3495.0227866714235</v>
      </c>
      <c r="O7" s="53">
        <v>3442.8582674673717</v>
      </c>
      <c r="P7" s="53">
        <v>3390.6937482633207</v>
      </c>
      <c r="Q7" s="53">
        <v>3338.5292290592702</v>
      </c>
      <c r="R7" s="53">
        <v>3286.3647098552187</v>
      </c>
      <c r="S7" s="53">
        <v>3234.2001906511682</v>
      </c>
      <c r="T7" s="53">
        <v>3182.0356714471168</v>
      </c>
      <c r="U7" s="53">
        <v>3129.8711522430658</v>
      </c>
      <c r="V7" s="53">
        <v>3108.4489230232689</v>
      </c>
      <c r="W7" s="53">
        <v>3087.0266938034715</v>
      </c>
      <c r="X7" s="53">
        <v>3065.6044645836746</v>
      </c>
      <c r="Y7" s="53">
        <v>3044.1822353638777</v>
      </c>
      <c r="Z7" s="53">
        <v>3022.7600061440808</v>
      </c>
      <c r="AA7" s="53">
        <v>3001.3377769242843</v>
      </c>
      <c r="AB7" s="53">
        <v>2979.9155477044865</v>
      </c>
      <c r="AC7" s="53">
        <v>2958.4933184846896</v>
      </c>
      <c r="AD7" s="53">
        <v>2937.0710892648926</v>
      </c>
      <c r="AE7" s="53">
        <v>2915.6488600450953</v>
      </c>
      <c r="AF7" s="53">
        <v>2894.2266308252993</v>
      </c>
      <c r="AG7" s="53">
        <v>2872.8044016055014</v>
      </c>
      <c r="AH7" s="53">
        <v>2851.382172385705</v>
      </c>
      <c r="AI7" s="53">
        <v>2829.9599431659076</v>
      </c>
      <c r="AJ7" s="53">
        <v>2808.5377139461107</v>
      </c>
    </row>
    <row r="8" spans="1:36">
      <c r="A8" s="23" t="s">
        <v>17</v>
      </c>
      <c r="B8" s="23" t="s">
        <v>159</v>
      </c>
      <c r="C8" s="53">
        <v>3836.1961011946664</v>
      </c>
      <c r="D8" s="53">
        <v>3787.0140998972993</v>
      </c>
      <c r="E8" s="53">
        <v>3737.8320985999312</v>
      </c>
      <c r="F8" s="53">
        <v>3688.6500973025641</v>
      </c>
      <c r="G8" s="53">
        <v>3639.4680960051969</v>
      </c>
      <c r="H8" s="53">
        <v>3590.2860947078289</v>
      </c>
      <c r="I8" s="53">
        <v>3541.1040934104612</v>
      </c>
      <c r="J8" s="53">
        <v>3491.9220921130936</v>
      </c>
      <c r="K8" s="53">
        <v>3442.7400908157265</v>
      </c>
      <c r="L8" s="53">
        <v>3393.5580895183593</v>
      </c>
      <c r="M8" s="53">
        <v>3344.3760882209917</v>
      </c>
      <c r="N8" s="53">
        <v>3295.1940869236241</v>
      </c>
      <c r="O8" s="53">
        <v>3246.0120856262565</v>
      </c>
      <c r="P8" s="53">
        <v>3196.8300843288894</v>
      </c>
      <c r="Q8" s="53">
        <v>3147.6480830315218</v>
      </c>
      <c r="R8" s="53">
        <v>3098.4660817341537</v>
      </c>
      <c r="S8" s="53">
        <v>3049.2840804367866</v>
      </c>
      <c r="T8" s="53">
        <v>3000.1020791394194</v>
      </c>
      <c r="U8" s="53">
        <v>2950.9200778420518</v>
      </c>
      <c r="V8" s="53">
        <v>2930.7226693092657</v>
      </c>
      <c r="W8" s="53">
        <v>2910.5252607764805</v>
      </c>
      <c r="X8" s="53">
        <v>2890.3278522436945</v>
      </c>
      <c r="Y8" s="53">
        <v>2870.1304437109093</v>
      </c>
      <c r="Z8" s="53">
        <v>2849.9330351781241</v>
      </c>
      <c r="AA8" s="53">
        <v>2829.7356266453385</v>
      </c>
      <c r="AB8" s="53">
        <v>2809.5382181125524</v>
      </c>
      <c r="AC8" s="53">
        <v>2789.3408095797668</v>
      </c>
      <c r="AD8" s="53">
        <v>2769.1434010469807</v>
      </c>
      <c r="AE8" s="53">
        <v>2748.945992514196</v>
      </c>
      <c r="AF8" s="53">
        <v>2728.7485839814099</v>
      </c>
      <c r="AG8" s="53">
        <v>2708.5511754486242</v>
      </c>
      <c r="AH8" s="53">
        <v>2688.3537669158386</v>
      </c>
      <c r="AI8" s="53">
        <v>2668.156358383053</v>
      </c>
      <c r="AJ8" s="53">
        <v>2647.9589498502673</v>
      </c>
    </row>
    <row r="9" spans="1:36">
      <c r="A9" s="23" t="s">
        <v>17</v>
      </c>
      <c r="B9" s="23" t="s">
        <v>160</v>
      </c>
      <c r="C9" s="53">
        <v>7123.1024412096613</v>
      </c>
      <c r="D9" s="53">
        <v>7012.9513725311608</v>
      </c>
      <c r="E9" s="53">
        <v>6902.8003038526613</v>
      </c>
      <c r="F9" s="53">
        <v>6792.6492351741608</v>
      </c>
      <c r="G9" s="53">
        <v>6682.4981664956613</v>
      </c>
      <c r="H9" s="53">
        <v>6572.3470978171626</v>
      </c>
      <c r="I9" s="53">
        <v>6462.1960291386622</v>
      </c>
      <c r="J9" s="53">
        <v>6352.0449604601617</v>
      </c>
      <c r="K9" s="53">
        <v>6241.8938917816631</v>
      </c>
      <c r="L9" s="53">
        <v>6131.7428231031608</v>
      </c>
      <c r="M9" s="53">
        <v>6021.5917544246613</v>
      </c>
      <c r="N9" s="53">
        <v>5911.4406857461618</v>
      </c>
      <c r="O9" s="53">
        <v>5801.2896170676622</v>
      </c>
      <c r="P9" s="53">
        <v>5691.1385483891618</v>
      </c>
      <c r="Q9" s="53">
        <v>5580.987479710664</v>
      </c>
      <c r="R9" s="53">
        <v>5470.8364110321618</v>
      </c>
      <c r="S9" s="53">
        <v>5360.6853423536622</v>
      </c>
      <c r="T9" s="53">
        <v>5250.5342736751627</v>
      </c>
      <c r="U9" s="53">
        <v>5140.3832049966613</v>
      </c>
      <c r="V9" s="53">
        <v>5114.4365088190598</v>
      </c>
      <c r="W9" s="53">
        <v>5088.4898126414591</v>
      </c>
      <c r="X9" s="53">
        <v>5062.5431164638567</v>
      </c>
      <c r="Y9" s="53">
        <v>5036.5964202862533</v>
      </c>
      <c r="Z9" s="53">
        <v>5010.6497241086527</v>
      </c>
      <c r="AA9" s="53">
        <v>4984.7030279310493</v>
      </c>
      <c r="AB9" s="53">
        <v>4958.7563317534468</v>
      </c>
      <c r="AC9" s="53">
        <v>4932.8096355758435</v>
      </c>
      <c r="AD9" s="53">
        <v>4906.8629393982437</v>
      </c>
      <c r="AE9" s="53">
        <v>4880.9162432206404</v>
      </c>
      <c r="AF9" s="53">
        <v>4854.9695470430379</v>
      </c>
      <c r="AG9" s="53">
        <v>4829.0228508654363</v>
      </c>
      <c r="AH9" s="53">
        <v>4803.0761546878348</v>
      </c>
      <c r="AI9" s="53">
        <v>4777.1294585102314</v>
      </c>
      <c r="AJ9" s="53">
        <v>4751.1827623326308</v>
      </c>
    </row>
    <row r="10" spans="1:36">
      <c r="A10" s="23" t="s">
        <v>17</v>
      </c>
      <c r="B10" s="23" t="s">
        <v>161</v>
      </c>
      <c r="C10" s="53">
        <v>6358.970494457717</v>
      </c>
      <c r="D10" s="53">
        <v>6260.6358991825973</v>
      </c>
      <c r="E10" s="53">
        <v>6162.3013039074776</v>
      </c>
      <c r="F10" s="53">
        <v>6063.9667086323589</v>
      </c>
      <c r="G10" s="53">
        <v>5965.6321133572392</v>
      </c>
      <c r="H10" s="53">
        <v>5867.2975180821204</v>
      </c>
      <c r="I10" s="53">
        <v>5768.9629228070007</v>
      </c>
      <c r="J10" s="53">
        <v>5670.628327531882</v>
      </c>
      <c r="K10" s="53">
        <v>5572.2937322567623</v>
      </c>
      <c r="L10" s="53">
        <v>5473.9591369816426</v>
      </c>
      <c r="M10" s="53">
        <v>5375.6245417065229</v>
      </c>
      <c r="N10" s="53">
        <v>5277.2899464314032</v>
      </c>
      <c r="O10" s="53">
        <v>5178.9553511562845</v>
      </c>
      <c r="P10" s="53">
        <v>5080.6207558811639</v>
      </c>
      <c r="Q10" s="53">
        <v>4982.2861606060469</v>
      </c>
      <c r="R10" s="53">
        <v>4883.9515653309254</v>
      </c>
      <c r="S10" s="53">
        <v>4785.6169700558075</v>
      </c>
      <c r="T10" s="53">
        <v>4687.2823747806888</v>
      </c>
      <c r="U10" s="53">
        <v>4588.9477795055682</v>
      </c>
      <c r="V10" s="53">
        <v>4565.7845192852083</v>
      </c>
      <c r="W10" s="53">
        <v>4542.6212590648456</v>
      </c>
      <c r="X10" s="53">
        <v>4519.4579988444857</v>
      </c>
      <c r="Y10" s="53">
        <v>4496.2947386241221</v>
      </c>
      <c r="Z10" s="53">
        <v>4473.1314784037613</v>
      </c>
      <c r="AA10" s="53">
        <v>4449.9682181834005</v>
      </c>
      <c r="AB10" s="53">
        <v>4426.8049579630388</v>
      </c>
      <c r="AC10" s="53">
        <v>4403.6416977426779</v>
      </c>
      <c r="AD10" s="53">
        <v>4380.4784375223162</v>
      </c>
      <c r="AE10" s="53">
        <v>4357.3151773019545</v>
      </c>
      <c r="AF10" s="53">
        <v>4334.1519170815927</v>
      </c>
      <c r="AG10" s="53">
        <v>4310.988656861231</v>
      </c>
      <c r="AH10" s="53">
        <v>4287.8253966408702</v>
      </c>
      <c r="AI10" s="53">
        <v>4264.6621364205084</v>
      </c>
      <c r="AJ10" s="53">
        <v>4241.4988762001476</v>
      </c>
    </row>
    <row r="11" spans="1:36">
      <c r="A11" s="23" t="s">
        <v>17</v>
      </c>
      <c r="B11" s="23" t="s">
        <v>162</v>
      </c>
      <c r="C11" s="53">
        <v>6228.2456569988753</v>
      </c>
      <c r="D11" s="53">
        <v>6131.9325798287882</v>
      </c>
      <c r="E11" s="53">
        <v>6035.6195026587038</v>
      </c>
      <c r="F11" s="53">
        <v>5939.3064254886176</v>
      </c>
      <c r="G11" s="53">
        <v>5842.9933483185314</v>
      </c>
      <c r="H11" s="53">
        <v>5746.6802711484479</v>
      </c>
      <c r="I11" s="53">
        <v>5650.3671939783608</v>
      </c>
      <c r="J11" s="53">
        <v>5554.0541168082746</v>
      </c>
      <c r="K11" s="53">
        <v>5457.7410396381902</v>
      </c>
      <c r="L11" s="53">
        <v>5361.4279624681039</v>
      </c>
      <c r="M11" s="53">
        <v>5265.1148852980177</v>
      </c>
      <c r="N11" s="53">
        <v>5168.8018081279324</v>
      </c>
      <c r="O11" s="53">
        <v>5072.4887309578444</v>
      </c>
      <c r="P11" s="53">
        <v>4976.1756537877609</v>
      </c>
      <c r="Q11" s="53">
        <v>4879.8625766176765</v>
      </c>
      <c r="R11" s="53">
        <v>4783.5494994475876</v>
      </c>
      <c r="S11" s="53">
        <v>4687.2364222775041</v>
      </c>
      <c r="T11" s="53">
        <v>4590.9233451074188</v>
      </c>
      <c r="U11" s="53">
        <v>4494.6102679373325</v>
      </c>
      <c r="V11" s="53">
        <v>4471.9231875372679</v>
      </c>
      <c r="W11" s="53">
        <v>4449.2361071372034</v>
      </c>
      <c r="X11" s="53">
        <v>4426.5490267371379</v>
      </c>
      <c r="Y11" s="53">
        <v>4403.8619463370733</v>
      </c>
      <c r="Z11" s="53">
        <v>4381.1748659370096</v>
      </c>
      <c r="AA11" s="53">
        <v>4358.487785536945</v>
      </c>
      <c r="AB11" s="53">
        <v>4335.8007051368795</v>
      </c>
      <c r="AC11" s="53">
        <v>4313.1136247368158</v>
      </c>
      <c r="AD11" s="53">
        <v>4290.4265443367522</v>
      </c>
      <c r="AE11" s="53">
        <v>4267.7394639366858</v>
      </c>
      <c r="AF11" s="53">
        <v>4245.0523835366212</v>
      </c>
      <c r="AG11" s="53">
        <v>4222.3653031365566</v>
      </c>
      <c r="AH11" s="53">
        <v>4199.6782227364929</v>
      </c>
      <c r="AI11" s="53">
        <v>4176.9911423364283</v>
      </c>
      <c r="AJ11" s="53">
        <v>4154.3040619363628</v>
      </c>
    </row>
    <row r="12" spans="1:36">
      <c r="A12" s="23" t="s">
        <v>17</v>
      </c>
      <c r="B12" s="23" t="s">
        <v>163</v>
      </c>
      <c r="C12" s="53">
        <v>5606.8362940961097</v>
      </c>
      <c r="D12" s="53">
        <v>5520.1326400636963</v>
      </c>
      <c r="E12" s="53">
        <v>5433.4289860312811</v>
      </c>
      <c r="F12" s="53">
        <v>5346.7253319988686</v>
      </c>
      <c r="G12" s="53">
        <v>5260.0216779664524</v>
      </c>
      <c r="H12" s="53">
        <v>5173.31802393404</v>
      </c>
      <c r="I12" s="53">
        <v>5086.6143699016266</v>
      </c>
      <c r="J12" s="53">
        <v>4999.9107158692123</v>
      </c>
      <c r="K12" s="53">
        <v>4913.2070618367979</v>
      </c>
      <c r="L12" s="53">
        <v>4826.5034078043836</v>
      </c>
      <c r="M12" s="53">
        <v>4739.7997537719693</v>
      </c>
      <c r="N12" s="53">
        <v>4653.096099739555</v>
      </c>
      <c r="O12" s="53">
        <v>4566.3924457071407</v>
      </c>
      <c r="P12" s="53">
        <v>4479.6887916747273</v>
      </c>
      <c r="Q12" s="53">
        <v>4392.985137642313</v>
      </c>
      <c r="R12" s="53">
        <v>4306.2814836098987</v>
      </c>
      <c r="S12" s="53">
        <v>4219.5778295774844</v>
      </c>
      <c r="T12" s="53">
        <v>4132.874175545071</v>
      </c>
      <c r="U12" s="53">
        <v>4046.1705215126567</v>
      </c>
      <c r="V12" s="53">
        <v>4025.7469941183549</v>
      </c>
      <c r="W12" s="53">
        <v>4005.3234667240531</v>
      </c>
      <c r="X12" s="53">
        <v>3984.8999393297509</v>
      </c>
      <c r="Y12" s="53">
        <v>3964.4764119354486</v>
      </c>
      <c r="Z12" s="53">
        <v>3944.0528845411477</v>
      </c>
      <c r="AA12" s="53">
        <v>3923.6293571468455</v>
      </c>
      <c r="AB12" s="53">
        <v>3903.2058297525432</v>
      </c>
      <c r="AC12" s="53">
        <v>3882.7823023582414</v>
      </c>
      <c r="AD12" s="53">
        <v>3862.3587749639391</v>
      </c>
      <c r="AE12" s="53">
        <v>3841.9352475696369</v>
      </c>
      <c r="AF12" s="53">
        <v>3821.5117201753346</v>
      </c>
      <c r="AG12" s="53">
        <v>3801.0881927810333</v>
      </c>
      <c r="AH12" s="53">
        <v>3780.6646653867315</v>
      </c>
      <c r="AI12" s="53">
        <v>3760.2411379924297</v>
      </c>
      <c r="AJ12" s="53">
        <v>3739.8176105981274</v>
      </c>
    </row>
    <row r="13" spans="1:36">
      <c r="A13" t="s">
        <v>16</v>
      </c>
      <c r="B13" s="23" t="s">
        <v>164</v>
      </c>
      <c r="C13" s="53">
        <v>6199.7160723985862</v>
      </c>
      <c r="D13" s="53">
        <v>6156.2998527761147</v>
      </c>
      <c r="E13" s="53">
        <v>6112.8836331536431</v>
      </c>
      <c r="F13" s="53">
        <v>6069.4674135311716</v>
      </c>
      <c r="G13" s="53">
        <v>6026.0511939087</v>
      </c>
      <c r="H13" s="53">
        <v>5982.6349742862285</v>
      </c>
      <c r="I13" s="53">
        <v>5939.218754663757</v>
      </c>
      <c r="J13" s="53">
        <v>5898.6456267696049</v>
      </c>
      <c r="K13" s="53">
        <v>5882.369136685691</v>
      </c>
      <c r="L13" s="53">
        <v>5863.7262046761452</v>
      </c>
      <c r="M13" s="53">
        <v>5841.980995648697</v>
      </c>
      <c r="N13" s="53">
        <v>5814.1618838725399</v>
      </c>
      <c r="O13" s="53">
        <v>5774.3104348779825</v>
      </c>
      <c r="P13" s="53">
        <v>5743.8661676782449</v>
      </c>
      <c r="Q13" s="53">
        <v>5713.5743163166435</v>
      </c>
      <c r="R13" s="53">
        <v>5680.159684487292</v>
      </c>
      <c r="S13" s="53">
        <v>5649.1311227771384</v>
      </c>
      <c r="T13" s="53">
        <v>5622.5402079493097</v>
      </c>
      <c r="U13" s="53">
        <v>5588.8720393278809</v>
      </c>
      <c r="V13" s="53">
        <v>5557.599146579646</v>
      </c>
      <c r="W13" s="53">
        <v>5524.9967432423746</v>
      </c>
      <c r="X13" s="53">
        <v>5495.4364697146502</v>
      </c>
      <c r="Y13" s="53">
        <v>5462.9474499296921</v>
      </c>
      <c r="Z13" s="53">
        <v>5431.1537101247441</v>
      </c>
      <c r="AA13" s="53">
        <v>5404.9445725922424</v>
      </c>
      <c r="AB13" s="53">
        <v>5366.5580403780277</v>
      </c>
      <c r="AC13" s="53">
        <v>5343.1218886338529</v>
      </c>
      <c r="AD13" s="53">
        <v>5305.9263805951268</v>
      </c>
      <c r="AE13" s="53">
        <v>5281.2687442243423</v>
      </c>
      <c r="AF13" s="53">
        <v>5246.1766962845822</v>
      </c>
      <c r="AG13" s="53">
        <v>5215.984240456145</v>
      </c>
      <c r="AH13" s="53">
        <v>5185.7023754389538</v>
      </c>
      <c r="AI13" s="53">
        <v>5154.9561096009847</v>
      </c>
      <c r="AJ13" s="53">
        <v>5084.7140296440666</v>
      </c>
    </row>
    <row r="14" spans="1:36">
      <c r="A14" t="s">
        <v>19</v>
      </c>
      <c r="B14" s="23" t="s">
        <v>165</v>
      </c>
      <c r="C14" s="53">
        <v>7561.0934235746954</v>
      </c>
      <c r="D14" s="53">
        <v>7248.1327188812375</v>
      </c>
      <c r="E14" s="53">
        <v>6935.1720141877795</v>
      </c>
      <c r="F14" s="53">
        <v>6622.2113094943188</v>
      </c>
      <c r="G14" s="53">
        <v>6309.2506048008618</v>
      </c>
      <c r="H14" s="53">
        <v>5938.8968008746551</v>
      </c>
      <c r="I14" s="53">
        <v>5621.4404660012688</v>
      </c>
      <c r="J14" s="53">
        <v>5275.1186990900733</v>
      </c>
      <c r="K14" s="53">
        <v>4928.7969321788796</v>
      </c>
      <c r="L14" s="53">
        <v>4582.475165267686</v>
      </c>
      <c r="M14" s="53">
        <v>4236.1533983564914</v>
      </c>
      <c r="N14" s="53">
        <v>3889.8316314452964</v>
      </c>
      <c r="O14" s="53">
        <v>3543.5098645341022</v>
      </c>
      <c r="P14" s="53">
        <v>3197.1880976229099</v>
      </c>
      <c r="Q14" s="53">
        <v>3165.3956506725681</v>
      </c>
      <c r="R14" s="53">
        <v>3133.6032037222253</v>
      </c>
      <c r="S14" s="53">
        <v>3101.8107567718839</v>
      </c>
      <c r="T14" s="53">
        <v>3070.0183098215412</v>
      </c>
      <c r="U14" s="53">
        <v>3038.2258628711993</v>
      </c>
      <c r="V14" s="53">
        <v>3006.433415920857</v>
      </c>
      <c r="W14" s="53">
        <v>2974.6409689705156</v>
      </c>
      <c r="X14" s="53">
        <v>2942.8485220201733</v>
      </c>
      <c r="Y14" s="53">
        <v>2911.0560750698305</v>
      </c>
      <c r="Z14" s="53">
        <v>2879.2636281194891</v>
      </c>
      <c r="AA14" s="53">
        <v>2847.4711811691463</v>
      </c>
      <c r="AB14" s="53">
        <v>2815.678734218804</v>
      </c>
      <c r="AC14" s="53">
        <v>2783.8862872684622</v>
      </c>
      <c r="AD14" s="53">
        <v>2752.0938403181203</v>
      </c>
      <c r="AE14" s="53">
        <v>2720.3013933677776</v>
      </c>
      <c r="AF14" s="53">
        <v>2688.5089464174362</v>
      </c>
      <c r="AG14" s="53">
        <v>2656.7164994670934</v>
      </c>
      <c r="AH14" s="53">
        <v>2624.9240525167511</v>
      </c>
      <c r="AI14" s="53">
        <v>2593.1316055664092</v>
      </c>
      <c r="AJ14" s="53">
        <v>2561.3391586160678</v>
      </c>
    </row>
    <row r="15" spans="1:36">
      <c r="A15" s="23" t="s">
        <v>19</v>
      </c>
      <c r="B15" s="23" t="s">
        <v>166</v>
      </c>
      <c r="C15" s="53">
        <v>7561.0934235746954</v>
      </c>
      <c r="D15" s="53">
        <v>7248.1327188812375</v>
      </c>
      <c r="E15" s="53">
        <v>6935.1720141877795</v>
      </c>
      <c r="F15" s="53">
        <v>6622.2113094943188</v>
      </c>
      <c r="G15" s="53">
        <v>6309.2506048008618</v>
      </c>
      <c r="H15" s="53">
        <v>5938.8968008746551</v>
      </c>
      <c r="I15" s="53">
        <v>5621.4404660012688</v>
      </c>
      <c r="J15" s="53">
        <v>5275.1186990900733</v>
      </c>
      <c r="K15" s="53">
        <v>4928.7969321788796</v>
      </c>
      <c r="L15" s="53">
        <v>4582.475165267686</v>
      </c>
      <c r="M15" s="53">
        <v>4236.1533983564914</v>
      </c>
      <c r="N15" s="53">
        <v>3889.8316314452964</v>
      </c>
      <c r="O15" s="53">
        <v>3543.5098645341022</v>
      </c>
      <c r="P15" s="53">
        <v>3197.1880976229099</v>
      </c>
      <c r="Q15" s="53">
        <v>3165.3956506725681</v>
      </c>
      <c r="R15" s="53">
        <v>3133.6032037222253</v>
      </c>
      <c r="S15" s="53">
        <v>3101.8107567718839</v>
      </c>
      <c r="T15" s="53">
        <v>3070.0183098215412</v>
      </c>
      <c r="U15" s="53">
        <v>3038.2258628711993</v>
      </c>
      <c r="V15" s="53">
        <v>3006.433415920857</v>
      </c>
      <c r="W15" s="53">
        <v>2974.6409689705156</v>
      </c>
      <c r="X15" s="53">
        <v>2942.8485220201733</v>
      </c>
      <c r="Y15" s="53">
        <v>2911.0560750698305</v>
      </c>
      <c r="Z15" s="53">
        <v>2879.2636281194891</v>
      </c>
      <c r="AA15" s="53">
        <v>2847.4711811691463</v>
      </c>
      <c r="AB15" s="53">
        <v>2815.678734218804</v>
      </c>
      <c r="AC15" s="53">
        <v>2783.8862872684622</v>
      </c>
      <c r="AD15" s="53">
        <v>2752.0938403181203</v>
      </c>
      <c r="AE15" s="53">
        <v>2720.3013933677776</v>
      </c>
      <c r="AF15" s="53">
        <v>2688.5089464174362</v>
      </c>
      <c r="AG15" s="53">
        <v>2656.7164994670934</v>
      </c>
      <c r="AH15" s="53">
        <v>2624.9240525167511</v>
      </c>
      <c r="AI15" s="53">
        <v>2593.1316055664092</v>
      </c>
      <c r="AJ15" s="53">
        <v>2561.3391586160678</v>
      </c>
    </row>
    <row r="16" spans="1:36">
      <c r="A16" s="23" t="s">
        <v>19</v>
      </c>
      <c r="B16" s="23" t="s">
        <v>167</v>
      </c>
      <c r="C16" s="53">
        <v>7561.0934235746954</v>
      </c>
      <c r="D16" s="53">
        <v>7248.1327188812375</v>
      </c>
      <c r="E16" s="53">
        <v>6935.1720141877795</v>
      </c>
      <c r="F16" s="53">
        <v>6622.2113094943188</v>
      </c>
      <c r="G16" s="53">
        <v>6309.2506048008618</v>
      </c>
      <c r="H16" s="53">
        <v>5938.8968008746551</v>
      </c>
      <c r="I16" s="53">
        <v>5621.4404660012688</v>
      </c>
      <c r="J16" s="53">
        <v>5275.1186990900733</v>
      </c>
      <c r="K16" s="53">
        <v>4928.7969321788796</v>
      </c>
      <c r="L16" s="53">
        <v>4582.475165267686</v>
      </c>
      <c r="M16" s="53">
        <v>4236.1533983564914</v>
      </c>
      <c r="N16" s="53">
        <v>3889.8316314452964</v>
      </c>
      <c r="O16" s="53">
        <v>3543.5098645341022</v>
      </c>
      <c r="P16" s="53">
        <v>3197.1880976229099</v>
      </c>
      <c r="Q16" s="53">
        <v>3165.3956506725681</v>
      </c>
      <c r="R16" s="53">
        <v>3133.6032037222253</v>
      </c>
      <c r="S16" s="53">
        <v>3101.8107567718839</v>
      </c>
      <c r="T16" s="53">
        <v>3070.0183098215412</v>
      </c>
      <c r="U16" s="53">
        <v>3038.2258628711993</v>
      </c>
      <c r="V16" s="53">
        <v>3006.433415920857</v>
      </c>
      <c r="W16" s="53">
        <v>2974.6409689705156</v>
      </c>
      <c r="X16" s="53">
        <v>2942.8485220201733</v>
      </c>
      <c r="Y16" s="53">
        <v>2911.0560750698305</v>
      </c>
      <c r="Z16" s="53">
        <v>2879.2636281194891</v>
      </c>
      <c r="AA16" s="53">
        <v>2847.4711811691463</v>
      </c>
      <c r="AB16" s="53">
        <v>2815.678734218804</v>
      </c>
      <c r="AC16" s="53">
        <v>2783.8862872684622</v>
      </c>
      <c r="AD16" s="53">
        <v>2752.0938403181203</v>
      </c>
      <c r="AE16" s="53">
        <v>2720.3013933677776</v>
      </c>
      <c r="AF16" s="53">
        <v>2688.5089464174362</v>
      </c>
      <c r="AG16" s="53">
        <v>2656.7164994670934</v>
      </c>
      <c r="AH16" s="53">
        <v>2624.9240525167511</v>
      </c>
      <c r="AI16" s="53">
        <v>2593.1316055664092</v>
      </c>
      <c r="AJ16" s="53">
        <v>2561.3391586160678</v>
      </c>
    </row>
    <row r="17" spans="1:36">
      <c r="A17" t="s">
        <v>20</v>
      </c>
      <c r="B17" s="23" t="s">
        <v>168</v>
      </c>
      <c r="C17" s="53">
        <v>3827.2968566587979</v>
      </c>
      <c r="D17" s="53">
        <v>3802.2433357450645</v>
      </c>
      <c r="E17" s="53">
        <v>3777.1898148313317</v>
      </c>
      <c r="F17" s="53">
        <v>3748.8405107158196</v>
      </c>
      <c r="G17" s="53">
        <v>3871.4119796131486</v>
      </c>
      <c r="H17" s="53">
        <v>3778.6596720245302</v>
      </c>
      <c r="I17" s="53">
        <v>3756.1744783291601</v>
      </c>
      <c r="J17" s="53">
        <v>3735.4685235699403</v>
      </c>
      <c r="K17" s="53">
        <v>3730.1528797485335</v>
      </c>
      <c r="L17" s="53">
        <v>3723.3593399609426</v>
      </c>
      <c r="M17" s="53">
        <v>3714.6144288481087</v>
      </c>
      <c r="N17" s="53">
        <v>3702.0182827160638</v>
      </c>
      <c r="O17" s="53">
        <v>3681.7550137527423</v>
      </c>
      <c r="P17" s="53">
        <v>3667.4827963335797</v>
      </c>
      <c r="Q17" s="53">
        <v>3653.3089958493038</v>
      </c>
      <c r="R17" s="53">
        <v>3637.1365306313064</v>
      </c>
      <c r="S17" s="53">
        <v>3622.4893350177949</v>
      </c>
      <c r="T17" s="53">
        <v>3610.6915299333282</v>
      </c>
      <c r="U17" s="53">
        <v>3594.3501284311874</v>
      </c>
      <c r="V17" s="53">
        <v>3579.546566401767</v>
      </c>
      <c r="W17" s="53">
        <v>3563.8844166230579</v>
      </c>
      <c r="X17" s="53">
        <v>3550.1839599594987</v>
      </c>
      <c r="Y17" s="53">
        <v>3534.5913390452197</v>
      </c>
      <c r="Z17" s="53">
        <v>3519.446340564331</v>
      </c>
      <c r="AA17" s="53">
        <v>3507.9240153828123</v>
      </c>
      <c r="AB17" s="53">
        <v>3488.4945890831132</v>
      </c>
      <c r="AC17" s="53">
        <v>3478.7846957534184</v>
      </c>
      <c r="AD17" s="53">
        <v>3460.1166715866439</v>
      </c>
      <c r="AE17" s="53">
        <v>3449.6253865628973</v>
      </c>
      <c r="AF17" s="53">
        <v>3432.3195772046151</v>
      </c>
      <c r="AG17" s="53">
        <v>3418.2157671903647</v>
      </c>
      <c r="AH17" s="53">
        <v>3404.0558754381582</v>
      </c>
      <c r="AI17" s="53">
        <v>3389.5909346070753</v>
      </c>
      <c r="AJ17" s="53">
        <v>3349.1118667920268</v>
      </c>
    </row>
    <row r="18" spans="1:36">
      <c r="A18" s="23" t="s">
        <v>20</v>
      </c>
      <c r="B18" s="23" t="s">
        <v>169</v>
      </c>
      <c r="C18" s="53">
        <v>4013.1693740693227</v>
      </c>
      <c r="D18" s="53">
        <v>4017.7960735110714</v>
      </c>
      <c r="E18" s="53">
        <v>4022.4227729528207</v>
      </c>
      <c r="F18" s="53">
        <v>4027.0494723945694</v>
      </c>
      <c r="G18" s="53">
        <v>4031.6761718363196</v>
      </c>
      <c r="H18" s="53">
        <v>3924.8479186067329</v>
      </c>
      <c r="I18" s="53">
        <v>3907.9979263806181</v>
      </c>
      <c r="J18" s="53">
        <v>3892.839486987953</v>
      </c>
      <c r="K18" s="53">
        <v>3892.4965712044614</v>
      </c>
      <c r="L18" s="53">
        <v>3890.7506732366583</v>
      </c>
      <c r="M18" s="53">
        <v>3887.1396856209194</v>
      </c>
      <c r="N18" s="53">
        <v>3879.8171840121618</v>
      </c>
      <c r="O18" s="53">
        <v>3865.0725844764829</v>
      </c>
      <c r="P18" s="53">
        <v>3856.1245919839007</v>
      </c>
      <c r="Q18" s="53">
        <v>3847.2727596132513</v>
      </c>
      <c r="R18" s="53">
        <v>3836.4778769186792</v>
      </c>
      <c r="S18" s="53">
        <v>3827.1645377795562</v>
      </c>
      <c r="T18" s="53">
        <v>3820.6309462238723</v>
      </c>
      <c r="U18" s="53">
        <v>3809.6657894486971</v>
      </c>
      <c r="V18" s="53">
        <v>3800.1999596341152</v>
      </c>
      <c r="W18" s="53">
        <v>3789.8924556755701</v>
      </c>
      <c r="X18" s="53">
        <v>3781.5066271145329</v>
      </c>
      <c r="Y18" s="53">
        <v>3771.263442353923</v>
      </c>
      <c r="Z18" s="53">
        <v>3761.4578833934052</v>
      </c>
      <c r="AA18" s="53">
        <v>3755.2213804352559</v>
      </c>
      <c r="AB18" s="53">
        <v>3741.1891551812332</v>
      </c>
      <c r="AC18" s="53">
        <v>3736.7499962278216</v>
      </c>
      <c r="AD18" s="53">
        <v>3723.4566813781839</v>
      </c>
      <c r="AE18" s="53">
        <v>3718.2581094638181</v>
      </c>
      <c r="AF18" s="53">
        <v>3706.3053767018932</v>
      </c>
      <c r="AG18" s="53">
        <v>3697.528609572787</v>
      </c>
      <c r="AH18" s="53">
        <v>3688.6969178011091</v>
      </c>
      <c r="AI18" s="53">
        <v>3679.5626750855813</v>
      </c>
      <c r="AJ18" s="53">
        <v>3644.4357362348819</v>
      </c>
    </row>
    <row r="19" spans="1:36">
      <c r="A19" s="23" t="s">
        <v>20</v>
      </c>
      <c r="B19" s="23" t="s">
        <v>170</v>
      </c>
      <c r="C19" s="53">
        <v>4013.1693740693227</v>
      </c>
      <c r="D19" s="53">
        <v>4017.7960735110714</v>
      </c>
      <c r="E19" s="53">
        <v>4022.4227729528207</v>
      </c>
      <c r="F19" s="53">
        <v>4027.0494723945694</v>
      </c>
      <c r="G19" s="53">
        <v>4031.6761718363196</v>
      </c>
      <c r="H19" s="53">
        <v>3924.8479186067329</v>
      </c>
      <c r="I19" s="53">
        <v>3907.9979263806181</v>
      </c>
      <c r="J19" s="53">
        <v>3892.839486987953</v>
      </c>
      <c r="K19" s="53">
        <v>3892.4965712044614</v>
      </c>
      <c r="L19" s="53">
        <v>3890.7506732366583</v>
      </c>
      <c r="M19" s="53">
        <v>3887.1396856209194</v>
      </c>
      <c r="N19" s="53">
        <v>3879.8171840121618</v>
      </c>
      <c r="O19" s="53">
        <v>3865.0725844764829</v>
      </c>
      <c r="P19" s="53">
        <v>3856.1245919839007</v>
      </c>
      <c r="Q19" s="53">
        <v>3847.2727596132513</v>
      </c>
      <c r="R19" s="53">
        <v>3836.4778769186792</v>
      </c>
      <c r="S19" s="53">
        <v>3827.1645377795562</v>
      </c>
      <c r="T19" s="53">
        <v>3820.6309462238723</v>
      </c>
      <c r="U19" s="53">
        <v>3809.6657894486971</v>
      </c>
      <c r="V19" s="53">
        <v>3800.1999596341152</v>
      </c>
      <c r="W19" s="53">
        <v>3789.8924556755701</v>
      </c>
      <c r="X19" s="53">
        <v>3781.5066271145329</v>
      </c>
      <c r="Y19" s="53">
        <v>3771.263442353923</v>
      </c>
      <c r="Z19" s="53">
        <v>3761.4578833934052</v>
      </c>
      <c r="AA19" s="53">
        <v>3755.2213804352559</v>
      </c>
      <c r="AB19" s="53">
        <v>3741.1891551812332</v>
      </c>
      <c r="AC19" s="53">
        <v>3736.7499962278216</v>
      </c>
      <c r="AD19" s="53">
        <v>3723.4566813781839</v>
      </c>
      <c r="AE19" s="53">
        <v>3718.2581094638181</v>
      </c>
      <c r="AF19" s="53">
        <v>3706.3053767018932</v>
      </c>
      <c r="AG19" s="53">
        <v>3697.528609572787</v>
      </c>
      <c r="AH19" s="53">
        <v>3688.6969178011091</v>
      </c>
      <c r="AI19" s="53">
        <v>3679.5626750855813</v>
      </c>
      <c r="AJ19" s="53">
        <v>3644.4357362348819</v>
      </c>
    </row>
    <row r="20" spans="1:36">
      <c r="A20" t="s">
        <v>34</v>
      </c>
      <c r="B20" s="23" t="s">
        <v>171</v>
      </c>
      <c r="C20" s="53">
        <v>4305.3925876948315</v>
      </c>
      <c r="D20" s="53">
        <v>4238.1375223475052</v>
      </c>
      <c r="E20" s="53">
        <v>4170.8824570001798</v>
      </c>
      <c r="F20" s="53">
        <v>4103.6273916528535</v>
      </c>
      <c r="G20" s="53">
        <v>4036.3723263055281</v>
      </c>
      <c r="H20" s="53">
        <v>3969.1172609582022</v>
      </c>
      <c r="I20" s="53">
        <v>3901.8621956108764</v>
      </c>
      <c r="J20" s="53">
        <v>3834.6071302635505</v>
      </c>
      <c r="K20" s="53">
        <v>3767.3520649162247</v>
      </c>
      <c r="L20" s="53">
        <v>3700.0969995688988</v>
      </c>
      <c r="M20" s="53">
        <v>3632.841934221573</v>
      </c>
      <c r="N20" s="53">
        <v>3565.5868688742471</v>
      </c>
      <c r="O20" s="53">
        <v>3498.3318035269212</v>
      </c>
      <c r="P20" s="53">
        <v>3431.0767381795954</v>
      </c>
      <c r="Q20" s="53">
        <v>3431.0767381795954</v>
      </c>
      <c r="R20" s="53">
        <v>3431.0767381795954</v>
      </c>
      <c r="S20" s="53">
        <v>3431.0767381795954</v>
      </c>
      <c r="T20" s="53">
        <v>3431.0767381795954</v>
      </c>
      <c r="U20" s="53">
        <v>3431.0767381795954</v>
      </c>
      <c r="V20" s="53">
        <v>3431.0767381795954</v>
      </c>
      <c r="W20" s="53">
        <v>3431.0767381795954</v>
      </c>
      <c r="X20" s="53">
        <v>3431.0767381795954</v>
      </c>
      <c r="Y20" s="53">
        <v>3431.0767381795954</v>
      </c>
      <c r="Z20" s="53">
        <v>3431.0767381795954</v>
      </c>
      <c r="AA20" s="53">
        <v>3431.0767381795954</v>
      </c>
      <c r="AB20" s="53">
        <v>3431.0767381795954</v>
      </c>
      <c r="AC20" s="53">
        <v>3431.0767381795954</v>
      </c>
      <c r="AD20" s="53">
        <v>3431.0767381795954</v>
      </c>
      <c r="AE20" s="53">
        <v>3431.0767381795954</v>
      </c>
      <c r="AF20" s="53">
        <v>3431.0767381795954</v>
      </c>
      <c r="AG20" s="53">
        <v>3431.0767381795954</v>
      </c>
      <c r="AH20" s="53">
        <v>3431.0767381795954</v>
      </c>
      <c r="AI20" s="53">
        <v>3431.0767381795954</v>
      </c>
      <c r="AJ20" s="53">
        <v>3431.0767381795954</v>
      </c>
    </row>
    <row r="21" spans="1:36">
      <c r="A21" s="23" t="s">
        <v>34</v>
      </c>
      <c r="B21" s="23" t="s">
        <v>172</v>
      </c>
      <c r="C21" s="53">
        <v>5576.5909167824766</v>
      </c>
      <c r="D21" s="53">
        <v>5512.2975155754648</v>
      </c>
      <c r="E21" s="53">
        <v>5448.0041143684512</v>
      </c>
      <c r="F21" s="53">
        <v>5383.7107131614393</v>
      </c>
      <c r="G21" s="53">
        <v>5319.4173119544257</v>
      </c>
      <c r="H21" s="53">
        <v>5255.1239107474139</v>
      </c>
      <c r="I21" s="53">
        <v>5190.8305095404012</v>
      </c>
      <c r="J21" s="53">
        <v>5126.5371083333876</v>
      </c>
      <c r="K21" s="53">
        <v>5062.2437071263757</v>
      </c>
      <c r="L21" s="53">
        <v>4997.950305919363</v>
      </c>
      <c r="M21" s="53">
        <v>4933.6569047123503</v>
      </c>
      <c r="N21" s="53">
        <v>4869.3635035053376</v>
      </c>
      <c r="O21" s="53">
        <v>4805.0701022983258</v>
      </c>
      <c r="P21" s="53">
        <v>4740.7767010913121</v>
      </c>
      <c r="Q21" s="53">
        <v>4740.7767010913121</v>
      </c>
      <c r="R21" s="53">
        <v>4740.7767010913121</v>
      </c>
      <c r="S21" s="53">
        <v>4740.7767010913121</v>
      </c>
      <c r="T21" s="53">
        <v>4740.7767010913121</v>
      </c>
      <c r="U21" s="53">
        <v>4740.7767010913121</v>
      </c>
      <c r="V21" s="53">
        <v>4740.7767010913121</v>
      </c>
      <c r="W21" s="53">
        <v>4740.7767010913121</v>
      </c>
      <c r="X21" s="53">
        <v>4740.7767010913121</v>
      </c>
      <c r="Y21" s="53">
        <v>4740.7767010913121</v>
      </c>
      <c r="Z21" s="53">
        <v>4740.7767010913121</v>
      </c>
      <c r="AA21" s="53">
        <v>4740.7767010913121</v>
      </c>
      <c r="AB21" s="53">
        <v>4740.7767010913121</v>
      </c>
      <c r="AC21" s="53">
        <v>4740.7767010913121</v>
      </c>
      <c r="AD21" s="53">
        <v>4740.7767010913121</v>
      </c>
      <c r="AE21" s="53">
        <v>4740.7767010913121</v>
      </c>
      <c r="AF21" s="53">
        <v>4740.7767010913121</v>
      </c>
      <c r="AG21" s="53">
        <v>4740.7767010913121</v>
      </c>
      <c r="AH21" s="53">
        <v>4740.7767010913121</v>
      </c>
      <c r="AI21" s="53">
        <v>4740.7767010913121</v>
      </c>
      <c r="AJ21" s="53">
        <v>4740.7767010913121</v>
      </c>
    </row>
    <row r="22" spans="1:36">
      <c r="A22" s="23" t="s">
        <v>34</v>
      </c>
      <c r="B22" s="23" t="s">
        <v>173</v>
      </c>
      <c r="C22" s="53">
        <v>14196.524804379835</v>
      </c>
      <c r="D22" s="53">
        <v>13387.143107126378</v>
      </c>
      <c r="E22" s="53">
        <v>12577.761409872919</v>
      </c>
      <c r="F22" s="53">
        <v>11768.379712619462</v>
      </c>
      <c r="G22" s="53">
        <v>10958.998015366002</v>
      </c>
      <c r="H22" s="53">
        <v>10149.616318112543</v>
      </c>
      <c r="I22" s="53">
        <v>9340.2346208590861</v>
      </c>
      <c r="J22" s="53">
        <v>8530.8529236056293</v>
      </c>
      <c r="K22" s="53">
        <v>7721.4712263521697</v>
      </c>
      <c r="L22" s="53">
        <v>6912.0895290987119</v>
      </c>
      <c r="M22" s="53">
        <v>6102.7078318452532</v>
      </c>
      <c r="N22" s="53">
        <v>5293.3261345917945</v>
      </c>
      <c r="O22" s="53">
        <v>4483.9444373383367</v>
      </c>
      <c r="P22" s="53">
        <v>3674.5627400848771</v>
      </c>
      <c r="Q22" s="53">
        <v>3674.5627400848771</v>
      </c>
      <c r="R22" s="53">
        <v>3674.5627400848771</v>
      </c>
      <c r="S22" s="53">
        <v>3674.5627400848771</v>
      </c>
      <c r="T22" s="53">
        <v>3674.5627400848771</v>
      </c>
      <c r="U22" s="53">
        <v>3674.5627400848771</v>
      </c>
      <c r="V22" s="53">
        <v>3674.5627400848771</v>
      </c>
      <c r="W22" s="53">
        <v>3674.5627400848771</v>
      </c>
      <c r="X22" s="53">
        <v>3674.5627400848771</v>
      </c>
      <c r="Y22" s="53">
        <v>3674.5627400848771</v>
      </c>
      <c r="Z22" s="53">
        <v>3674.5627400848771</v>
      </c>
      <c r="AA22" s="53">
        <v>3674.5627400848771</v>
      </c>
      <c r="AB22" s="53">
        <v>3674.5627400848771</v>
      </c>
      <c r="AC22" s="53">
        <v>3674.5627400848771</v>
      </c>
      <c r="AD22" s="53">
        <v>3674.5627400848771</v>
      </c>
      <c r="AE22" s="53">
        <v>3674.5627400848771</v>
      </c>
      <c r="AF22" s="53">
        <v>3674.5627400848771</v>
      </c>
      <c r="AG22" s="53">
        <v>3674.5627400848771</v>
      </c>
      <c r="AH22" s="53">
        <v>3674.5627400848771</v>
      </c>
      <c r="AI22" s="53">
        <v>3674.5627400848771</v>
      </c>
      <c r="AJ22" s="53">
        <v>3674.5627400848771</v>
      </c>
    </row>
    <row r="23" spans="1:36">
      <c r="A23" s="23" t="s">
        <v>34</v>
      </c>
      <c r="B23" s="23" t="s">
        <v>174</v>
      </c>
      <c r="C23" s="53">
        <v>31389.002895326357</v>
      </c>
      <c r="D23" s="53">
        <v>29412.625936914043</v>
      </c>
      <c r="E23" s="53">
        <v>27436.248978501728</v>
      </c>
      <c r="F23" s="53">
        <v>25459.872020089417</v>
      </c>
      <c r="G23" s="53">
        <v>23483.495061677102</v>
      </c>
      <c r="H23" s="53">
        <v>21507.118103264791</v>
      </c>
      <c r="I23" s="53">
        <v>19530.741144852476</v>
      </c>
      <c r="J23" s="53">
        <v>17554.364186440162</v>
      </c>
      <c r="K23" s="53">
        <v>15577.987228027849</v>
      </c>
      <c r="L23" s="53">
        <v>13601.610269615536</v>
      </c>
      <c r="M23" s="53">
        <v>11625.233311203227</v>
      </c>
      <c r="N23" s="53">
        <v>9648.85635279091</v>
      </c>
      <c r="O23" s="53">
        <v>7672.4793943785926</v>
      </c>
      <c r="P23" s="53">
        <v>5696.1024359662806</v>
      </c>
      <c r="Q23" s="53">
        <v>5696.1024359662806</v>
      </c>
      <c r="R23" s="53">
        <v>5696.1024359662806</v>
      </c>
      <c r="S23" s="53">
        <v>5696.1024359662806</v>
      </c>
      <c r="T23" s="53">
        <v>5696.1024359662806</v>
      </c>
      <c r="U23" s="53">
        <v>5696.1024359662806</v>
      </c>
      <c r="V23" s="53">
        <v>5696.1024359662806</v>
      </c>
      <c r="W23" s="53">
        <v>5696.1024359662806</v>
      </c>
      <c r="X23" s="53">
        <v>5696.1024359662806</v>
      </c>
      <c r="Y23" s="53">
        <v>5696.1024359662806</v>
      </c>
      <c r="Z23" s="53">
        <v>5696.1024359662806</v>
      </c>
      <c r="AA23" s="53">
        <v>5696.1024359662806</v>
      </c>
      <c r="AB23" s="53">
        <v>5696.1024359662806</v>
      </c>
      <c r="AC23" s="53">
        <v>5696.1024359662806</v>
      </c>
      <c r="AD23" s="53">
        <v>5696.1024359662806</v>
      </c>
      <c r="AE23" s="53">
        <v>5696.1024359662806</v>
      </c>
      <c r="AF23" s="53">
        <v>5696.1024359662806</v>
      </c>
      <c r="AG23" s="53">
        <v>5696.1024359662806</v>
      </c>
      <c r="AH23" s="53">
        <v>5696.1024359662806</v>
      </c>
      <c r="AI23" s="53">
        <v>5696.1024359662806</v>
      </c>
      <c r="AJ23" s="53">
        <v>5696.1024359662806</v>
      </c>
    </row>
    <row r="24" spans="1:36">
      <c r="A24" s="23" t="s">
        <v>34</v>
      </c>
      <c r="B24" s="23" t="s">
        <v>175</v>
      </c>
      <c r="C24" s="53">
        <v>14196.524804379835</v>
      </c>
      <c r="D24" s="53">
        <v>13387.143107126378</v>
      </c>
      <c r="E24" s="53">
        <v>12577.761409872919</v>
      </c>
      <c r="F24" s="53">
        <v>11768.379712619462</v>
      </c>
      <c r="G24" s="53">
        <v>10958.998015366002</v>
      </c>
      <c r="H24" s="53">
        <v>10149.616318112543</v>
      </c>
      <c r="I24" s="53">
        <v>9340.2346208590861</v>
      </c>
      <c r="J24" s="53">
        <v>8530.8529236056293</v>
      </c>
      <c r="K24" s="53">
        <v>7721.4712263521697</v>
      </c>
      <c r="L24" s="53">
        <v>6912.0895290987119</v>
      </c>
      <c r="M24" s="53">
        <v>6102.7078318452532</v>
      </c>
      <c r="N24" s="53">
        <v>5293.3261345917945</v>
      </c>
      <c r="O24" s="53">
        <v>4483.9444373383367</v>
      </c>
      <c r="P24" s="53">
        <v>3674.5627400848771</v>
      </c>
      <c r="Q24" s="53">
        <v>3674.5627400848771</v>
      </c>
      <c r="R24" s="53">
        <v>3674.5627400848771</v>
      </c>
      <c r="S24" s="53">
        <v>3674.5627400848771</v>
      </c>
      <c r="T24" s="53">
        <v>3674.5627400848771</v>
      </c>
      <c r="U24" s="53">
        <v>3674.5627400848771</v>
      </c>
      <c r="V24" s="53">
        <v>3674.5627400848771</v>
      </c>
      <c r="W24" s="53">
        <v>3674.5627400848771</v>
      </c>
      <c r="X24" s="53">
        <v>3674.5627400848771</v>
      </c>
      <c r="Y24" s="53">
        <v>3674.5627400848771</v>
      </c>
      <c r="Z24" s="53">
        <v>3674.5627400848771</v>
      </c>
      <c r="AA24" s="53">
        <v>3674.5627400848771</v>
      </c>
      <c r="AB24" s="53">
        <v>3674.5627400848771</v>
      </c>
      <c r="AC24" s="53">
        <v>3674.5627400848771</v>
      </c>
      <c r="AD24" s="53">
        <v>3674.5627400848771</v>
      </c>
      <c r="AE24" s="53">
        <v>3674.5627400848771</v>
      </c>
      <c r="AF24" s="53">
        <v>3674.5627400848771</v>
      </c>
      <c r="AG24" s="53">
        <v>3674.5627400848771</v>
      </c>
      <c r="AH24" s="53">
        <v>3674.5627400848771</v>
      </c>
      <c r="AI24" s="53">
        <v>3674.5627400848771</v>
      </c>
      <c r="AJ24" s="53">
        <v>3674.5627400848771</v>
      </c>
    </row>
    <row r="25" spans="1:36">
      <c r="A25" s="23" t="s">
        <v>34</v>
      </c>
      <c r="B25" s="23" t="s">
        <v>176</v>
      </c>
      <c r="C25" s="53">
        <v>31389.002895326357</v>
      </c>
      <c r="D25" s="53">
        <v>29412.625936914043</v>
      </c>
      <c r="E25" s="53">
        <v>27436.248978501728</v>
      </c>
      <c r="F25" s="53">
        <v>25459.872020089417</v>
      </c>
      <c r="G25" s="53">
        <v>23483.495061677102</v>
      </c>
      <c r="H25" s="53">
        <v>21507.118103264791</v>
      </c>
      <c r="I25" s="53">
        <v>19530.741144852476</v>
      </c>
      <c r="J25" s="53">
        <v>17554.364186440162</v>
      </c>
      <c r="K25" s="53">
        <v>15577.987228027849</v>
      </c>
      <c r="L25" s="53">
        <v>13601.610269615536</v>
      </c>
      <c r="M25" s="53">
        <v>11625.233311203227</v>
      </c>
      <c r="N25" s="53">
        <v>9648.85635279091</v>
      </c>
      <c r="O25" s="53">
        <v>7672.4793943785926</v>
      </c>
      <c r="P25" s="53">
        <v>5696.1024359662806</v>
      </c>
      <c r="Q25" s="53">
        <v>5696.1024359662806</v>
      </c>
      <c r="R25" s="53">
        <v>5696.1024359662806</v>
      </c>
      <c r="S25" s="53">
        <v>5696.1024359662806</v>
      </c>
      <c r="T25" s="53">
        <v>5696.1024359662806</v>
      </c>
      <c r="U25" s="53">
        <v>5696.1024359662806</v>
      </c>
      <c r="V25" s="53">
        <v>5696.1024359662806</v>
      </c>
      <c r="W25" s="53">
        <v>5696.1024359662806</v>
      </c>
      <c r="X25" s="53">
        <v>5696.1024359662806</v>
      </c>
      <c r="Y25" s="53">
        <v>5696.1024359662806</v>
      </c>
      <c r="Z25" s="53">
        <v>5696.1024359662806</v>
      </c>
      <c r="AA25" s="53">
        <v>5696.1024359662806</v>
      </c>
      <c r="AB25" s="53">
        <v>5696.1024359662806</v>
      </c>
      <c r="AC25" s="53">
        <v>5696.1024359662806</v>
      </c>
      <c r="AD25" s="53">
        <v>5696.1024359662806</v>
      </c>
      <c r="AE25" s="53">
        <v>5696.1024359662806</v>
      </c>
      <c r="AF25" s="53">
        <v>5696.1024359662806</v>
      </c>
      <c r="AG25" s="53">
        <v>5696.1024359662806</v>
      </c>
      <c r="AH25" s="53">
        <v>5696.1024359662806</v>
      </c>
      <c r="AI25" s="53">
        <v>5696.1024359662806</v>
      </c>
      <c r="AJ25" s="53">
        <v>5696.1024359662806</v>
      </c>
    </row>
    <row r="26" spans="1:36">
      <c r="A26" t="s">
        <v>36</v>
      </c>
      <c r="B26" s="23" t="s">
        <v>177</v>
      </c>
      <c r="C26" s="53">
        <v>899.1125440742336</v>
      </c>
      <c r="D26" s="53">
        <v>897.70308814846726</v>
      </c>
      <c r="E26" s="53">
        <v>896.29363222270104</v>
      </c>
      <c r="F26" s="53">
        <v>902.71381430547433</v>
      </c>
      <c r="G26" s="53">
        <v>891.86171381434542</v>
      </c>
      <c r="H26" s="53">
        <v>885.20876908967045</v>
      </c>
      <c r="I26" s="53">
        <v>867.76048992789288</v>
      </c>
      <c r="J26" s="53">
        <v>859.68860861787778</v>
      </c>
      <c r="K26" s="53">
        <v>854.89355451672066</v>
      </c>
      <c r="L26" s="53">
        <v>850.14768910328723</v>
      </c>
      <c r="M26" s="53">
        <v>845.33323168783102</v>
      </c>
      <c r="N26" s="53">
        <v>841.66250107608801</v>
      </c>
      <c r="O26" s="53">
        <v>836.28274791352487</v>
      </c>
      <c r="P26" s="53">
        <v>833.2916691733227</v>
      </c>
      <c r="Q26" s="53">
        <v>830.5754936489833</v>
      </c>
      <c r="R26" s="53">
        <v>826.7715351573911</v>
      </c>
      <c r="S26" s="53">
        <v>823.86823037306385</v>
      </c>
      <c r="T26" s="53">
        <v>821.20674097070651</v>
      </c>
      <c r="U26" s="53">
        <v>818.02472783813232</v>
      </c>
      <c r="V26" s="53">
        <v>814.88508478318965</v>
      </c>
      <c r="W26" s="53">
        <v>812.19304936041544</v>
      </c>
      <c r="X26" s="53">
        <v>810.56013478572174</v>
      </c>
      <c r="Y26" s="53">
        <v>808.49515037607659</v>
      </c>
      <c r="Z26" s="53">
        <v>806.53181718615019</v>
      </c>
      <c r="AA26" s="53">
        <v>805.39975864873225</v>
      </c>
      <c r="AB26" s="53">
        <v>802.45149608302609</v>
      </c>
      <c r="AC26" s="53">
        <v>801.73878522314658</v>
      </c>
      <c r="AD26" s="53">
        <v>798.96213261495245</v>
      </c>
      <c r="AE26" s="53">
        <v>798.07320846175037</v>
      </c>
      <c r="AF26" s="53">
        <v>795.60857249514595</v>
      </c>
      <c r="AG26" s="53">
        <v>793.88501128096959</v>
      </c>
      <c r="AH26" s="53">
        <v>792.14873185042018</v>
      </c>
      <c r="AI26" s="53">
        <v>790.34175467816408</v>
      </c>
      <c r="AJ26" s="53">
        <v>782.45718072947386</v>
      </c>
    </row>
    <row r="27" spans="1:36">
      <c r="A27" t="s">
        <v>124</v>
      </c>
      <c r="B27" s="23" t="s">
        <v>141</v>
      </c>
      <c r="C27" s="53">
        <v>2985.7163232225957</v>
      </c>
      <c r="D27" s="53">
        <v>2311.9279513109191</v>
      </c>
      <c r="E27" s="53">
        <v>2237.7422506953185</v>
      </c>
      <c r="F27" s="53">
        <v>2165.9370386986238</v>
      </c>
      <c r="G27" s="53">
        <v>2096.4359296290145</v>
      </c>
      <c r="H27" s="53">
        <v>2029.1649888771365</v>
      </c>
      <c r="I27" s="53">
        <v>1964.0526542651769</v>
      </c>
      <c r="J27" s="53">
        <v>1901.0296599197111</v>
      </c>
      <c r="K27" s="53">
        <v>1840.0289625873329</v>
      </c>
      <c r="L27" s="53">
        <v>1780.985670314692</v>
      </c>
      <c r="M27" s="53">
        <v>1723.8369734170553</v>
      </c>
      <c r="N27" s="53">
        <v>1668.522077661974</v>
      </c>
      <c r="O27" s="53">
        <v>1614.9821395969645</v>
      </c>
      <c r="P27" s="53">
        <v>1563.1602039524087</v>
      </c>
      <c r="Q27" s="53">
        <v>1513.0011430530928</v>
      </c>
      <c r="R27" s="53">
        <v>1464.4515981739132</v>
      </c>
      <c r="S27" s="53">
        <v>1417.4599227773826</v>
      </c>
      <c r="T27" s="53">
        <v>1371.9761275725405</v>
      </c>
      <c r="U27" s="53">
        <v>1327.9518273368276</v>
      </c>
      <c r="V27" s="53">
        <v>1285.3401894443539</v>
      </c>
      <c r="W27" s="53">
        <v>1244.0958840458004</v>
      </c>
      <c r="X27" s="53">
        <v>1204.1750358469669</v>
      </c>
      <c r="Y27" s="53">
        <v>1165.5351774346534</v>
      </c>
      <c r="Z27" s="53">
        <v>1128.1352041002376</v>
      </c>
      <c r="AA27" s="53">
        <v>1091.935330112882</v>
      </c>
      <c r="AB27" s="53">
        <v>1056.8970463958572</v>
      </c>
      <c r="AC27" s="53">
        <v>1022.9830795609577</v>
      </c>
      <c r="AD27" s="53">
        <v>990.15735225743038</v>
      </c>
      <c r="AE27" s="53">
        <v>958.38494479323788</v>
      </c>
      <c r="AF27" s="53">
        <v>927.6320579878269</v>
      </c>
      <c r="AG27" s="53">
        <v>897.8659772168852</v>
      </c>
      <c r="AH27" s="53">
        <v>869.05503761084003</v>
      </c>
      <c r="AI27" s="53">
        <v>841.16859037007657</v>
      </c>
      <c r="AJ27" s="53">
        <v>814.17697016103966</v>
      </c>
    </row>
    <row r="28" spans="1:36">
      <c r="A28" s="23" t="s">
        <v>124</v>
      </c>
      <c r="B28" s="23" t="s">
        <v>142</v>
      </c>
      <c r="C28" s="53">
        <v>3068.5330578578878</v>
      </c>
      <c r="D28" s="53">
        <v>2376.0553843662383</v>
      </c>
      <c r="E28" s="53">
        <v>2299.8119472423737</v>
      </c>
      <c r="F28" s="53">
        <v>2226.0150278818182</v>
      </c>
      <c r="G28" s="53">
        <v>2154.5861218336722</v>
      </c>
      <c r="H28" s="53">
        <v>2085.4492437167528</v>
      </c>
      <c r="I28" s="53">
        <v>2018.5308463870788</v>
      </c>
      <c r="J28" s="53">
        <v>1953.7597426991299</v>
      </c>
      <c r="K28" s="53">
        <v>1891.0670297776448</v>
      </c>
      <c r="L28" s="53">
        <v>1830.3860157194129</v>
      </c>
      <c r="M28" s="53">
        <v>1771.6521486470638</v>
      </c>
      <c r="N28" s="53">
        <v>1714.8029480394093</v>
      </c>
      <c r="O28" s="53">
        <v>1659.7779382652652</v>
      </c>
      <c r="P28" s="53">
        <v>1606.518584250055</v>
      </c>
      <c r="Q28" s="53">
        <v>1554.9682292067694</v>
      </c>
      <c r="R28" s="53">
        <v>1505.0720343650162</v>
      </c>
      <c r="S28" s="53">
        <v>1456.776920634069</v>
      </c>
      <c r="T28" s="53">
        <v>1410.031512137841</v>
      </c>
      <c r="U28" s="53">
        <v>1364.7860815617244</v>
      </c>
      <c r="V28" s="53">
        <v>1320.9924972531535</v>
      </c>
      <c r="W28" s="53">
        <v>1278.6041720196135</v>
      </c>
      <c r="X28" s="53">
        <v>1237.576013569641</v>
      </c>
      <c r="Y28" s="53">
        <v>1197.8643765440718</v>
      </c>
      <c r="Z28" s="53">
        <v>1159.4270160865349</v>
      </c>
      <c r="AA28" s="53">
        <v>1122.2230429037788</v>
      </c>
      <c r="AB28" s="53">
        <v>1086.2128797680366</v>
      </c>
      <c r="AC28" s="53">
        <v>1051.3582194151525</v>
      </c>
      <c r="AD28" s="53">
        <v>1017.6219837936841</v>
      </c>
      <c r="AE28" s="53">
        <v>984.96828462162887</v>
      </c>
      <c r="AF28" s="53">
        <v>953.36238520881648</v>
      </c>
      <c r="AG28" s="53">
        <v>922.770663504352</v>
      </c>
      <c r="AH28" s="53">
        <v>893.16057632980255</v>
      </c>
      <c r="AI28" s="53">
        <v>864.50062476007906</v>
      </c>
      <c r="AJ28" s="53">
        <v>836.7603206151831</v>
      </c>
    </row>
    <row r="29" spans="1:36">
      <c r="A29" s="23" t="s">
        <v>124</v>
      </c>
      <c r="B29" s="23" t="s">
        <v>143</v>
      </c>
      <c r="C29" s="53">
        <v>3161.5232415013843</v>
      </c>
      <c r="D29" s="53">
        <v>2448.0604181635858</v>
      </c>
      <c r="E29" s="53">
        <v>2369.5064661825959</v>
      </c>
      <c r="F29" s="53">
        <v>2293.4731723218251</v>
      </c>
      <c r="G29" s="53">
        <v>2219.8796530967534</v>
      </c>
      <c r="H29" s="53">
        <v>2148.6476204315827</v>
      </c>
      <c r="I29" s="53">
        <v>2079.7012983771356</v>
      </c>
      <c r="J29" s="53">
        <v>2012.9673425011315</v>
      </c>
      <c r="K29" s="53">
        <v>1948.3747618650887</v>
      </c>
      <c r="L29" s="53">
        <v>1885.8548435048488</v>
      </c>
      <c r="M29" s="53">
        <v>1825.3410793343846</v>
      </c>
      <c r="N29" s="53">
        <v>1766.7690953951465</v>
      </c>
      <c r="O29" s="53">
        <v>1710.0765833756604</v>
      </c>
      <c r="P29" s="53">
        <v>1655.2032343285487</v>
      </c>
      <c r="Q29" s="53">
        <v>1602.0906745144566</v>
      </c>
      <c r="R29" s="53">
        <v>1550.6824033046278</v>
      </c>
      <c r="S29" s="53">
        <v>1500.9237330760816</v>
      </c>
      <c r="T29" s="53">
        <v>1452.761731035449</v>
      </c>
      <c r="U29" s="53">
        <v>1406.1451629095745</v>
      </c>
      <c r="V29" s="53">
        <v>1361.0244384429946</v>
      </c>
      <c r="W29" s="53">
        <v>1317.3515586442977</v>
      </c>
      <c r="X29" s="53">
        <v>1275.0800647252652</v>
      </c>
      <c r="Y29" s="53">
        <v>1234.164988678456</v>
      </c>
      <c r="Z29" s="53">
        <v>1194.5628054406773</v>
      </c>
      <c r="AA29" s="53">
        <v>1156.2313865914414</v>
      </c>
      <c r="AB29" s="53">
        <v>1119.1299555371572</v>
      </c>
      <c r="AC29" s="53">
        <v>1083.2190441333855</v>
      </c>
      <c r="AD29" s="53">
        <v>1048.4604506990047</v>
      </c>
      <c r="AE29" s="53">
        <v>1014.817199377634</v>
      </c>
      <c r="AF29" s="53">
        <v>982.25350080307271</v>
      </c>
      <c r="AG29" s="53">
        <v>950.73471402691735</v>
      </c>
      <c r="AH29" s="53">
        <v>920.22730966785514</v>
      </c>
      <c r="AI29" s="53">
        <v>890.69883424343266</v>
      </c>
      <c r="AJ29" s="53">
        <v>862.11787564635324</v>
      </c>
    </row>
    <row r="30" spans="1:36">
      <c r="A30" s="23" t="s">
        <v>124</v>
      </c>
      <c r="B30" s="23" t="s">
        <v>144</v>
      </c>
      <c r="C30" s="53">
        <v>3433.5732515006521</v>
      </c>
      <c r="D30" s="53">
        <v>2658.71674119727</v>
      </c>
      <c r="E30" s="53">
        <v>2573.4031984148023</v>
      </c>
      <c r="F30" s="53">
        <v>2490.8272171293211</v>
      </c>
      <c r="G30" s="53">
        <v>2410.9009538085415</v>
      </c>
      <c r="H30" s="53">
        <v>2333.5393836645871</v>
      </c>
      <c r="I30" s="53">
        <v>2258.6602102054426</v>
      </c>
      <c r="J30" s="53">
        <v>2186.1837776887369</v>
      </c>
      <c r="K30" s="53">
        <v>2116.0329863847346</v>
      </c>
      <c r="L30" s="53">
        <v>2048.1332105583892</v>
      </c>
      <c r="M30" s="53">
        <v>1982.4122190832004</v>
      </c>
      <c r="N30" s="53">
        <v>1918.8000986024451</v>
      </c>
      <c r="O30" s="53">
        <v>1857.2291791560187</v>
      </c>
      <c r="P30" s="53">
        <v>1797.6339621937846</v>
      </c>
      <c r="Q30" s="53">
        <v>1739.9510508988512</v>
      </c>
      <c r="R30" s="53">
        <v>1684.1190827466464</v>
      </c>
      <c r="S30" s="53">
        <v>1630.0786642280586</v>
      </c>
      <c r="T30" s="53">
        <v>1577.7723076671925</v>
      </c>
      <c r="U30" s="53">
        <v>1527.144370066535</v>
      </c>
      <c r="V30" s="53">
        <v>1478.1409939144726</v>
      </c>
      <c r="W30" s="53">
        <v>1430.7100498921864</v>
      </c>
      <c r="X30" s="53">
        <v>1384.8010814189906</v>
      </c>
      <c r="Y30" s="53">
        <v>1340.3652509771041</v>
      </c>
      <c r="Z30" s="53">
        <v>1297.355288158773</v>
      </c>
      <c r="AA30" s="53">
        <v>1255.7254393804665</v>
      </c>
      <c r="AB30" s="53">
        <v>1215.4314192106547</v>
      </c>
      <c r="AC30" s="53">
        <v>1176.4303632593958</v>
      </c>
      <c r="AD30" s="53">
        <v>1138.6807825796095</v>
      </c>
      <c r="AE30" s="53">
        <v>1102.1425195315371</v>
      </c>
      <c r="AF30" s="53">
        <v>1066.7767050634309</v>
      </c>
      <c r="AG30" s="53">
        <v>1032.5457173630318</v>
      </c>
      <c r="AH30" s="53">
        <v>999.41314183584836</v>
      </c>
      <c r="AI30" s="53">
        <v>967.34373236766339</v>
      </c>
      <c r="AJ30" s="53">
        <v>936.3033738300569</v>
      </c>
    </row>
    <row r="31" spans="1:36">
      <c r="A31" s="23" t="s">
        <v>124</v>
      </c>
      <c r="B31" s="23" t="s">
        <v>145</v>
      </c>
      <c r="C31" s="53">
        <v>3650.4675562858592</v>
      </c>
      <c r="D31" s="53">
        <v>2826.6643796962426</v>
      </c>
      <c r="E31" s="53">
        <v>2735.9616926622352</v>
      </c>
      <c r="F31" s="53">
        <v>2648.1694952832008</v>
      </c>
      <c r="G31" s="53">
        <v>2563.1943950664954</v>
      </c>
      <c r="H31" s="53">
        <v>2480.9459963202589</v>
      </c>
      <c r="I31" s="53">
        <v>2401.3368039913512</v>
      </c>
      <c r="J31" s="53">
        <v>2324.2821305889584</v>
      </c>
      <c r="K31" s="53">
        <v>2249.7000060948562</v>
      </c>
      <c r="L31" s="53">
        <v>2177.5110907645003</v>
      </c>
      <c r="M31" s="53">
        <v>2107.638590726162</v>
      </c>
      <c r="N31" s="53">
        <v>2040.0081762883583</v>
      </c>
      <c r="O31" s="53">
        <v>1974.5479028686386</v>
      </c>
      <c r="P31" s="53">
        <v>1911.1881344596286</v>
      </c>
      <c r="Q31" s="53">
        <v>1849.8614695509245</v>
      </c>
      <c r="R31" s="53">
        <v>1790.5026694280111</v>
      </c>
      <c r="S31" s="53">
        <v>1733.0485887719494</v>
      </c>
      <c r="T31" s="53">
        <v>1677.4381084859936</v>
      </c>
      <c r="U31" s="53">
        <v>1623.6120706776869</v>
      </c>
      <c r="V31" s="53">
        <v>1571.5132157272665</v>
      </c>
      <c r="W31" s="53">
        <v>1521.0861213754297</v>
      </c>
      <c r="X31" s="53">
        <v>1472.2771437656741</v>
      </c>
      <c r="Y31" s="53">
        <v>1425.034360378475</v>
      </c>
      <c r="Z31" s="53">
        <v>1379.3075147966138</v>
      </c>
      <c r="AA31" s="53">
        <v>1335.047963242886</v>
      </c>
      <c r="AB31" s="53">
        <v>1292.2086228333173</v>
      </c>
      <c r="AC31" s="53">
        <v>1250.7439214908497</v>
      </c>
      <c r="AD31" s="53">
        <v>1210.6097494662024</v>
      </c>
      <c r="AE31" s="53">
        <v>1171.7634124143476</v>
      </c>
      <c r="AF31" s="53">
        <v>1134.1635859766789</v>
      </c>
      <c r="AG31" s="53">
        <v>1097.7702718205549</v>
      </c>
      <c r="AH31" s="53">
        <v>1062.5447550894605</v>
      </c>
      <c r="AI31" s="53">
        <v>1028.4495632185165</v>
      </c>
      <c r="AJ31" s="53">
        <v>995.4484260715252</v>
      </c>
    </row>
    <row r="32" spans="1:36">
      <c r="A32" s="23" t="s">
        <v>124</v>
      </c>
      <c r="B32" s="23" t="s">
        <v>146</v>
      </c>
      <c r="C32" s="53">
        <v>4469.1889883621543</v>
      </c>
      <c r="D32" s="53">
        <v>3426.8301746610837</v>
      </c>
      <c r="E32" s="53">
        <v>3284.4787601696635</v>
      </c>
      <c r="F32" s="53">
        <v>3148.0406603670035</v>
      </c>
      <c r="G32" s="53">
        <v>3017.270234626817</v>
      </c>
      <c r="H32" s="53">
        <v>2891.9320462981627</v>
      </c>
      <c r="I32" s="53">
        <v>2771.800438829659</v>
      </c>
      <c r="J32" s="53">
        <v>2656.6591295016106</v>
      </c>
      <c r="K32" s="53">
        <v>2546.3008200346117</v>
      </c>
      <c r="L32" s="53">
        <v>2440.5268233735601</v>
      </c>
      <c r="M32" s="53">
        <v>2339.1467059751726</v>
      </c>
      <c r="N32" s="53">
        <v>2241.9779449549555</v>
      </c>
      <c r="O32" s="53">
        <v>2148.8455994763913</v>
      </c>
      <c r="P32" s="53">
        <v>2059.5819957906965</v>
      </c>
      <c r="Q32" s="53">
        <v>1974.0264253601119</v>
      </c>
      <c r="R32" s="53">
        <v>1892.024855521232</v>
      </c>
      <c r="S32" s="53">
        <v>1813.4296521674476</v>
      </c>
      <c r="T32" s="53">
        <v>1738.0993139512411</v>
      </c>
      <c r="U32" s="53">
        <v>1665.8982175277815</v>
      </c>
      <c r="V32" s="53">
        <v>1596.6963733811663</v>
      </c>
      <c r="W32" s="53">
        <v>1530.3691917937074</v>
      </c>
      <c r="X32" s="53">
        <v>1466.7972585369123</v>
      </c>
      <c r="Y32" s="53">
        <v>1405.8661198803206</v>
      </c>
      <c r="Z32" s="53">
        <v>1347.4660765311282</v>
      </c>
      <c r="AA32" s="53">
        <v>1291.4919861336139</v>
      </c>
      <c r="AB32" s="53">
        <v>1237.8430739727899</v>
      </c>
      <c r="AC32" s="53">
        <v>1186.4227515414743</v>
      </c>
      <c r="AD32" s="53">
        <v>1137.1384426441316</v>
      </c>
      <c r="AE32" s="53">
        <v>1089.9014167244063</v>
      </c>
      <c r="AF32" s="53">
        <v>1044.6266291162731</v>
      </c>
      <c r="AG32" s="53">
        <v>1001.2325679311979</v>
      </c>
      <c r="AH32" s="53">
        <v>959.64110730564209</v>
      </c>
      <c r="AI32" s="53">
        <v>919.77736674470782</v>
      </c>
      <c r="AJ32" s="53">
        <v>881.56957630868135</v>
      </c>
    </row>
    <row r="33" spans="1:36">
      <c r="A33" s="23" t="s">
        <v>124</v>
      </c>
      <c r="B33" s="23" t="s">
        <v>147</v>
      </c>
      <c r="C33" s="53">
        <v>4351.9349981933547</v>
      </c>
      <c r="D33" s="53">
        <v>3336.9235914630635</v>
      </c>
      <c r="E33" s="53">
        <v>3198.3069197625064</v>
      </c>
      <c r="F33" s="53">
        <v>3065.4484205662584</v>
      </c>
      <c r="G33" s="53">
        <v>2938.1088978946236</v>
      </c>
      <c r="H33" s="53">
        <v>2816.0590920309605</v>
      </c>
      <c r="I33" s="53">
        <v>2699.0792667667347</v>
      </c>
      <c r="J33" s="53">
        <v>2586.9588137925189</v>
      </c>
      <c r="K33" s="53">
        <v>2479.4958735227019</v>
      </c>
      <c r="L33" s="53">
        <v>2376.4969716712244</v>
      </c>
      <c r="M33" s="53">
        <v>2277.7766709240677</v>
      </c>
      <c r="N33" s="53">
        <v>2183.1572370813428</v>
      </c>
      <c r="O33" s="53">
        <v>2092.4683190679352</v>
      </c>
      <c r="P33" s="53">
        <v>2005.5466422365873</v>
      </c>
      <c r="Q33" s="53">
        <v>1922.2357144112441</v>
      </c>
      <c r="R33" s="53">
        <v>1842.3855441414476</v>
      </c>
      <c r="S33" s="53">
        <v>1765.8523706605008</v>
      </c>
      <c r="T33" s="53">
        <v>1692.4984050612538</v>
      </c>
      <c r="U33" s="53">
        <v>1622.1915822235069</v>
      </c>
      <c r="V33" s="53">
        <v>1554.8053230464152</v>
      </c>
      <c r="W33" s="53">
        <v>1490.2183065578211</v>
      </c>
      <c r="X33" s="53">
        <v>1428.3142514902265</v>
      </c>
      <c r="Y33" s="53">
        <v>1368.9817069301516</v>
      </c>
      <c r="Z33" s="53">
        <v>1312.1138516639774</v>
      </c>
      <c r="AA33" s="53">
        <v>1257.6083018590107</v>
      </c>
      <c r="AB33" s="53">
        <v>1205.3669267335308</v>
      </c>
      <c r="AC33" s="53">
        <v>1155.2956718839484</v>
      </c>
      <c r="AD33" s="53">
        <v>1107.3043899509998</v>
      </c>
      <c r="AE33" s="53">
        <v>1061.3066783201127</v>
      </c>
      <c r="AF33" s="53">
        <v>1017.2197235637391</v>
      </c>
      <c r="AG33" s="53">
        <v>974.9641523455972</v>
      </c>
      <c r="AH33" s="53">
        <v>934.46388851838549</v>
      </c>
      <c r="AI33" s="53">
        <v>895.64601615769845</v>
      </c>
      <c r="AJ33" s="53">
        <v>858.44064828554735</v>
      </c>
    </row>
    <row r="34" spans="1:36">
      <c r="A34" s="23" t="s">
        <v>124</v>
      </c>
      <c r="B34" s="23" t="s">
        <v>148</v>
      </c>
      <c r="C34" s="53">
        <v>4362.9480041823535</v>
      </c>
      <c r="D34" s="53">
        <v>3345.368009753518</v>
      </c>
      <c r="E34" s="53">
        <v>3206.4005547264073</v>
      </c>
      <c r="F34" s="53">
        <v>3073.205843833995</v>
      </c>
      <c r="G34" s="53">
        <v>2945.5440757872798</v>
      </c>
      <c r="H34" s="53">
        <v>2823.1854107050185</v>
      </c>
      <c r="I34" s="53">
        <v>2705.9095563142632</v>
      </c>
      <c r="J34" s="53">
        <v>2593.5053713402344</v>
      </c>
      <c r="K34" s="53">
        <v>2485.7704853714863</v>
      </c>
      <c r="L34" s="53">
        <v>2382.5109345159635</v>
      </c>
      <c r="M34" s="53">
        <v>2283.54081219201</v>
      </c>
      <c r="N34" s="53">
        <v>2188.681934425601</v>
      </c>
      <c r="O34" s="53">
        <v>2097.7635190512192</v>
      </c>
      <c r="P34" s="53">
        <v>2010.6218782388107</v>
      </c>
      <c r="Q34" s="53">
        <v>1927.1001237932469</v>
      </c>
      <c r="R34" s="53">
        <v>1847.047884695729</v>
      </c>
      <c r="S34" s="53">
        <v>1770.3210363785879</v>
      </c>
      <c r="T34" s="53">
        <v>1696.7814412460882</v>
      </c>
      <c r="U34" s="53">
        <v>1626.2966999740584</v>
      </c>
      <c r="V34" s="53">
        <v>1558.7399131406019</v>
      </c>
      <c r="W34" s="53">
        <v>1493.9894527587294</v>
      </c>
      <c r="X34" s="53">
        <v>1431.9287432995857</v>
      </c>
      <c r="Y34" s="53">
        <v>1372.4460518120284</v>
      </c>
      <c r="Z34" s="53">
        <v>1315.4342867606922</v>
      </c>
      <c r="AA34" s="53">
        <v>1260.7908052203748</v>
      </c>
      <c r="AB34" s="53">
        <v>1208.4172280796142</v>
      </c>
      <c r="AC34" s="53">
        <v>1158.2192629207639</v>
      </c>
      <c r="AD34" s="53">
        <v>1110.1065342576671</v>
      </c>
      <c r="AE34" s="53">
        <v>1063.9924208253096</v>
      </c>
      <c r="AF34" s="53">
        <v>1019.7938996284975</v>
      </c>
      <c r="AG34" s="53">
        <v>977.43139646879706</v>
      </c>
      <c r="AH34" s="53">
        <v>936.82864268062076</v>
      </c>
      <c r="AI34" s="53">
        <v>897.91253781853709</v>
      </c>
      <c r="AJ34" s="53">
        <v>860.61301804858203</v>
      </c>
    </row>
    <row r="35" spans="1:36">
      <c r="A35" s="23" t="s">
        <v>124</v>
      </c>
      <c r="B35" s="23" t="s">
        <v>149</v>
      </c>
      <c r="C35" s="53">
        <v>4522.3633673455815</v>
      </c>
      <c r="D35" s="53">
        <v>3467.6025758492578</v>
      </c>
      <c r="E35" s="53">
        <v>3323.5574652347368</v>
      </c>
      <c r="F35" s="53">
        <v>3185.4960258853316</v>
      </c>
      <c r="G35" s="53">
        <v>3053.1696945443214</v>
      </c>
      <c r="H35" s="53">
        <v>2926.340233337156</v>
      </c>
      <c r="I35" s="53">
        <v>2804.7793008524013</v>
      </c>
      <c r="J35" s="53">
        <v>2688.2680410400926</v>
      </c>
      <c r="K35" s="53">
        <v>2576.5966891873613</v>
      </c>
      <c r="L35" s="53">
        <v>2469.5641942619282</v>
      </c>
      <c r="M35" s="53">
        <v>2366.9778569435589</v>
      </c>
      <c r="N35" s="53">
        <v>2268.6529826917704</v>
      </c>
      <c r="O35" s="53">
        <v>2174.4125492252092</v>
      </c>
      <c r="P35" s="53">
        <v>2084.0868878140145</v>
      </c>
      <c r="Q35" s="53">
        <v>1997.5133778113811</v>
      </c>
      <c r="R35" s="53">
        <v>1914.536153874363</v>
      </c>
      <c r="S35" s="53">
        <v>1835.0058253467951</v>
      </c>
      <c r="T35" s="53">
        <v>1758.7792072991274</v>
      </c>
      <c r="U35" s="53">
        <v>1685.7190627409307</v>
      </c>
      <c r="V35" s="53">
        <v>1615.6938555419615</v>
      </c>
      <c r="W35" s="53">
        <v>1548.5775136169516</v>
      </c>
      <c r="X35" s="53">
        <v>1484.2492019477627</v>
      </c>
      <c r="Y35" s="53">
        <v>1422.5931050342583</v>
      </c>
      <c r="Z35" s="53">
        <v>1363.498218382224</v>
      </c>
      <c r="AA35" s="53">
        <v>1306.8581486529338</v>
      </c>
      <c r="AB35" s="53">
        <v>1252.5709221145532</v>
      </c>
      <c r="AC35" s="53">
        <v>1200.5388010505255</v>
      </c>
      <c r="AD35" s="53">
        <v>1150.6681077943945</v>
      </c>
      <c r="AE35" s="53">
        <v>1102.8690560742732</v>
      </c>
      <c r="AF35" s="53">
        <v>1057.0555893633011</v>
      </c>
      <c r="AG35" s="53">
        <v>1013.1452259450706</v>
      </c>
      <c r="AH35" s="53">
        <v>971.05891041507095</v>
      </c>
      <c r="AI35" s="53">
        <v>930.72087135080551</v>
      </c>
      <c r="AJ35" s="53">
        <v>892.05848489432526</v>
      </c>
    </row>
    <row r="36" spans="1:36">
      <c r="A36" s="23" t="s">
        <v>124</v>
      </c>
      <c r="B36" s="23" t="s">
        <v>150</v>
      </c>
      <c r="C36" s="53">
        <v>4645.8187533874998</v>
      </c>
      <c r="D36" s="53">
        <v>3562.2641896710356</v>
      </c>
      <c r="E36" s="53">
        <v>3414.2868110599238</v>
      </c>
      <c r="F36" s="53">
        <v>3272.4564511466701</v>
      </c>
      <c r="G36" s="53">
        <v>3136.5177611798194</v>
      </c>
      <c r="H36" s="53">
        <v>3006.2259996612993</v>
      </c>
      <c r="I36" s="53">
        <v>2881.3465917183621</v>
      </c>
      <c r="J36" s="53">
        <v>2761.654706779329</v>
      </c>
      <c r="K36" s="53">
        <v>2646.9348537927985</v>
      </c>
      <c r="L36" s="53">
        <v>2536.9804932615498</v>
      </c>
      <c r="M36" s="53">
        <v>2431.593665392661</v>
      </c>
      <c r="N36" s="53">
        <v>2330.5846336943641</v>
      </c>
      <c r="O36" s="53">
        <v>2233.7715433779836</v>
      </c>
      <c r="P36" s="53">
        <v>2140.9800939499464</v>
      </c>
      <c r="Q36" s="53">
        <v>2052.0432254043985</v>
      </c>
      <c r="R36" s="53">
        <v>1966.8008174514741</v>
      </c>
      <c r="S36" s="53">
        <v>1885.0994012396864</v>
      </c>
      <c r="T36" s="53">
        <v>1806.791883053455</v>
      </c>
      <c r="U36" s="53">
        <v>1731.7372794883067</v>
      </c>
      <c r="V36" s="53">
        <v>1659.8004636269652</v>
      </c>
      <c r="W36" s="53">
        <v>1590.8519217593539</v>
      </c>
      <c r="X36" s="53">
        <v>1524.7675202085138</v>
      </c>
      <c r="Y36" s="53">
        <v>1461.4282818426316</v>
      </c>
      <c r="Z36" s="53">
        <v>1400.720171870815</v>
      </c>
      <c r="AA36" s="53">
        <v>1342.5338925369713</v>
      </c>
      <c r="AB36" s="53">
        <v>1286.7646863421496</v>
      </c>
      <c r="AC36" s="53">
        <v>1233.312147441085</v>
      </c>
      <c r="AD36" s="53">
        <v>1182.0800408733724</v>
      </c>
      <c r="AE36" s="53">
        <v>1132.9761293038293</v>
      </c>
      <c r="AF36" s="53">
        <v>1085.9120069601051</v>
      </c>
      <c r="AG36" s="53">
        <v>1040.8029404685697</v>
      </c>
      <c r="AH36" s="53">
        <v>997.56771630191452</v>
      </c>
      <c r="AI36" s="53">
        <v>956.12849456382617</v>
      </c>
      <c r="AJ36" s="53">
        <v>916.41066884747761</v>
      </c>
    </row>
    <row r="37" spans="1:36">
      <c r="A37" s="23" t="s">
        <v>124</v>
      </c>
      <c r="B37" s="23" t="s">
        <v>197</v>
      </c>
      <c r="C37" s="53">
        <v>4654.7690040318539</v>
      </c>
      <c r="D37" s="53">
        <v>3569.1269535995061</v>
      </c>
      <c r="E37" s="53">
        <v>3420.864493994372</v>
      </c>
      <c r="F37" s="53">
        <v>3278.760895425547</v>
      </c>
      <c r="G37" s="53">
        <v>3142.5603172077649</v>
      </c>
      <c r="H37" s="53">
        <v>3012.0175463442001</v>
      </c>
      <c r="I37" s="53">
        <v>2886.8975560495314</v>
      </c>
      <c r="J37" s="53">
        <v>2766.9750826120726</v>
      </c>
      <c r="K37" s="53">
        <v>2652.0342198331646</v>
      </c>
      <c r="L37" s="53">
        <v>2541.8680303136503</v>
      </c>
      <c r="M37" s="53">
        <v>2436.2781728876248</v>
      </c>
      <c r="N37" s="53">
        <v>2335.0745455326669</v>
      </c>
      <c r="O37" s="53">
        <v>2238.0749431136883</v>
      </c>
      <c r="P37" s="53">
        <v>2145.1047293441816</v>
      </c>
      <c r="Q37" s="53">
        <v>2055.996522374287</v>
      </c>
      <c r="R37" s="53">
        <v>1970.5898934396141</v>
      </c>
      <c r="S37" s="53">
        <v>1888.7310780282639</v>
      </c>
      <c r="T37" s="53">
        <v>1810.2726990460546</v>
      </c>
      <c r="U37" s="53">
        <v>1735.073501481532</v>
      </c>
      <c r="V37" s="53">
        <v>1662.9980980930625</v>
      </c>
      <c r="W37" s="53">
        <v>1593.9167256601547</v>
      </c>
      <c r="X37" s="53">
        <v>1527.7050113601613</v>
      </c>
      <c r="Y37" s="53">
        <v>1464.2437488497546</v>
      </c>
      <c r="Z37" s="53">
        <v>1403.4186836480349</v>
      </c>
      <c r="AA37" s="53">
        <v>1345.1203074348796</v>
      </c>
      <c r="AB37" s="53">
        <v>1289.2436608941953</v>
      </c>
      <c r="AC37" s="53">
        <v>1235.6881447471087</v>
      </c>
      <c r="AD37" s="53">
        <v>1184.3573386348894</v>
      </c>
      <c r="AE37" s="53">
        <v>1135.1588275255247</v>
      </c>
      <c r="AF37" s="53">
        <v>1088.0040353314052</v>
      </c>
      <c r="AG37" s="53">
        <v>1042.8080654385828</v>
      </c>
      <c r="AH37" s="53">
        <v>999.4895478604758</v>
      </c>
      <c r="AI37" s="53">
        <v>957.97049274085646</v>
      </c>
      <c r="AJ37" s="53">
        <v>918.17614994235737</v>
      </c>
    </row>
    <row r="38" spans="1:36" s="23" customFormat="1">
      <c r="A38" s="23" t="s">
        <v>124</v>
      </c>
      <c r="B38" s="23" t="s">
        <v>198</v>
      </c>
      <c r="C38" s="53">
        <v>4598.9063450796984</v>
      </c>
      <c r="D38" s="53">
        <v>3526.2932659142152</v>
      </c>
      <c r="E38" s="53">
        <v>3379.8101288080397</v>
      </c>
      <c r="F38" s="53">
        <v>3239.4119392199505</v>
      </c>
      <c r="G38" s="53">
        <v>3104.8459268514034</v>
      </c>
      <c r="H38" s="53">
        <v>2975.8698215476343</v>
      </c>
      <c r="I38" s="53">
        <v>2852.2514171189609</v>
      </c>
      <c r="J38" s="53">
        <v>2733.768153281062</v>
      </c>
      <c r="K38" s="53">
        <v>2620.2067149615677</v>
      </c>
      <c r="L38" s="53">
        <v>2511.3626482515538</v>
      </c>
      <c r="M38" s="53">
        <v>2407.0399923105188</v>
      </c>
      <c r="N38" s="53">
        <v>2307.0509265621099</v>
      </c>
      <c r="O38" s="53">
        <v>2211.2154325454453</v>
      </c>
      <c r="P38" s="53">
        <v>2119.3609698132118</v>
      </c>
      <c r="Q38" s="53">
        <v>2031.3221652930381</v>
      </c>
      <c r="R38" s="53">
        <v>1946.9405155528857</v>
      </c>
      <c r="S38" s="53">
        <v>1866.0641014344012</v>
      </c>
      <c r="T38" s="53">
        <v>1788.547314540484</v>
      </c>
      <c r="U38" s="53">
        <v>1714.2505950846244</v>
      </c>
      <c r="V38" s="53">
        <v>1643.0401806300511</v>
      </c>
      <c r="W38" s="53">
        <v>1574.7878652663176</v>
      </c>
      <c r="X38" s="53">
        <v>1509.3707687897595</v>
      </c>
      <c r="Y38" s="53">
        <v>1446.6711154722518</v>
      </c>
      <c r="Z38" s="53">
        <v>1386.5760220199707</v>
      </c>
      <c r="AA38" s="53">
        <v>1328.9772943404032</v>
      </c>
      <c r="AB38" s="53">
        <v>1273.7712327517083</v>
      </c>
      <c r="AC38" s="53">
        <v>1220.8584452837335</v>
      </c>
      <c r="AD38" s="53">
        <v>1170.1436687345501</v>
      </c>
      <c r="AE38" s="53">
        <v>1121.5355971603537</v>
      </c>
      <c r="AF38" s="53">
        <v>1074.9467174899316</v>
      </c>
      <c r="AG38" s="53">
        <v>1030.2931519677554</v>
      </c>
      <c r="AH38" s="53">
        <v>987.49450714201976</v>
      </c>
      <c r="AI38" s="53">
        <v>946.47372912576566</v>
      </c>
      <c r="AJ38" s="53">
        <v>907.15696487048797</v>
      </c>
    </row>
    <row r="39" spans="1:36" s="23" customFormat="1">
      <c r="A39" s="23" t="s">
        <v>124</v>
      </c>
      <c r="B39" s="23" t="s">
        <v>199</v>
      </c>
      <c r="C39" s="53">
        <v>4826.7338115915436</v>
      </c>
      <c r="D39" s="53">
        <v>3700.9840294716305</v>
      </c>
      <c r="E39" s="53">
        <v>3547.24419272657</v>
      </c>
      <c r="F39" s="53">
        <v>3399.8907486852281</v>
      </c>
      <c r="G39" s="53">
        <v>3258.6584049378462</v>
      </c>
      <c r="H39" s="53">
        <v>3123.2928893901912</v>
      </c>
      <c r="I39" s="53">
        <v>2993.5504924767934</v>
      </c>
      <c r="J39" s="53">
        <v>2869.1976283907561</v>
      </c>
      <c r="K39" s="53">
        <v>2750.0104145402051</v>
      </c>
      <c r="L39" s="53">
        <v>2635.7742684742116</v>
      </c>
      <c r="M39" s="53">
        <v>2526.2835215525324</v>
      </c>
      <c r="N39" s="53">
        <v>2421.3410486635935</v>
      </c>
      <c r="O39" s="53">
        <v>2320.7579133240984</v>
      </c>
      <c r="P39" s="53">
        <v>2224.3530275212843</v>
      </c>
      <c r="Q39" s="53">
        <v>2131.9528256854155</v>
      </c>
      <c r="R39" s="53">
        <v>2043.3909522055569</v>
      </c>
      <c r="S39" s="53">
        <v>1958.507961926005</v>
      </c>
      <c r="T39" s="53">
        <v>1877.1510330841932</v>
      </c>
      <c r="U39" s="53">
        <v>1799.1736921732177</v>
      </c>
      <c r="V39" s="53">
        <v>1724.4355502336516</v>
      </c>
      <c r="W39" s="53">
        <v>1652.8020500998643</v>
      </c>
      <c r="X39" s="53">
        <v>1584.1442241457946</v>
      </c>
      <c r="Y39" s="53">
        <v>1518.3384620940265</v>
      </c>
      <c r="Z39" s="53">
        <v>1455.2662884701358</v>
      </c>
      <c r="AA39" s="53">
        <v>1394.8141493016431</v>
      </c>
      <c r="AB39" s="53">
        <v>1336.8732076775448</v>
      </c>
      <c r="AC39" s="53">
        <v>1281.3391478003578</v>
      </c>
      <c r="AD39" s="53">
        <v>1228.1119871778876</v>
      </c>
      <c r="AE39" s="53">
        <v>1177.0958966166065</v>
      </c>
      <c r="AF39" s="53">
        <v>1128.1990276925453</v>
      </c>
      <c r="AG39" s="53">
        <v>1081.3333473890966</v>
      </c>
      <c r="AH39" s="53">
        <v>1036.4144796040002</v>
      </c>
      <c r="AI39" s="53">
        <v>993.361553240175</v>
      </c>
      <c r="AJ39" s="53">
        <v>952.09705660689235</v>
      </c>
    </row>
    <row r="40" spans="1:36" s="23" customFormat="1">
      <c r="A40" s="23" t="s">
        <v>124</v>
      </c>
      <c r="B40" s="23" t="s">
        <v>200</v>
      </c>
      <c r="C40" s="53">
        <v>4996.613495139718</v>
      </c>
      <c r="D40" s="53">
        <v>3831.242299408455</v>
      </c>
      <c r="E40" s="53">
        <v>3672.0915003368045</v>
      </c>
      <c r="F40" s="53">
        <v>3519.5518667477068</v>
      </c>
      <c r="G40" s="53">
        <v>3373.3487691118557</v>
      </c>
      <c r="H40" s="53">
        <v>3233.2189860818416</v>
      </c>
      <c r="I40" s="53">
        <v>3098.9102305933138</v>
      </c>
      <c r="J40" s="53">
        <v>2970.1806956520263</v>
      </c>
      <c r="K40" s="53">
        <v>2846.7986189890089</v>
      </c>
      <c r="L40" s="53">
        <v>2728.5418658000685</v>
      </c>
      <c r="M40" s="53">
        <v>2615.1975288184112</v>
      </c>
      <c r="N40" s="53">
        <v>2506.5615450003384</v>
      </c>
      <c r="O40" s="53">
        <v>2402.4383281339269</v>
      </c>
      <c r="P40" s="53">
        <v>2302.6404167092419</v>
      </c>
      <c r="Q40" s="53">
        <v>2206.988136416101</v>
      </c>
      <c r="R40" s="53">
        <v>2115.3092766617842</v>
      </c>
      <c r="S40" s="53">
        <v>2027.4387805262679</v>
      </c>
      <c r="T40" s="53">
        <v>1943.2184475968083</v>
      </c>
      <c r="U40" s="53">
        <v>1862.4966491468504</v>
      </c>
      <c r="V40" s="53">
        <v>1785.1280551464763</v>
      </c>
      <c r="W40" s="53">
        <v>1710.9733726129155</v>
      </c>
      <c r="X40" s="53">
        <v>1639.8990948300391</v>
      </c>
      <c r="Y40" s="53">
        <v>1571.7772609853425</v>
      </c>
      <c r="Z40" s="53">
        <v>1506.4852257916691</v>
      </c>
      <c r="AA40" s="53">
        <v>1443.9054386789103</v>
      </c>
      <c r="AB40" s="53">
        <v>1383.9252321581343</v>
      </c>
      <c r="AC40" s="53">
        <v>1326.4366189771324</v>
      </c>
      <c r="AD40" s="53">
        <v>1271.3360977021653</v>
      </c>
      <c r="AE40" s="53">
        <v>1218.5244663759051</v>
      </c>
      <c r="AF40" s="53">
        <v>1167.9066439160663</v>
      </c>
      <c r="AG40" s="53">
        <v>1119.3914989331897</v>
      </c>
      <c r="AH40" s="53">
        <v>1072.8916856593762</v>
      </c>
      <c r="AI40" s="53">
        <v>1028.3234866925859</v>
      </c>
      <c r="AJ40" s="53">
        <v>985.60666227337867</v>
      </c>
    </row>
    <row r="41" spans="1:36" s="23" customFormat="1">
      <c r="A41" s="23" t="s">
        <v>124</v>
      </c>
      <c r="B41" s="23" t="s">
        <v>201</v>
      </c>
      <c r="C41" s="53">
        <v>5256.8000129437169</v>
      </c>
      <c r="D41" s="53">
        <v>4030.7449412910241</v>
      </c>
      <c r="E41" s="53">
        <v>3863.3067507178184</v>
      </c>
      <c r="F41" s="53">
        <v>3702.8239860201707</v>
      </c>
      <c r="G41" s="53">
        <v>3549.0077170027362</v>
      </c>
      <c r="H41" s="53">
        <v>3401.5810157054448</v>
      </c>
      <c r="I41" s="53">
        <v>3260.2784578275305</v>
      </c>
      <c r="J41" s="53">
        <v>3124.8456448625411</v>
      </c>
      <c r="K41" s="53">
        <v>2995.0387460839843</v>
      </c>
      <c r="L41" s="53">
        <v>2870.6240595570007</v>
      </c>
      <c r="M41" s="53">
        <v>2751.3775913857398</v>
      </c>
      <c r="N41" s="53">
        <v>2637.0846524388917</v>
      </c>
      <c r="O41" s="53">
        <v>2527.539471827361</v>
      </c>
      <c r="P41" s="53">
        <v>2422.5448264381698</v>
      </c>
      <c r="Q41" s="53">
        <v>2321.9116858576176</v>
      </c>
      <c r="R41" s="53">
        <v>2225.4588720444331</v>
      </c>
      <c r="S41" s="53">
        <v>2133.0127331401795</v>
      </c>
      <c r="T41" s="53">
        <v>2044.4068308296735</v>
      </c>
      <c r="U41" s="53">
        <v>1959.4816406885229</v>
      </c>
      <c r="V41" s="53">
        <v>1878.084264978311</v>
      </c>
      <c r="W41" s="53">
        <v>1800.0681573723418</v>
      </c>
      <c r="X41" s="53">
        <v>1725.2928591163495</v>
      </c>
      <c r="Y41" s="53">
        <v>1653.6237461491601</v>
      </c>
      <c r="Z41" s="53">
        <v>1584.931786728027</v>
      </c>
      <c r="AA41" s="53">
        <v>1519.0933091222726</v>
      </c>
      <c r="AB41" s="53">
        <v>1455.9897789569952</v>
      </c>
      <c r="AC41" s="53">
        <v>1395.5075858059804</v>
      </c>
      <c r="AD41" s="53">
        <v>1337.5378386495911</v>
      </c>
      <c r="AE41" s="53">
        <v>1281.9761698293976</v>
      </c>
      <c r="AF41" s="53">
        <v>1228.7225471465763</v>
      </c>
      <c r="AG41" s="53">
        <v>1177.6810937657958</v>
      </c>
      <c r="AH41" s="53">
        <v>1128.7599156003375</v>
      </c>
      <c r="AI41" s="53">
        <v>1081.8709358676856</v>
      </c>
      <c r="AJ41" s="53">
        <v>1036.9297365177197</v>
      </c>
    </row>
    <row r="42" spans="1:36" s="23" customFormat="1"/>
    <row r="43" spans="1:36" s="23" customFormat="1"/>
    <row r="44" spans="1:36">
      <c r="A44" s="23"/>
      <c r="B44" s="23">
        <v>2017</v>
      </c>
      <c r="C44" s="47">
        <v>2018</v>
      </c>
      <c r="D44" s="47">
        <v>2019</v>
      </c>
      <c r="E44" s="47">
        <v>2020</v>
      </c>
      <c r="F44" s="47">
        <v>2021</v>
      </c>
      <c r="G44" s="47">
        <v>2022</v>
      </c>
      <c r="H44" s="47">
        <v>2023</v>
      </c>
      <c r="I44" s="47">
        <v>2024</v>
      </c>
      <c r="J44" s="47">
        <v>2025</v>
      </c>
      <c r="K44" s="47">
        <v>2026</v>
      </c>
      <c r="L44" s="47">
        <v>2027</v>
      </c>
      <c r="M44" s="47">
        <v>2028</v>
      </c>
      <c r="N44" s="47">
        <v>2029</v>
      </c>
      <c r="O44" s="47">
        <v>2030</v>
      </c>
      <c r="P44" s="47">
        <v>2031</v>
      </c>
      <c r="Q44" s="47">
        <v>2032</v>
      </c>
      <c r="R44" s="47">
        <v>2033</v>
      </c>
      <c r="S44" s="47">
        <v>2034</v>
      </c>
      <c r="T44" s="47">
        <v>2035</v>
      </c>
      <c r="U44" s="47">
        <v>2036</v>
      </c>
      <c r="V44" s="47">
        <v>2037</v>
      </c>
      <c r="W44" s="47">
        <v>2038</v>
      </c>
      <c r="X44" s="47">
        <v>2039</v>
      </c>
      <c r="Y44" s="47">
        <v>2040</v>
      </c>
      <c r="Z44" s="47">
        <v>2041</v>
      </c>
      <c r="AA44" s="47">
        <v>2042</v>
      </c>
      <c r="AB44" s="47">
        <v>2043</v>
      </c>
      <c r="AC44" s="47">
        <v>2044</v>
      </c>
      <c r="AD44" s="47">
        <v>2045</v>
      </c>
      <c r="AE44" s="47">
        <v>2046</v>
      </c>
      <c r="AF44" s="47">
        <v>2047</v>
      </c>
      <c r="AG44" s="47">
        <v>2048</v>
      </c>
      <c r="AH44" s="47">
        <v>2049</v>
      </c>
      <c r="AI44" s="47">
        <v>2050</v>
      </c>
    </row>
    <row r="45" spans="1:36">
      <c r="A45" s="23" t="s">
        <v>15</v>
      </c>
      <c r="B45" s="23">
        <f t="shared" ref="B45:AI45" si="0">AVERAGEIF($A$3:$A$41,$A45,C$3:C$41)/AVERAGEIF($A$3:$A$41,$A45,$C$3:$C$41)</f>
        <v>1</v>
      </c>
      <c r="C45" s="53">
        <f t="shared" si="0"/>
        <v>0.99361387867111461</v>
      </c>
      <c r="D45" s="53">
        <f t="shared" si="0"/>
        <v>0.98722775734222923</v>
      </c>
      <c r="E45" s="53">
        <f t="shared" si="0"/>
        <v>0.98084163601334406</v>
      </c>
      <c r="F45" s="53">
        <f t="shared" si="0"/>
        <v>0.97445551468445868</v>
      </c>
      <c r="G45" s="53">
        <f t="shared" si="0"/>
        <v>0.96806939335557329</v>
      </c>
      <c r="H45" s="53">
        <f t="shared" si="0"/>
        <v>0.96168327202668813</v>
      </c>
      <c r="I45" s="53">
        <f t="shared" si="0"/>
        <v>0.95575502423058456</v>
      </c>
      <c r="J45" s="53">
        <f t="shared" si="0"/>
        <v>0.95376418570365662</v>
      </c>
      <c r="K45" s="53">
        <f t="shared" si="0"/>
        <v>0.95139261374308337</v>
      </c>
      <c r="L45" s="53">
        <f t="shared" si="0"/>
        <v>0.94852007231170787</v>
      </c>
      <c r="M45" s="53">
        <f t="shared" si="0"/>
        <v>0.94466258129256508</v>
      </c>
      <c r="N45" s="53">
        <f t="shared" si="0"/>
        <v>0.93884950207788953</v>
      </c>
      <c r="O45" s="53">
        <f t="shared" si="0"/>
        <v>0.93456496865882499</v>
      </c>
      <c r="P45" s="53">
        <f t="shared" si="0"/>
        <v>0.93030546804985181</v>
      </c>
      <c r="Q45" s="53">
        <f t="shared" si="0"/>
        <v>0.92553728258489454</v>
      </c>
      <c r="R45" s="53">
        <f t="shared" si="0"/>
        <v>0.9211574901041627</v>
      </c>
      <c r="S45" s="53">
        <f t="shared" si="0"/>
        <v>0.91750184895739795</v>
      </c>
      <c r="T45" s="53">
        <f t="shared" si="0"/>
        <v>0.91269144432598337</v>
      </c>
      <c r="U45" s="53">
        <f t="shared" si="0"/>
        <v>0.90827188751369381</v>
      </c>
      <c r="V45" s="53">
        <f t="shared" si="0"/>
        <v>0.90363470423676473</v>
      </c>
      <c r="W45" s="53">
        <f t="shared" si="0"/>
        <v>0.89949479347065597</v>
      </c>
      <c r="X45" s="53">
        <f t="shared" si="0"/>
        <v>0.89487579418408858</v>
      </c>
      <c r="Y45" s="53">
        <f t="shared" si="0"/>
        <v>0.89037032831183294</v>
      </c>
      <c r="Z45" s="53">
        <f t="shared" si="0"/>
        <v>0.88678090500801032</v>
      </c>
      <c r="AA45" s="53">
        <f t="shared" si="0"/>
        <v>0.88119299673102536</v>
      </c>
      <c r="AB45" s="53">
        <f t="shared" si="0"/>
        <v>0.87806005588995828</v>
      </c>
      <c r="AC45" s="53">
        <f t="shared" si="0"/>
        <v>0.87266621682046297</v>
      </c>
      <c r="AD45" s="53">
        <f t="shared" si="0"/>
        <v>0.86933443748820738</v>
      </c>
      <c r="AE45" s="53">
        <f t="shared" si="0"/>
        <v>0.86428508846842067</v>
      </c>
      <c r="AF45" s="53">
        <f t="shared" si="0"/>
        <v>0.86004245813458313</v>
      </c>
      <c r="AG45" s="53">
        <f t="shared" si="0"/>
        <v>0.85578564375138377</v>
      </c>
      <c r="AH45" s="53">
        <f t="shared" si="0"/>
        <v>0.85145208680729234</v>
      </c>
      <c r="AI45" s="53">
        <f t="shared" si="0"/>
        <v>0.84058920735081899</v>
      </c>
    </row>
    <row r="46" spans="1:36">
      <c r="A46" s="23" t="s">
        <v>33</v>
      </c>
      <c r="B46" s="23">
        <f t="shared" ref="B46:AI46" si="1">AVERAGEIF($A$3:$A$41,$A46,C$3:C$41)/AVERAGEIF($A$3:$A$41,$A46,$C$3:$C$41)</f>
        <v>1</v>
      </c>
      <c r="C46" s="53">
        <f t="shared" si="1"/>
        <v>0.99289565601927343</v>
      </c>
      <c r="D46" s="53">
        <f t="shared" si="1"/>
        <v>0.98579131203854686</v>
      </c>
      <c r="E46" s="53">
        <f t="shared" si="1"/>
        <v>0.97868696805782029</v>
      </c>
      <c r="F46" s="53">
        <f t="shared" si="1"/>
        <v>0.9715826240770935</v>
      </c>
      <c r="G46" s="53">
        <f t="shared" si="1"/>
        <v>0.96447828009636694</v>
      </c>
      <c r="H46" s="53">
        <f t="shared" si="1"/>
        <v>0.94986509740833081</v>
      </c>
      <c r="I46" s="53">
        <f t="shared" si="1"/>
        <v>0.94251232636883664</v>
      </c>
      <c r="J46" s="53">
        <f t="shared" si="1"/>
        <v>0.93884141486351436</v>
      </c>
      <c r="K46" s="53">
        <f t="shared" si="1"/>
        <v>0.93509506075622273</v>
      </c>
      <c r="L46" s="53">
        <f t="shared" si="1"/>
        <v>0.93114650465823812</v>
      </c>
      <c r="M46" s="53">
        <f t="shared" si="1"/>
        <v>0.92776809620357947</v>
      </c>
      <c r="N46" s="53">
        <f t="shared" si="1"/>
        <v>0.92249404190792728</v>
      </c>
      <c r="O46" s="53">
        <f t="shared" si="1"/>
        <v>0.91950118460718078</v>
      </c>
      <c r="P46" s="53">
        <f t="shared" si="1"/>
        <v>0.91672504132656596</v>
      </c>
      <c r="Q46" s="53">
        <f t="shared" si="1"/>
        <v>0.91296593219468369</v>
      </c>
      <c r="R46" s="53">
        <f t="shared" si="1"/>
        <v>0.91001053553845368</v>
      </c>
      <c r="S46" s="53">
        <f t="shared" si="1"/>
        <v>0.90746245925091229</v>
      </c>
      <c r="T46" s="53">
        <f t="shared" si="1"/>
        <v>0.90416225095749481</v>
      </c>
      <c r="U46" s="53">
        <f t="shared" si="1"/>
        <v>0.90101490638278403</v>
      </c>
      <c r="V46" s="53">
        <f t="shared" si="1"/>
        <v>0.89813993680267379</v>
      </c>
      <c r="W46" s="53">
        <f t="shared" si="1"/>
        <v>0.89622430569802169</v>
      </c>
      <c r="X46" s="53">
        <f t="shared" si="1"/>
        <v>0.89383097648089882</v>
      </c>
      <c r="Y46" s="53">
        <f t="shared" si="1"/>
        <v>0.89155001563415048</v>
      </c>
      <c r="Z46" s="53">
        <f t="shared" si="1"/>
        <v>0.89018794212555774</v>
      </c>
      <c r="AA46" s="53">
        <f t="shared" si="1"/>
        <v>0.88681844175674396</v>
      </c>
      <c r="AB46" s="53">
        <f t="shared" si="1"/>
        <v>0.88591957066847604</v>
      </c>
      <c r="AC46" s="53">
        <f t="shared" si="1"/>
        <v>0.88274004210700152</v>
      </c>
      <c r="AD46" s="53">
        <f t="shared" si="1"/>
        <v>0.88164624452454521</v>
      </c>
      <c r="AE46" s="53">
        <f t="shared" si="1"/>
        <v>0.87881160892440002</v>
      </c>
      <c r="AF46" s="53">
        <f t="shared" si="1"/>
        <v>0.8767956515348625</v>
      </c>
      <c r="AG46" s="53">
        <f t="shared" si="1"/>
        <v>0.87476556369092151</v>
      </c>
      <c r="AH46" s="53">
        <f t="shared" si="1"/>
        <v>0.87265754775778004</v>
      </c>
      <c r="AI46" s="53">
        <f t="shared" si="1"/>
        <v>0.8638396791213292</v>
      </c>
    </row>
    <row r="47" spans="1:36">
      <c r="A47" s="23" t="s">
        <v>16</v>
      </c>
      <c r="B47" s="23">
        <f t="shared" ref="B47:AI47" si="2">AVERAGEIF($A$3:$A$41,$A47,C$3:C$41)/AVERAGEIF($A$3:$A$41,$A47,$C$3:$C$41)</f>
        <v>1</v>
      </c>
      <c r="C47" s="53">
        <f t="shared" si="2"/>
        <v>0.99299706323394998</v>
      </c>
      <c r="D47" s="53">
        <f t="shared" si="2"/>
        <v>0.98599412646789986</v>
      </c>
      <c r="E47" s="53">
        <f t="shared" si="2"/>
        <v>0.97899118970184984</v>
      </c>
      <c r="F47" s="53">
        <f t="shared" si="2"/>
        <v>0.97198825293579971</v>
      </c>
      <c r="G47" s="53">
        <f t="shared" si="2"/>
        <v>0.9649853161697497</v>
      </c>
      <c r="H47" s="53">
        <f t="shared" si="2"/>
        <v>0.95798237940369968</v>
      </c>
      <c r="I47" s="53">
        <f t="shared" si="2"/>
        <v>0.9514380268203958</v>
      </c>
      <c r="J47" s="53">
        <f t="shared" si="2"/>
        <v>0.94881266625648586</v>
      </c>
      <c r="K47" s="53">
        <f t="shared" si="2"/>
        <v>0.94580560403108094</v>
      </c>
      <c r="L47" s="53">
        <f t="shared" si="2"/>
        <v>0.94229815162946873</v>
      </c>
      <c r="M47" s="53">
        <f t="shared" si="2"/>
        <v>0.93781099262875101</v>
      </c>
      <c r="N47" s="53">
        <f t="shared" si="2"/>
        <v>0.93138304519871018</v>
      </c>
      <c r="O47" s="53">
        <f t="shared" si="2"/>
        <v>0.92647245464194639</v>
      </c>
      <c r="P47" s="53">
        <f t="shared" si="2"/>
        <v>0.92158644841071546</v>
      </c>
      <c r="Q47" s="53">
        <f t="shared" si="2"/>
        <v>0.91619674484378688</v>
      </c>
      <c r="R47" s="53">
        <f t="shared" si="2"/>
        <v>0.91119190892101065</v>
      </c>
      <c r="S47" s="53">
        <f t="shared" si="2"/>
        <v>0.90690285527447145</v>
      </c>
      <c r="T47" s="53">
        <f t="shared" si="2"/>
        <v>0.90147225680378973</v>
      </c>
      <c r="U47" s="53">
        <f t="shared" si="2"/>
        <v>0.89642801084429113</v>
      </c>
      <c r="V47" s="53">
        <f t="shared" si="2"/>
        <v>0.8911693178724599</v>
      </c>
      <c r="W47" s="53">
        <f t="shared" si="2"/>
        <v>0.88640131346991513</v>
      </c>
      <c r="X47" s="53">
        <f t="shared" si="2"/>
        <v>0.88116090900532995</v>
      </c>
      <c r="Y47" s="53">
        <f t="shared" si="2"/>
        <v>0.8760326516087541</v>
      </c>
      <c r="Z47" s="53">
        <f t="shared" si="2"/>
        <v>0.87180517776536537</v>
      </c>
      <c r="AA47" s="53">
        <f t="shared" si="2"/>
        <v>0.86561351805612274</v>
      </c>
      <c r="AB47" s="53">
        <f t="shared" si="2"/>
        <v>0.86183332046796002</v>
      </c>
      <c r="AC47" s="53">
        <f t="shared" si="2"/>
        <v>0.85583377022979312</v>
      </c>
      <c r="AD47" s="53">
        <f t="shared" si="2"/>
        <v>0.85185654996956839</v>
      </c>
      <c r="AE47" s="53">
        <f t="shared" si="2"/>
        <v>0.84619628302670113</v>
      </c>
      <c r="AF47" s="53">
        <f t="shared" si="2"/>
        <v>0.84132630906727179</v>
      </c>
      <c r="AG47" s="53">
        <f t="shared" si="2"/>
        <v>0.83644191361051734</v>
      </c>
      <c r="AH47" s="53">
        <f t="shared" si="2"/>
        <v>0.83148261136523338</v>
      </c>
      <c r="AI47" s="53">
        <f t="shared" si="2"/>
        <v>0.82015272478064627</v>
      </c>
    </row>
    <row r="48" spans="1:36">
      <c r="A48" s="23" t="s">
        <v>17</v>
      </c>
      <c r="B48" s="23">
        <f t="shared" ref="B48:AI48" si="3">AVERAGEIF($A$3:$A$41,$A48,C$3:C$41)/AVERAGEIF($A$3:$A$41,$A48,$C$3:$C$41)</f>
        <v>1</v>
      </c>
      <c r="C48" s="53">
        <f t="shared" si="3"/>
        <v>0.98500285010457367</v>
      </c>
      <c r="D48" s="53">
        <f t="shared" si="3"/>
        <v>0.97000570020914689</v>
      </c>
      <c r="E48" s="53">
        <f t="shared" si="3"/>
        <v>0.95500855031372067</v>
      </c>
      <c r="F48" s="53">
        <f t="shared" si="3"/>
        <v>0.94001140041829412</v>
      </c>
      <c r="G48" s="53">
        <f t="shared" si="3"/>
        <v>0.92501425052286779</v>
      </c>
      <c r="H48" s="53">
        <f t="shared" si="3"/>
        <v>0.91001710062744134</v>
      </c>
      <c r="I48" s="53">
        <f t="shared" si="3"/>
        <v>0.8950199507320149</v>
      </c>
      <c r="J48" s="53">
        <f t="shared" si="3"/>
        <v>0.88002280083658868</v>
      </c>
      <c r="K48" s="53">
        <f t="shared" si="3"/>
        <v>0.86502565094116191</v>
      </c>
      <c r="L48" s="53">
        <f t="shared" si="3"/>
        <v>0.85002850104573568</v>
      </c>
      <c r="M48" s="53">
        <f t="shared" si="3"/>
        <v>0.83503135115030913</v>
      </c>
      <c r="N48" s="53">
        <f t="shared" si="3"/>
        <v>0.82003420125488258</v>
      </c>
      <c r="O48" s="53">
        <f t="shared" si="3"/>
        <v>0.80503705135945625</v>
      </c>
      <c r="P48" s="53">
        <f t="shared" si="3"/>
        <v>0.79003990146402991</v>
      </c>
      <c r="Q48" s="53">
        <f t="shared" si="3"/>
        <v>0.77504275156860336</v>
      </c>
      <c r="R48" s="53">
        <f t="shared" si="3"/>
        <v>0.76004560167317692</v>
      </c>
      <c r="S48" s="53">
        <f t="shared" si="3"/>
        <v>0.74504845177775059</v>
      </c>
      <c r="T48" s="53">
        <f t="shared" si="3"/>
        <v>0.73005130188232414</v>
      </c>
      <c r="U48" s="53">
        <f t="shared" si="3"/>
        <v>0.72612221934481047</v>
      </c>
      <c r="V48" s="53">
        <f t="shared" si="3"/>
        <v>0.72219313680729702</v>
      </c>
      <c r="W48" s="53">
        <f t="shared" si="3"/>
        <v>0.71826405426978335</v>
      </c>
      <c r="X48" s="53">
        <f t="shared" si="3"/>
        <v>0.71433497173226956</v>
      </c>
      <c r="Y48" s="53">
        <f t="shared" si="3"/>
        <v>0.71040588919475611</v>
      </c>
      <c r="Z48" s="53">
        <f t="shared" si="3"/>
        <v>0.70647680665724244</v>
      </c>
      <c r="AA48" s="53">
        <f t="shared" si="3"/>
        <v>0.70254772411972888</v>
      </c>
      <c r="AB48" s="53">
        <f t="shared" si="3"/>
        <v>0.69861864158221521</v>
      </c>
      <c r="AC48" s="53">
        <f t="shared" si="3"/>
        <v>0.69468955904470164</v>
      </c>
      <c r="AD48" s="53">
        <f t="shared" si="3"/>
        <v>0.69076047650718797</v>
      </c>
      <c r="AE48" s="53">
        <f t="shared" si="3"/>
        <v>0.68683139396967441</v>
      </c>
      <c r="AF48" s="53">
        <f t="shared" si="3"/>
        <v>0.68290231143216074</v>
      </c>
      <c r="AG48" s="53">
        <f t="shared" si="3"/>
        <v>0.67897322889464717</v>
      </c>
      <c r="AH48" s="53">
        <f t="shared" si="3"/>
        <v>0.67504414635713361</v>
      </c>
      <c r="AI48" s="53">
        <f t="shared" si="3"/>
        <v>0.67111506381962005</v>
      </c>
    </row>
    <row r="49" spans="1:35" s="23" customFormat="1">
      <c r="A49" s="23" t="s">
        <v>19</v>
      </c>
      <c r="B49" s="23">
        <f t="shared" ref="B49:AI49" si="4">AVERAGEIF($A$3:$A$41,$A49,C$3:C$41)/AVERAGEIF($A$3:$A$41,$A49,$C$3:$C$41)</f>
        <v>1</v>
      </c>
      <c r="C49" s="53">
        <f t="shared" si="4"/>
        <v>0.95860906787400912</v>
      </c>
      <c r="D49" s="53">
        <f t="shared" si="4"/>
        <v>0.9172181357480178</v>
      </c>
      <c r="E49" s="53">
        <f t="shared" si="4"/>
        <v>0.87582720362202637</v>
      </c>
      <c r="F49" s="53">
        <f t="shared" si="4"/>
        <v>0.83443627149603539</v>
      </c>
      <c r="G49" s="53">
        <f t="shared" si="4"/>
        <v>0.78545475742407822</v>
      </c>
      <c r="H49" s="53">
        <f t="shared" si="4"/>
        <v>0.7434692512162604</v>
      </c>
      <c r="I49" s="53">
        <f t="shared" si="4"/>
        <v>0.69766611832130099</v>
      </c>
      <c r="J49" s="53">
        <f t="shared" si="4"/>
        <v>0.6518629854263418</v>
      </c>
      <c r="K49" s="53">
        <f t="shared" si="4"/>
        <v>0.60605985253138261</v>
      </c>
      <c r="L49" s="53">
        <f t="shared" si="4"/>
        <v>0.56025671963642332</v>
      </c>
      <c r="M49" s="53">
        <f t="shared" si="4"/>
        <v>0.51445358674146391</v>
      </c>
      <c r="N49" s="53">
        <f t="shared" si="4"/>
        <v>0.46865045384650467</v>
      </c>
      <c r="O49" s="53">
        <f t="shared" si="4"/>
        <v>0.42284732095154565</v>
      </c>
      <c r="P49" s="53">
        <f t="shared" si="4"/>
        <v>0.41864257896922646</v>
      </c>
      <c r="Q49" s="53">
        <f t="shared" si="4"/>
        <v>0.41443783698690723</v>
      </c>
      <c r="R49" s="53">
        <f t="shared" si="4"/>
        <v>0.4102330950045881</v>
      </c>
      <c r="S49" s="53">
        <f t="shared" si="4"/>
        <v>0.40602835302226875</v>
      </c>
      <c r="T49" s="53">
        <f t="shared" si="4"/>
        <v>0.40182361103994962</v>
      </c>
      <c r="U49" s="53">
        <f t="shared" si="4"/>
        <v>0.39761886905763044</v>
      </c>
      <c r="V49" s="53">
        <f t="shared" si="4"/>
        <v>0.39341412707531132</v>
      </c>
      <c r="W49" s="53">
        <f t="shared" si="4"/>
        <v>0.38920938509299208</v>
      </c>
      <c r="X49" s="53">
        <f t="shared" si="4"/>
        <v>0.38500464311067273</v>
      </c>
      <c r="Y49" s="53">
        <f t="shared" si="4"/>
        <v>0.38079990112835366</v>
      </c>
      <c r="Z49" s="53">
        <f t="shared" si="4"/>
        <v>0.37659515914603442</v>
      </c>
      <c r="AA49" s="53">
        <f t="shared" si="4"/>
        <v>0.37239041716371518</v>
      </c>
      <c r="AB49" s="53">
        <f t="shared" si="4"/>
        <v>0.36818567518139605</v>
      </c>
      <c r="AC49" s="53">
        <f t="shared" si="4"/>
        <v>0.36398093319907687</v>
      </c>
      <c r="AD49" s="53">
        <f t="shared" si="4"/>
        <v>0.35977619121675758</v>
      </c>
      <c r="AE49" s="53">
        <f t="shared" si="4"/>
        <v>0.35557144923443851</v>
      </c>
      <c r="AF49" s="53">
        <f t="shared" si="4"/>
        <v>0.35136670725211921</v>
      </c>
      <c r="AG49" s="53">
        <f t="shared" si="4"/>
        <v>0.34716196526979998</v>
      </c>
      <c r="AH49" s="53">
        <f t="shared" si="4"/>
        <v>0.34295722328748079</v>
      </c>
      <c r="AI49" s="53">
        <f t="shared" si="4"/>
        <v>0.33875248130516172</v>
      </c>
    </row>
    <row r="50" spans="1:35">
      <c r="A50" s="23" t="s">
        <v>20</v>
      </c>
      <c r="B50" s="23">
        <f t="shared" ref="B50:AI50" si="5">AVERAGEIF($A$3:$A$41,$A50,C$3:C$41)/AVERAGEIF($A$3:$A$41,$A50,$C$3:$C$41)</f>
        <v>1</v>
      </c>
      <c r="C50" s="53">
        <f t="shared" si="5"/>
        <v>0.99866706531590688</v>
      </c>
      <c r="D50" s="53">
        <f t="shared" si="5"/>
        <v>0.99733413063181364</v>
      </c>
      <c r="E50" s="53">
        <f t="shared" si="5"/>
        <v>0.99572315608622486</v>
      </c>
      <c r="F50" s="53">
        <f t="shared" si="5"/>
        <v>1.006844205541084</v>
      </c>
      <c r="G50" s="53">
        <f t="shared" si="5"/>
        <v>0.98099485229086403</v>
      </c>
      <c r="H50" s="53">
        <f t="shared" si="5"/>
        <v>0.97625494126096368</v>
      </c>
      <c r="I50" s="53">
        <f t="shared" si="5"/>
        <v>0.97195053751129057</v>
      </c>
      <c r="J50" s="53">
        <f t="shared" si="5"/>
        <v>0.97144423922539058</v>
      </c>
      <c r="K50" s="53">
        <f t="shared" si="5"/>
        <v>0.97057654461538967</v>
      </c>
      <c r="L50" s="53">
        <f t="shared" si="5"/>
        <v>0.96922954130968253</v>
      </c>
      <c r="M50" s="53">
        <f t="shared" si="5"/>
        <v>0.96693141521083936</v>
      </c>
      <c r="N50" s="53">
        <f t="shared" si="5"/>
        <v>0.96273418242138675</v>
      </c>
      <c r="O50" s="53">
        <f t="shared" si="5"/>
        <v>0.96002039877923506</v>
      </c>
      <c r="P50" s="53">
        <f t="shared" si="5"/>
        <v>0.95733114239508632</v>
      </c>
      <c r="Q50" s="53">
        <f t="shared" si="5"/>
        <v>0.95414543365001081</v>
      </c>
      <c r="R50" s="53">
        <f t="shared" si="5"/>
        <v>0.95133837301468205</v>
      </c>
      <c r="S50" s="53">
        <f t="shared" si="5"/>
        <v>0.94924070534335847</v>
      </c>
      <c r="T50" s="53">
        <f t="shared" si="5"/>
        <v>0.94601201531706791</v>
      </c>
      <c r="U50" s="53">
        <f t="shared" si="5"/>
        <v>0.94316603432158919</v>
      </c>
      <c r="V50" s="53">
        <f t="shared" si="5"/>
        <v>0.94010560974761981</v>
      </c>
      <c r="W50" s="53">
        <f t="shared" si="5"/>
        <v>0.93753491204764161</v>
      </c>
      <c r="X50" s="53">
        <f t="shared" si="5"/>
        <v>0.93449120532015484</v>
      </c>
      <c r="Y50" s="53">
        <f t="shared" si="5"/>
        <v>0.93155909929288172</v>
      </c>
      <c r="Z50" s="53">
        <f t="shared" si="5"/>
        <v>0.92953479789727411</v>
      </c>
      <c r="AA50" s="53">
        <f t="shared" si="5"/>
        <v>0.92552810506553873</v>
      </c>
      <c r="AB50" s="53">
        <f t="shared" si="5"/>
        <v>0.92395996075469167</v>
      </c>
      <c r="AC50" s="53">
        <f t="shared" si="5"/>
        <v>0.92014217392752329</v>
      </c>
      <c r="AD50" s="53">
        <f t="shared" si="5"/>
        <v>0.91837997796090998</v>
      </c>
      <c r="AE50" s="53">
        <f t="shared" si="5"/>
        <v>0.91490329989722352</v>
      </c>
      <c r="AF50" s="53">
        <f t="shared" si="5"/>
        <v>0.91223261342364481</v>
      </c>
      <c r="AG50" s="53">
        <f t="shared" si="5"/>
        <v>0.90954792862679801</v>
      </c>
      <c r="AH50" s="53">
        <f t="shared" si="5"/>
        <v>0.90678646139822128</v>
      </c>
      <c r="AI50" s="53">
        <f t="shared" si="5"/>
        <v>0.89744477508287412</v>
      </c>
    </row>
    <row r="51" spans="1:35">
      <c r="A51" s="23" t="s">
        <v>34</v>
      </c>
      <c r="B51" s="23">
        <f t="shared" ref="B51:AI51" si="6">AVERAGEIF($A$3:$A$41,$A51,C$3:C$41)/AVERAGEIF($A$3:$A$41,$A51,$C$3:$C$41)</f>
        <v>1</v>
      </c>
      <c r="C51" s="53">
        <f t="shared" si="6"/>
        <v>0.94356363905780227</v>
      </c>
      <c r="D51" s="53">
        <f t="shared" si="6"/>
        <v>0.88712727811560432</v>
      </c>
      <c r="E51" s="53">
        <f t="shared" si="6"/>
        <v>0.83069091717340648</v>
      </c>
      <c r="F51" s="53">
        <f t="shared" si="6"/>
        <v>0.77425455623120853</v>
      </c>
      <c r="G51" s="53">
        <f t="shared" si="6"/>
        <v>0.71781819528901092</v>
      </c>
      <c r="H51" s="53">
        <f t="shared" si="6"/>
        <v>0.66138183434681308</v>
      </c>
      <c r="I51" s="53">
        <f t="shared" si="6"/>
        <v>0.60494547340461513</v>
      </c>
      <c r="J51" s="53">
        <f t="shared" si="6"/>
        <v>0.54850911246241718</v>
      </c>
      <c r="K51" s="53">
        <f t="shared" si="6"/>
        <v>0.49207275152021934</v>
      </c>
      <c r="L51" s="53">
        <f t="shared" si="6"/>
        <v>0.4356363905780215</v>
      </c>
      <c r="M51" s="53">
        <f t="shared" si="6"/>
        <v>0.37920002963582355</v>
      </c>
      <c r="N51" s="53">
        <f t="shared" si="6"/>
        <v>0.3227636686936256</v>
      </c>
      <c r="O51" s="53">
        <f t="shared" si="6"/>
        <v>0.26632730775142766</v>
      </c>
      <c r="P51" s="53">
        <f t="shared" si="6"/>
        <v>0.26632730775142766</v>
      </c>
      <c r="Q51" s="53">
        <f t="shared" si="6"/>
        <v>0.26632730775142766</v>
      </c>
      <c r="R51" s="53">
        <f t="shared" si="6"/>
        <v>0.26632730775142766</v>
      </c>
      <c r="S51" s="53">
        <f t="shared" si="6"/>
        <v>0.26632730775142766</v>
      </c>
      <c r="T51" s="53">
        <f t="shared" si="6"/>
        <v>0.26632730775142766</v>
      </c>
      <c r="U51" s="53">
        <f t="shared" si="6"/>
        <v>0.26632730775142766</v>
      </c>
      <c r="V51" s="53">
        <f t="shared" si="6"/>
        <v>0.26632730775142766</v>
      </c>
      <c r="W51" s="53">
        <f t="shared" si="6"/>
        <v>0.26632730775142766</v>
      </c>
      <c r="X51" s="53">
        <f t="shared" si="6"/>
        <v>0.26632730775142766</v>
      </c>
      <c r="Y51" s="53">
        <f t="shared" si="6"/>
        <v>0.26632730775142766</v>
      </c>
      <c r="Z51" s="53">
        <f t="shared" si="6"/>
        <v>0.26632730775142766</v>
      </c>
      <c r="AA51" s="53">
        <f t="shared" si="6"/>
        <v>0.26632730775142766</v>
      </c>
      <c r="AB51" s="53">
        <f t="shared" si="6"/>
        <v>0.26632730775142766</v>
      </c>
      <c r="AC51" s="53">
        <f t="shared" si="6"/>
        <v>0.26632730775142766</v>
      </c>
      <c r="AD51" s="53">
        <f t="shared" si="6"/>
        <v>0.26632730775142766</v>
      </c>
      <c r="AE51" s="53">
        <f t="shared" si="6"/>
        <v>0.26632730775142766</v>
      </c>
      <c r="AF51" s="53">
        <f t="shared" si="6"/>
        <v>0.26632730775142766</v>
      </c>
      <c r="AG51" s="53">
        <f t="shared" si="6"/>
        <v>0.26632730775142766</v>
      </c>
      <c r="AH51" s="53">
        <f t="shared" si="6"/>
        <v>0.26632730775142766</v>
      </c>
      <c r="AI51" s="53">
        <f t="shared" si="6"/>
        <v>0.26632730775142766</v>
      </c>
    </row>
    <row r="52" spans="1:35">
      <c r="A52" s="23" t="s">
        <v>36</v>
      </c>
      <c r="B52" s="23">
        <f t="shared" ref="B52:AI52" si="7">AVERAGEIF($A$3:$A$41,$A52,C$3:C$41)/AVERAGEIF($A$3:$A$41,$A52,$C$3:$C$41)</f>
        <v>1</v>
      </c>
      <c r="C52" s="53">
        <f t="shared" si="7"/>
        <v>0.99843239210146095</v>
      </c>
      <c r="D52" s="53">
        <f t="shared" si="7"/>
        <v>0.99686478420292202</v>
      </c>
      <c r="E52" s="53">
        <f t="shared" si="7"/>
        <v>1.0040053609027875</v>
      </c>
      <c r="F52" s="53">
        <f t="shared" si="7"/>
        <v>0.99193556990426157</v>
      </c>
      <c r="G52" s="53">
        <f t="shared" si="7"/>
        <v>0.9845361127745369</v>
      </c>
      <c r="H52" s="53">
        <f t="shared" si="7"/>
        <v>0.96513000029532214</v>
      </c>
      <c r="I52" s="53">
        <f t="shared" si="7"/>
        <v>0.95615239080336878</v>
      </c>
      <c r="J52" s="53">
        <f t="shared" si="7"/>
        <v>0.95081929414849531</v>
      </c>
      <c r="K52" s="53">
        <f t="shared" si="7"/>
        <v>0.94554090553662251</v>
      </c>
      <c r="L52" s="53">
        <f t="shared" si="7"/>
        <v>0.94018622836390731</v>
      </c>
      <c r="M52" s="53">
        <f t="shared" si="7"/>
        <v>0.93610361308294421</v>
      </c>
      <c r="N52" s="53">
        <f t="shared" si="7"/>
        <v>0.9301202095613057</v>
      </c>
      <c r="O52" s="53">
        <f t="shared" si="7"/>
        <v>0.92679350840479824</v>
      </c>
      <c r="P52" s="53">
        <f t="shared" si="7"/>
        <v>0.92377255675392778</v>
      </c>
      <c r="Q52" s="53">
        <f t="shared" si="7"/>
        <v>0.91954176438353663</v>
      </c>
      <c r="R52" s="53">
        <f t="shared" si="7"/>
        <v>0.91631268610689376</v>
      </c>
      <c r="S52" s="53">
        <f t="shared" si="7"/>
        <v>0.91335255678838023</v>
      </c>
      <c r="T52" s="53">
        <f t="shared" si="7"/>
        <v>0.90981349690811741</v>
      </c>
      <c r="U52" s="53">
        <f t="shared" si="7"/>
        <v>0.90632156135940878</v>
      </c>
      <c r="V52" s="53">
        <f t="shared" si="7"/>
        <v>0.90332745851820551</v>
      </c>
      <c r="W52" s="53">
        <f t="shared" si="7"/>
        <v>0.90151131816352381</v>
      </c>
      <c r="X52" s="53">
        <f t="shared" si="7"/>
        <v>0.89921462636086258</v>
      </c>
      <c r="Y52" s="53">
        <f t="shared" si="7"/>
        <v>0.8970309918393935</v>
      </c>
      <c r="Z52" s="53">
        <f t="shared" si="7"/>
        <v>0.89577190748462732</v>
      </c>
      <c r="AA52" s="53">
        <f t="shared" si="7"/>
        <v>0.89249282681209385</v>
      </c>
      <c r="AB52" s="53">
        <f t="shared" si="7"/>
        <v>0.89170014422238164</v>
      </c>
      <c r="AC52" s="53">
        <f t="shared" si="7"/>
        <v>0.88861192948609069</v>
      </c>
      <c r="AD52" s="53">
        <f t="shared" si="7"/>
        <v>0.88762326109406264</v>
      </c>
      <c r="AE52" s="53">
        <f t="shared" si="7"/>
        <v>0.88488207370562277</v>
      </c>
      <c r="AF52" s="53">
        <f t="shared" si="7"/>
        <v>0.88296511544991185</v>
      </c>
      <c r="AG52" s="53">
        <f t="shared" si="7"/>
        <v>0.88103401189453079</v>
      </c>
      <c r="AH52" s="53">
        <f t="shared" si="7"/>
        <v>0.87902427775817016</v>
      </c>
      <c r="AI52" s="53">
        <f t="shared" si="7"/>
        <v>0.8702549929776886</v>
      </c>
    </row>
    <row r="53" spans="1:35">
      <c r="A53" s="23" t="s">
        <v>124</v>
      </c>
      <c r="B53" s="23">
        <f t="shared" ref="B53:AI53" si="8">(SUMPRODUCT(C$27:C$41,$B$58:$B$72)/SUM($B$58:$B$72))/(SUMPRODUCT($C$27:$C$41,$B$58:$B$72)/SUM($B$58:$B$72))</f>
        <v>1</v>
      </c>
      <c r="C53" s="23">
        <f t="shared" si="8"/>
        <v>0.76893251532958939</v>
      </c>
      <c r="D53" s="23">
        <f t="shared" si="8"/>
        <v>0.73908611988359929</v>
      </c>
      <c r="E53" s="23">
        <f t="shared" si="8"/>
        <v>0.71041231821700446</v>
      </c>
      <c r="F53" s="23">
        <f t="shared" si="8"/>
        <v>0.68286455787608569</v>
      </c>
      <c r="G53" s="23">
        <f t="shared" si="8"/>
        <v>0.65639815098108378</v>
      </c>
      <c r="H53" s="23">
        <f t="shared" si="8"/>
        <v>0.63097019899268714</v>
      </c>
      <c r="I53" s="23">
        <f t="shared" si="8"/>
        <v>0.60653952053245963</v>
      </c>
      <c r="J53" s="23">
        <f t="shared" si="8"/>
        <v>0.58306658213263374</v>
      </c>
      <c r="K53" s="23">
        <f t="shared" si="8"/>
        <v>0.56051343179579671</v>
      </c>
      <c r="L53" s="23">
        <f t="shared" si="8"/>
        <v>0.53884363524988776</v>
      </c>
      <c r="M53" s="23">
        <f t="shared" si="8"/>
        <v>0.51802221478861732</v>
      </c>
      <c r="N53" s="23">
        <f t="shared" si="8"/>
        <v>0.49801559059191758</v>
      </c>
      <c r="O53" s="23">
        <f t="shared" si="8"/>
        <v>0.47879152442534423</v>
      </c>
      <c r="P53" s="23">
        <f t="shared" si="8"/>
        <v>0.46031906562148955</v>
      </c>
      <c r="Q53" s="23">
        <f t="shared" si="8"/>
        <v>0.44256849925043112</v>
      </c>
      <c r="R53" s="23">
        <f t="shared" si="8"/>
        <v>0.4255112963900457</v>
      </c>
      <c r="S53" s="23">
        <f t="shared" si="8"/>
        <v>0.40912006641066312</v>
      </c>
      <c r="T53" s="23">
        <f t="shared" si="8"/>
        <v>0.39336851119203725</v>
      </c>
      <c r="U53" s="23">
        <f t="shared" si="8"/>
        <v>0.3782313811939606</v>
      </c>
      <c r="V53" s="23">
        <f t="shared" si="8"/>
        <v>0.36368443330506955</v>
      </c>
      <c r="W53" s="23">
        <f t="shared" si="8"/>
        <v>0.34970439039746898</v>
      </c>
      <c r="X53" s="23">
        <f t="shared" si="8"/>
        <v>0.33626890251776775</v>
      </c>
      <c r="Y53" s="23">
        <f t="shared" si="8"/>
        <v>0.3233565096479471</v>
      </c>
      <c r="Z53" s="23">
        <f t="shared" si="8"/>
        <v>0.31094660597221052</v>
      </c>
      <c r="AA53" s="23">
        <f t="shared" si="8"/>
        <v>0.29901940558856843</v>
      </c>
      <c r="AB53" s="23">
        <f t="shared" si="8"/>
        <v>0.2875559096064163</v>
      </c>
      <c r="AC53" s="23">
        <f t="shared" si="8"/>
        <v>0.27653787457376039</v>
      </c>
      <c r="AD53" s="23">
        <f t="shared" si="8"/>
        <v>0.26594778218005038</v>
      </c>
      <c r="AE53" s="23">
        <f t="shared" si="8"/>
        <v>0.25576881018278191</v>
      </c>
      <c r="AF53" s="23">
        <f t="shared" si="8"/>
        <v>0.24598480450814955</v>
      </c>
      <c r="AG53" s="23">
        <f t="shared" si="8"/>
        <v>0.23658025247806094</v>
      </c>
      <c r="AH53" s="23">
        <f t="shared" si="8"/>
        <v>0.22754025711776654</v>
      </c>
      <c r="AI53" s="23">
        <f t="shared" si="8"/>
        <v>0.21885051250023072</v>
      </c>
    </row>
    <row r="56" spans="1:35">
      <c r="A56" t="s">
        <v>237</v>
      </c>
    </row>
    <row r="58" spans="1:35">
      <c r="A58" t="s">
        <v>210</v>
      </c>
      <c r="B58" s="23">
        <v>12.491269722013936</v>
      </c>
    </row>
    <row r="59" spans="1:35">
      <c r="A59" t="s">
        <v>211</v>
      </c>
      <c r="B59" s="23">
        <v>24.982539444027871</v>
      </c>
    </row>
    <row r="60" spans="1:35">
      <c r="A60" t="s">
        <v>212</v>
      </c>
      <c r="B60" s="23">
        <v>49.965078888055743</v>
      </c>
    </row>
    <row r="61" spans="1:35">
      <c r="A61" t="s">
        <v>213</v>
      </c>
      <c r="B61" s="23">
        <v>320</v>
      </c>
    </row>
    <row r="62" spans="1:35">
      <c r="A62" t="s">
        <v>214</v>
      </c>
      <c r="B62" s="23">
        <v>320</v>
      </c>
    </row>
    <row r="63" spans="1:35">
      <c r="A63" t="s">
        <v>215</v>
      </c>
      <c r="B63" s="23">
        <v>12.491269722013936</v>
      </c>
    </row>
    <row r="64" spans="1:35">
      <c r="A64" t="s">
        <v>216</v>
      </c>
      <c r="B64" s="23">
        <v>24.982539444027871</v>
      </c>
    </row>
    <row r="65" spans="1:2">
      <c r="A65" t="s">
        <v>217</v>
      </c>
      <c r="B65" s="23">
        <v>49.965078888055743</v>
      </c>
    </row>
    <row r="66" spans="1:2">
      <c r="A66" t="s">
        <v>218</v>
      </c>
      <c r="B66" s="23">
        <v>99.930157776111486</v>
      </c>
    </row>
    <row r="67" spans="1:2">
      <c r="A67" t="s">
        <v>219</v>
      </c>
      <c r="B67" s="23">
        <v>199.86031555222297</v>
      </c>
    </row>
    <row r="68" spans="1:2">
      <c r="A68" t="s">
        <v>220</v>
      </c>
      <c r="B68" s="23">
        <v>199.86031555222297</v>
      </c>
    </row>
    <row r="69" spans="1:2">
      <c r="A69" t="s">
        <v>221</v>
      </c>
      <c r="B69" s="23">
        <v>199.86031555222297</v>
      </c>
    </row>
    <row r="70" spans="1:2">
      <c r="A70" t="s">
        <v>222</v>
      </c>
      <c r="B70" s="23">
        <v>199.86031555222297</v>
      </c>
    </row>
    <row r="71" spans="1:2">
      <c r="A71" t="s">
        <v>223</v>
      </c>
      <c r="B71" s="23">
        <v>199.86031555222297</v>
      </c>
    </row>
    <row r="72" spans="1:2">
      <c r="A72" t="s">
        <v>224</v>
      </c>
      <c r="B72" s="23">
        <v>143.39977640871999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2" sqref="B2"/>
    </sheetView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21</v>
      </c>
      <c r="B1" s="17" t="s">
        <v>78</v>
      </c>
      <c r="C1" s="17" t="s">
        <v>81</v>
      </c>
      <c r="D1" s="17" t="s">
        <v>79</v>
      </c>
    </row>
    <row r="2" spans="1:4">
      <c r="A2" t="s">
        <v>123</v>
      </c>
      <c r="B2" s="4">
        <f>('EIA Costs'!F2*1000)*(About!$A$63)</f>
        <v>30723.759999999998</v>
      </c>
      <c r="C2">
        <v>0</v>
      </c>
      <c r="D2" s="4">
        <f>'EIA Costs'!F3*1000*About!$A$63</f>
        <v>69710.2</v>
      </c>
    </row>
    <row r="3" spans="1:4">
      <c r="A3" t="s">
        <v>33</v>
      </c>
      <c r="B3" s="4">
        <f>('EIA Costs'!F4*1000)*(About!$A$71)</f>
        <v>10157.873</v>
      </c>
      <c r="C3">
        <v>0</v>
      </c>
      <c r="D3" s="4">
        <f>'EIA Costs'!F5*1000*About!$A$71</f>
        <v>9234.43</v>
      </c>
    </row>
    <row r="4" spans="1:4">
      <c r="A4" t="s">
        <v>16</v>
      </c>
      <c r="B4" s="4">
        <f>('EIA Costs'!F8*1000)*(About!$A$71)</f>
        <v>92600.304000000004</v>
      </c>
      <c r="C4" s="23">
        <v>0</v>
      </c>
      <c r="D4" s="4">
        <f>'EIA Costs'!F8*1000*About!$A$71</f>
        <v>92600.304000000004</v>
      </c>
    </row>
    <row r="5" spans="1:4">
      <c r="A5" t="s">
        <v>17</v>
      </c>
      <c r="B5" s="4">
        <f>('EIA Costs'!F11*1000)*(About!$A$71)</f>
        <v>36617.714999999997</v>
      </c>
      <c r="C5" s="23">
        <v>0</v>
      </c>
      <c r="D5" s="4">
        <f>'EIA Costs'!F11*1000*About!$A$71</f>
        <v>36617.714999999997</v>
      </c>
    </row>
    <row r="6" spans="1:4">
      <c r="A6" t="s">
        <v>125</v>
      </c>
      <c r="B6" s="4">
        <f>('EIA Costs'!F12*1000)*(About!$A$71)</f>
        <v>43401.821000000004</v>
      </c>
      <c r="C6" s="23">
        <v>0</v>
      </c>
      <c r="D6" s="4">
        <f>'EIA Costs'!F12*1000*About!$A$71</f>
        <v>43401.821000000004</v>
      </c>
    </row>
    <row r="7" spans="1:4">
      <c r="A7" t="s">
        <v>18</v>
      </c>
      <c r="B7" s="4">
        <f>('EIA Costs'!F15*1000)*(About!$A$71)</f>
        <v>20132.885999999999</v>
      </c>
      <c r="C7" s="23">
        <v>0</v>
      </c>
      <c r="D7" s="4">
        <f>'EIA Costs'!F15*1000*About!$A$71</f>
        <v>20132.885999999999</v>
      </c>
    </row>
    <row r="8" spans="1:4">
      <c r="A8" t="s">
        <v>19</v>
      </c>
      <c r="B8" s="4">
        <f>('EIA Costs'!F14*1000)*(About!$A$71)</f>
        <v>65290.163</v>
      </c>
      <c r="C8" s="23">
        <v>0</v>
      </c>
      <c r="D8" s="4">
        <f>'EIA Costs'!F14*1000*About!$A$71</f>
        <v>65290.163</v>
      </c>
    </row>
    <row r="9" spans="1:4">
      <c r="A9" t="s">
        <v>20</v>
      </c>
      <c r="B9" s="4">
        <f>('EIA Costs'!F9*1000)*(About!$A$71)</f>
        <v>102538.745</v>
      </c>
      <c r="C9" s="23">
        <v>0</v>
      </c>
      <c r="D9" s="4">
        <f>'EIA Costs'!F9*1000*About!$A$71</f>
        <v>102538.745</v>
      </c>
    </row>
    <row r="10" spans="1:4">
      <c r="A10" t="s">
        <v>34</v>
      </c>
      <c r="B10" s="4">
        <f>('EIA Costs'!F10*1000)*(About!$A$71)</f>
        <v>109597.141</v>
      </c>
      <c r="C10" s="23">
        <v>0</v>
      </c>
      <c r="D10" s="4">
        <f>'EIA Costs'!F10*1000*About!$A$71</f>
        <v>109597.141</v>
      </c>
    </row>
    <row r="11" spans="1:4">
      <c r="A11" t="s">
        <v>35</v>
      </c>
      <c r="B11" s="4">
        <f>(B12)*(About!$A$71)</f>
        <v>14771.139138300001</v>
      </c>
      <c r="C11" s="23">
        <v>0</v>
      </c>
      <c r="D11" s="4">
        <f>D12</f>
        <v>6281.241</v>
      </c>
    </row>
    <row r="12" spans="1:4">
      <c r="A12" t="s">
        <v>36</v>
      </c>
      <c r="B12" s="4">
        <f>('EIA Costs'!F6*1000)*(About!$A$71)</f>
        <v>16155.681</v>
      </c>
      <c r="C12" s="23">
        <v>0</v>
      </c>
      <c r="D12" s="4">
        <f>'EIA Costs'!F7*1000*About!$A$71</f>
        <v>6281.241</v>
      </c>
    </row>
    <row r="13" spans="1:4">
      <c r="A13" t="s">
        <v>139</v>
      </c>
      <c r="B13" s="4">
        <f>(B2*'Coal Cost Multipliers'!$B$35)*(About!$A$71)</f>
        <v>28090.733767999998</v>
      </c>
      <c r="C13" s="4">
        <f>C2*'Coal Cost Multipliers'!$B$35</f>
        <v>0</v>
      </c>
      <c r="D13" s="4">
        <f>D2*'Coal Cost Multipliers'!$B$35</f>
        <v>69710.2</v>
      </c>
    </row>
    <row r="14" spans="1:4">
      <c r="A14" t="s">
        <v>124</v>
      </c>
      <c r="B14" s="4">
        <f>('EIA Costs'!F13*1000)*(About!$A$71)</f>
        <v>71827.407999999996</v>
      </c>
      <c r="C14">
        <v>0</v>
      </c>
      <c r="D14" s="4">
        <f>'EIA Costs'!F13*1000*About!$A$71</f>
        <v>71827.407999999996</v>
      </c>
    </row>
    <row r="15" spans="1:4">
      <c r="A15" t="s">
        <v>228</v>
      </c>
      <c r="B15" s="4">
        <f>B11</f>
        <v>14771.139138300001</v>
      </c>
      <c r="C15" s="23">
        <v>0</v>
      </c>
      <c r="D15" s="4">
        <f>D11</f>
        <v>6281.241</v>
      </c>
    </row>
    <row r="16" spans="1:4">
      <c r="A16" t="s">
        <v>229</v>
      </c>
      <c r="B16" s="4">
        <f>B11</f>
        <v>14771.139138300001</v>
      </c>
      <c r="C16" s="23">
        <v>0</v>
      </c>
      <c r="D16" s="4">
        <f>D11</f>
        <v>6281.241</v>
      </c>
    </row>
    <row r="17" spans="1:4">
      <c r="A17" t="s">
        <v>230</v>
      </c>
      <c r="B17" s="4">
        <f>('EIA Costs'!F16*1000)*(About!$A$71)</f>
        <v>381281.386</v>
      </c>
      <c r="C17" s="23">
        <v>0</v>
      </c>
      <c r="D17" s="4">
        <f>'EIA Costs'!F16*1000*About!$A$71</f>
        <v>381281.386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/>
  </sheetViews>
  <sheetFormatPr defaultColWidth="9.140625" defaultRowHeight="15"/>
  <cols>
    <col min="1" max="1" width="33.28515625" style="23" customWidth="1"/>
    <col min="2" max="4" width="24" style="23" customWidth="1"/>
    <col min="5" max="16384" width="9.140625" style="23"/>
  </cols>
  <sheetData>
    <row r="1" spans="1:4">
      <c r="A1" s="5" t="s">
        <v>22</v>
      </c>
      <c r="B1" s="17" t="s">
        <v>78</v>
      </c>
      <c r="C1" s="17" t="s">
        <v>81</v>
      </c>
      <c r="D1" s="17" t="s">
        <v>79</v>
      </c>
    </row>
    <row r="2" spans="1:4">
      <c r="A2" s="23" t="s">
        <v>15</v>
      </c>
      <c r="B2" s="16">
        <f>'EIA Costs'!E2*About!$A$63</f>
        <v>4.4074200000000001</v>
      </c>
      <c r="C2" s="23">
        <v>0</v>
      </c>
      <c r="D2" s="16">
        <f>'EIA Costs'!E3*About!$A$63</f>
        <v>7.0696199999999996</v>
      </c>
    </row>
    <row r="3" spans="1:4">
      <c r="A3" s="23" t="s">
        <v>33</v>
      </c>
      <c r="B3" s="16">
        <f>'EIA Costs'!E4*About!$A$71</f>
        <v>3.2366220000000001</v>
      </c>
      <c r="C3" s="23">
        <v>0</v>
      </c>
      <c r="D3" s="16">
        <f>'EIA Costs'!E5*About!$A$71</f>
        <v>1.846886</v>
      </c>
    </row>
    <row r="4" spans="1:4">
      <c r="A4" s="23" t="s">
        <v>16</v>
      </c>
      <c r="B4" s="16">
        <f>'EIA Costs'!E8*About!$A$71</f>
        <v>2.1211759999999997</v>
      </c>
      <c r="C4" s="23">
        <v>0</v>
      </c>
      <c r="D4" s="16">
        <f>'EIA Costs'!E8*About!$A$71</f>
        <v>2.1211759999999997</v>
      </c>
    </row>
    <row r="5" spans="1:4">
      <c r="A5" s="23" t="s">
        <v>17</v>
      </c>
      <c r="B5" s="16">
        <f>'EIA Costs'!E11*About!$A$71</f>
        <v>1.216019</v>
      </c>
      <c r="C5" s="23">
        <v>0</v>
      </c>
      <c r="D5" s="16">
        <f>'EIA Costs'!E11*About!$A$71</f>
        <v>1.216019</v>
      </c>
    </row>
    <row r="6" spans="1:4">
      <c r="A6" s="23" t="s">
        <v>125</v>
      </c>
      <c r="B6" s="4">
        <f>'EIA Costs'!E12*About!$A$71</f>
        <v>0</v>
      </c>
      <c r="C6" s="23">
        <v>0</v>
      </c>
      <c r="D6" s="4">
        <f>'EIA Costs'!E12*About!$A$71</f>
        <v>0</v>
      </c>
    </row>
    <row r="7" spans="1:4">
      <c r="A7" s="23" t="s">
        <v>18</v>
      </c>
      <c r="B7" s="4">
        <f>'EIA Costs'!E15*About!$A$71</f>
        <v>0</v>
      </c>
      <c r="C7" s="23">
        <v>0</v>
      </c>
      <c r="D7" s="4">
        <f>'EIA Costs'!E15*About!$A$71</f>
        <v>0</v>
      </c>
    </row>
    <row r="8" spans="1:4">
      <c r="A8" s="23" t="s">
        <v>19</v>
      </c>
      <c r="B8" s="4">
        <f>'EIA Costs'!E14*About!$A$71</f>
        <v>0</v>
      </c>
      <c r="C8" s="23">
        <v>0</v>
      </c>
      <c r="D8" s="4">
        <f>'EIA Costs'!E14*About!$A$71</f>
        <v>0</v>
      </c>
    </row>
    <row r="9" spans="1:4">
      <c r="A9" s="23" t="s">
        <v>20</v>
      </c>
      <c r="B9" s="16">
        <f>'EIA Costs'!E9*About!$A$71</f>
        <v>5.1017939999999999</v>
      </c>
      <c r="C9" s="23">
        <v>0</v>
      </c>
      <c r="D9" s="16">
        <f>'EIA Costs'!E9*About!$A$71</f>
        <v>5.1017939999999999</v>
      </c>
    </row>
    <row r="10" spans="1:4">
      <c r="A10" s="23" t="s">
        <v>34</v>
      </c>
      <c r="B10" s="4">
        <f>'EIA Costs'!E10*About!$A$71</f>
        <v>0</v>
      </c>
      <c r="C10" s="23">
        <v>0</v>
      </c>
      <c r="D10" s="4">
        <f>'EIA Costs'!E10*About!$A$71</f>
        <v>0</v>
      </c>
    </row>
    <row r="11" spans="1:4">
      <c r="A11" s="23" t="s">
        <v>35</v>
      </c>
      <c r="B11" s="16">
        <f>B12</f>
        <v>3.2366220000000001</v>
      </c>
      <c r="C11" s="23">
        <v>0</v>
      </c>
      <c r="D11" s="16">
        <f>D12</f>
        <v>9.8835829999999998</v>
      </c>
    </row>
    <row r="12" spans="1:4">
      <c r="A12" s="23" t="s">
        <v>36</v>
      </c>
      <c r="B12" s="16">
        <f>'EIA Costs'!E6*About!$A$71</f>
        <v>3.2366220000000001</v>
      </c>
      <c r="C12" s="23">
        <v>0</v>
      </c>
      <c r="D12" s="16">
        <f>'EIA Costs'!E7*About!$A$71</f>
        <v>9.8835829999999998</v>
      </c>
    </row>
    <row r="13" spans="1:4">
      <c r="A13" s="23" t="s">
        <v>139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11.976768</v>
      </c>
    </row>
    <row r="14" spans="1:4">
      <c r="A14" s="23" t="s">
        <v>124</v>
      </c>
      <c r="B14" s="23">
        <f>'EIA Costs'!E13*1000</f>
        <v>0</v>
      </c>
      <c r="C14" s="23">
        <v>0</v>
      </c>
      <c r="D14" s="23">
        <f>'EIA Costs'!E13*1000*About!$A$71</f>
        <v>0</v>
      </c>
    </row>
    <row r="15" spans="1:4">
      <c r="A15" s="23" t="s">
        <v>228</v>
      </c>
      <c r="B15" s="16">
        <f>B11</f>
        <v>3.2366220000000001</v>
      </c>
      <c r="C15" s="23">
        <v>0</v>
      </c>
      <c r="D15" s="16">
        <f>D11</f>
        <v>9.8835829999999998</v>
      </c>
    </row>
    <row r="16" spans="1:4">
      <c r="A16" s="23" t="s">
        <v>229</v>
      </c>
      <c r="B16" s="16">
        <f>B11</f>
        <v>3.2366220000000001</v>
      </c>
      <c r="C16" s="23">
        <v>0</v>
      </c>
      <c r="D16" s="16">
        <f>D11</f>
        <v>9.8835829999999998</v>
      </c>
    </row>
    <row r="17" spans="1:4">
      <c r="A17" s="23" t="s">
        <v>230</v>
      </c>
      <c r="B17" s="16">
        <f>'EIA Costs'!E16*About!$A$71</f>
        <v>8.4938469999999988</v>
      </c>
      <c r="C17" s="23">
        <v>0</v>
      </c>
      <c r="D17" s="16">
        <f>'EIA Costs'!E16*About!$A$71</f>
        <v>8.4938469999999988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7"/>
  <sheetViews>
    <sheetView tabSelected="1" workbookViewId="0">
      <selection activeCell="F2" sqref="F2"/>
    </sheetView>
  </sheetViews>
  <sheetFormatPr defaultRowHeight="1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  <col min="15" max="15" width="14.28515625" customWidth="1"/>
    <col min="16" max="16" width="18.85546875" customWidth="1"/>
    <col min="17" max="17" width="16.5703125" customWidth="1"/>
  </cols>
  <sheetData>
    <row r="1" spans="1:17" ht="30">
      <c r="A1" s="13" t="s">
        <v>3</v>
      </c>
      <c r="B1" s="13" t="s">
        <v>126</v>
      </c>
      <c r="C1" s="13" t="s">
        <v>37</v>
      </c>
      <c r="D1" s="13" t="s">
        <v>6</v>
      </c>
      <c r="E1" s="13" t="s">
        <v>7</v>
      </c>
      <c r="F1" s="13" t="s">
        <v>137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140</v>
      </c>
      <c r="N1" s="13" t="s">
        <v>127</v>
      </c>
      <c r="O1" s="51" t="s">
        <v>231</v>
      </c>
      <c r="P1" s="51" t="s">
        <v>232</v>
      </c>
      <c r="Q1" s="51" t="s">
        <v>233</v>
      </c>
    </row>
    <row r="2" spans="1:17">
      <c r="A2" s="1">
        <v>2018</v>
      </c>
      <c r="B2" s="4">
        <f>'EIA Costs'!$D$3*INDEX('Cost Improvement and Off Wnd'!$B$45:$AI$53,MATCH("coal",'Cost Improvement and Off Wnd'!$A$45:$A$53,0),MATCH('CCaMC-BCCpUC'!$A2,'Cost Improvement and Off Wnd'!$B$44:$AI$44,0))*1000*About!$A$63</f>
        <v>4985710.0141575001</v>
      </c>
      <c r="C2" s="4">
        <f>'EIA Costs'!$D$5*INDEX('Cost Improvement and Off Wnd'!$B$45:$AI$53,MATCH("natural gas nonpeaker",'Cost Improvement and Off Wnd'!$A$45:$A$53,0),MATCH('CCaMC-BCCpUC'!$A2,'Cost Improvement and Off Wnd'!$B$44:$AI$44,0))*1000*About!$A$71</f>
        <v>1005847.3841146511</v>
      </c>
      <c r="D2" s="4">
        <f>'EIA Costs'!$D$8*INDEX('Cost Improvement and Off Wnd'!$B$45:$AI$53,MATCH("nuclear",'Cost Improvement and Off Wnd'!$A$45:$A$53,0),MATCH('CCaMC-BCCpUC'!$A2,'Cost Improvement and Off Wnd'!$B$44:$AI$44,0))*1000*About!$A$71</f>
        <v>5398356.8398834039</v>
      </c>
      <c r="E2" s="4">
        <f>'EIA Costs'!$D$11*INDEX('Cost Improvement and Off Wnd'!$B$45:$AI$53,MATCH("hydro",'Cost Improvement and Off Wnd'!$A$45:$A$53,0),MATCH('CCaMC-BCCpUC'!$A2,'Cost Improvement and Off Wnd'!$B$44:$AI$44,0))*1000*About!$A$71</f>
        <v>2609904.3307550726</v>
      </c>
      <c r="F2" s="20">
        <f>'Start Year Wind and Solar'!B3*10^3*About!$A$71</f>
        <v>1472023</v>
      </c>
      <c r="G2" s="20">
        <f>'Start Year Wind and Solar'!B7*10^6/About!$C$25*About!$A$71</f>
        <v>1106952.27008149</v>
      </c>
      <c r="H2" s="4">
        <f>'EIA Costs'!$D$14*INDEX('Cost Improvement and Off Wnd'!$B$45:$AI$53,MATCH("solar thermal",'Cost Improvement and Off Wnd'!$A$45:$A$53,0),MATCH('CCaMC-BCCpUC'!$A2,'Cost Improvement and Off Wnd'!$B$44:$AI$44,0))*1000*About!$A$71</f>
        <v>3705657.1127614691</v>
      </c>
      <c r="I2" s="4">
        <f>'EIA Costs'!$D$9*INDEX('Cost Improvement and Off Wnd'!$B$45:$AI$53,MATCH("biomass",'Cost Improvement and Off Wnd'!$A$45:$A$53,0),MATCH('CCaMC-BCCpUC'!$A2,'Cost Improvement and Off Wnd'!$B$44:$AI$44,0))*1000*About!$A$71</f>
        <v>3503492.939728946</v>
      </c>
      <c r="J2" s="4">
        <f>'EIA Costs'!$D$10*INDEX('Cost Improvement and Off Wnd'!$B$45:$AI$53,MATCH("geothermal",'Cost Improvement and Off Wnd'!$A$45:$A$53,0),MATCH('CCaMC-BCCpUC'!$A2,'Cost Improvement and Off Wnd'!$B$44:$AI$44,0))*1000*About!$A$71</f>
        <v>2368974.8458332461</v>
      </c>
      <c r="K2" s="4">
        <f>'EIA Costs'!$D$7*INDEX('Cost Improvement and Off Wnd'!$B$45:$AI$53,MATCH("natural gas peaker",'Cost Improvement and Off Wnd'!$A$45:$A$53,0),MATCH('CCaMC-BCCpUC'!$A2,'Cost Improvement and Off Wnd'!$B$44:$AI$44,0))*1000*About!$A$71</f>
        <v>620749.38054688869</v>
      </c>
      <c r="L2" s="4">
        <f>'EIA Costs'!$D$7*INDEX('Cost Improvement and Off Wnd'!$B$45:$AI$53,MATCH("natural gas peaker",'Cost Improvement and Off Wnd'!$A$45:$A$53,0),MATCH('CCaMC-BCCpUC'!$A2,'Cost Improvement and Off Wnd'!$B$44:$AI$44,0))*1000*About!$A$71</f>
        <v>620749.38054688869</v>
      </c>
      <c r="M2" s="4">
        <f>B2*'Coal Cost Multipliers'!$B$33</f>
        <v>5778150.1329843532</v>
      </c>
      <c r="N2" s="20">
        <f>SUMPRODUCT('Cost Improvement and Off Wnd'!B58:B72,'Cost Improvement and Off Wnd'!C27:C41)/SUM('Cost Improvement and Off Wnd'!B58:B72)*INDEX('Cost Improvement and Off Wnd'!$B$45:$AI$53,MATCH("offshore wind",'Cost Improvement and Off Wnd'!$A$45:$A$53,0),MATCH(A2,'Cost Improvement and Off Wnd'!$B$44:$AI$44,0))*10^3*About!$A$71</f>
        <v>3030248.6826914768</v>
      </c>
      <c r="O2" s="4">
        <f>K2</f>
        <v>620749.38054688869</v>
      </c>
      <c r="P2" s="4">
        <f>K2</f>
        <v>620749.38054688869</v>
      </c>
      <c r="Q2" s="4">
        <f>'EIA Costs'!$D$16*INDEX('Cost Improvement and Off Wnd'!$B$45:$AI$53,MATCH("biomass",'Cost Improvement and Off Wnd'!$A$45:$A$53,0),MATCH('CCaMC-BCCpUC'!$A2,'Cost Improvement and Off Wnd'!$B$44:$AI$44,0))*1000*About!$A$71</f>
        <v>7982156.7055278737</v>
      </c>
    </row>
    <row r="3" spans="1:17">
      <c r="A3" s="1">
        <v>2019</v>
      </c>
      <c r="B3" s="4">
        <f>'EIA Costs'!$D$3*INDEX('Cost Improvement and Off Wnd'!$B$45:$AI$53,MATCH("coal",'Cost Improvement and Off Wnd'!$A$45:$A$53,0),MATCH('CCaMC-BCCpUC'!$A3,'Cost Improvement and Off Wnd'!$B$44:$AI$44,0))*1000*About!$A$63</f>
        <v>4953666.0283149993</v>
      </c>
      <c r="C3" s="4">
        <f>'EIA Costs'!$D$5*INDEX('Cost Improvement and Off Wnd'!$B$45:$AI$53,MATCH("natural gas nonpeaker",'Cost Improvement and Off Wnd'!$A$45:$A$53,0),MATCH('CCaMC-BCCpUC'!$A3,'Cost Improvement and Off Wnd'!$B$44:$AI$44,0))*1000*About!$A$71</f>
        <v>998650.36822930234</v>
      </c>
      <c r="D3" s="4">
        <f>'EIA Costs'!$D$8*INDEX('Cost Improvement and Off Wnd'!$B$45:$AI$53,MATCH("nuclear",'Cost Improvement and Off Wnd'!$A$45:$A$53,0),MATCH('CCaMC-BCCpUC'!$A3,'Cost Improvement and Off Wnd'!$B$44:$AI$44,0))*1000*About!$A$71</f>
        <v>5360285.879766807</v>
      </c>
      <c r="E3" s="4">
        <f>'EIA Costs'!$D$11*INDEX('Cost Improvement and Off Wnd'!$B$45:$AI$53,MATCH("hydro",'Cost Improvement and Off Wnd'!$A$45:$A$53,0),MATCH('CCaMC-BCCpUC'!$A3,'Cost Improvement and Off Wnd'!$B$44:$AI$44,0))*1000*About!$A$71</f>
        <v>2570167.261510144</v>
      </c>
      <c r="F3" s="4">
        <v>0</v>
      </c>
      <c r="G3" s="4">
        <v>0</v>
      </c>
      <c r="H3" s="4">
        <f>'EIA Costs'!$D$14*INDEX('Cost Improvement and Off Wnd'!$B$45:$AI$53,MATCH("solar thermal",'Cost Improvement and Off Wnd'!$A$45:$A$53,0),MATCH('CCaMC-BCCpUC'!$A3,'Cost Improvement and Off Wnd'!$B$44:$AI$44,0))*1000*About!$A$71</f>
        <v>3545653.8255229369</v>
      </c>
      <c r="I3" s="4">
        <f>'EIA Costs'!$D$9*INDEX('Cost Improvement and Off Wnd'!$B$45:$AI$53,MATCH("biomass",'Cost Improvement and Off Wnd'!$A$45:$A$53,0),MATCH('CCaMC-BCCpUC'!$A3,'Cost Improvement and Off Wnd'!$B$44:$AI$44,0))*1000*About!$A$71</f>
        <v>3498816.7794578923</v>
      </c>
      <c r="J3" s="4">
        <f>'EIA Costs'!$D$10*INDEX('Cost Improvement and Off Wnd'!$B$45:$AI$53,MATCH("geothermal",'Cost Improvement and Off Wnd'!$A$45:$A$53,0),MATCH('CCaMC-BCCpUC'!$A3,'Cost Improvement and Off Wnd'!$B$44:$AI$44,0))*1000*About!$A$71</f>
        <v>2227281.8916664924</v>
      </c>
      <c r="K3" s="4">
        <f>'EIA Costs'!$D$7*INDEX('Cost Improvement and Off Wnd'!$B$45:$AI$53,MATCH("natural gas peaker",'Cost Improvement and Off Wnd'!$A$45:$A$53,0),MATCH('CCaMC-BCCpUC'!$A3,'Cost Improvement and Off Wnd'!$B$44:$AI$44,0))*1000*About!$A$71</f>
        <v>619774.76109377737</v>
      </c>
      <c r="L3" s="4">
        <f>'EIA Costs'!$D$7*INDEX('Cost Improvement and Off Wnd'!$B$45:$AI$53,MATCH("natural gas peaker",'Cost Improvement and Off Wnd'!$A$45:$A$53,0),MATCH('CCaMC-BCCpUC'!$A3,'Cost Improvement and Off Wnd'!$B$44:$AI$44,0))*1000*About!$A$71</f>
        <v>619774.76109377737</v>
      </c>
      <c r="M3" s="4">
        <f>B3*'Coal Cost Multipliers'!$B$33</f>
        <v>5741013.0029604603</v>
      </c>
      <c r="N3" s="4">
        <v>0</v>
      </c>
      <c r="O3" s="4">
        <f t="shared" ref="O3:O34" si="0">K3</f>
        <v>619774.76109377737</v>
      </c>
      <c r="P3" s="4">
        <f t="shared" ref="P3:P34" si="1">K3</f>
        <v>619774.76109377737</v>
      </c>
      <c r="Q3" s="4">
        <f>'EIA Costs'!$D$16*INDEX('Cost Improvement and Off Wnd'!$B$45:$AI$53,MATCH("biomass",'Cost Improvement and Off Wnd'!$A$45:$A$53,0),MATCH('CCaMC-BCCpUC'!$A3,'Cost Improvement and Off Wnd'!$B$44:$AI$44,0))*1000*About!$A$71</f>
        <v>7971502.811055745</v>
      </c>
    </row>
    <row r="4" spans="1:17">
      <c r="A4" s="1">
        <v>2020</v>
      </c>
      <c r="B4" s="4">
        <f>'EIA Costs'!$D$3*INDEX('Cost Improvement and Off Wnd'!$B$45:$AI$53,MATCH("coal",'Cost Improvement and Off Wnd'!$A$45:$A$53,0),MATCH('CCaMC-BCCpUC'!$A4,'Cost Improvement and Off Wnd'!$B$44:$AI$44,0))*1000*About!$A$63</f>
        <v>4921622.0424725004</v>
      </c>
      <c r="C4" s="4">
        <f>'EIA Costs'!$D$5*INDEX('Cost Improvement and Off Wnd'!$B$45:$AI$53,MATCH("natural gas nonpeaker",'Cost Improvement and Off Wnd'!$A$45:$A$53,0),MATCH('CCaMC-BCCpUC'!$A4,'Cost Improvement and Off Wnd'!$B$44:$AI$44,0))*1000*About!$A$71</f>
        <v>991453.35234395368</v>
      </c>
      <c r="D4" s="4">
        <f>'EIA Costs'!$D$8*INDEX('Cost Improvement and Off Wnd'!$B$45:$AI$53,MATCH("nuclear",'Cost Improvement and Off Wnd'!$A$45:$A$53,0),MATCH('CCaMC-BCCpUC'!$A4,'Cost Improvement and Off Wnd'!$B$44:$AI$44,0))*1000*About!$A$71</f>
        <v>5322214.9196502101</v>
      </c>
      <c r="E4" s="4">
        <f>'EIA Costs'!$D$11*INDEX('Cost Improvement and Off Wnd'!$B$45:$AI$53,MATCH("hydro",'Cost Improvement and Off Wnd'!$A$45:$A$53,0),MATCH('CCaMC-BCCpUC'!$A4,'Cost Improvement and Off Wnd'!$B$44:$AI$44,0))*1000*About!$A$71</f>
        <v>2530430.1922652172</v>
      </c>
      <c r="F4" s="4">
        <v>0</v>
      </c>
      <c r="G4" s="4">
        <v>0</v>
      </c>
      <c r="H4" s="4">
        <f>'EIA Costs'!$D$14*INDEX('Cost Improvement and Off Wnd'!$B$45:$AI$53,MATCH("solar thermal",'Cost Improvement and Off Wnd'!$A$45:$A$53,0),MATCH('CCaMC-BCCpUC'!$A4,'Cost Improvement and Off Wnd'!$B$44:$AI$44,0))*1000*About!$A$71</f>
        <v>3385650.5382844037</v>
      </c>
      <c r="I4" s="4">
        <f>'EIA Costs'!$D$9*INDEX('Cost Improvement and Off Wnd'!$B$45:$AI$53,MATCH("biomass",'Cost Improvement and Off Wnd'!$A$45:$A$53,0),MATCH('CCaMC-BCCpUC'!$A4,'Cost Improvement and Off Wnd'!$B$44:$AI$44,0))*1000*About!$A$71</f>
        <v>3493165.2083361712</v>
      </c>
      <c r="J4" s="4">
        <f>'EIA Costs'!$D$10*INDEX('Cost Improvement and Off Wnd'!$B$45:$AI$53,MATCH("geothermal",'Cost Improvement and Off Wnd'!$A$45:$A$53,0),MATCH('CCaMC-BCCpUC'!$A4,'Cost Improvement and Off Wnd'!$B$44:$AI$44,0))*1000*About!$A$71</f>
        <v>2085588.9374997385</v>
      </c>
      <c r="K4" s="4">
        <f>'EIA Costs'!$D$7*INDEX('Cost Improvement and Off Wnd'!$B$45:$AI$53,MATCH("natural gas peaker",'Cost Improvement and Off Wnd'!$A$45:$A$53,0),MATCH('CCaMC-BCCpUC'!$A4,'Cost Improvement and Off Wnd'!$B$44:$AI$44,0))*1000*About!$A$71</f>
        <v>624214.22900192463</v>
      </c>
      <c r="L4" s="4">
        <f>'EIA Costs'!$D$7*INDEX('Cost Improvement and Off Wnd'!$B$45:$AI$53,MATCH("natural gas peaker",'Cost Improvement and Off Wnd'!$A$45:$A$53,0),MATCH('CCaMC-BCCpUC'!$A4,'Cost Improvement and Off Wnd'!$B$44:$AI$44,0))*1000*About!$A$71</f>
        <v>624214.22900192463</v>
      </c>
      <c r="M4" s="4">
        <f>B4*'Coal Cost Multipliers'!$B$33</f>
        <v>5703875.8729365692</v>
      </c>
      <c r="N4" s="4">
        <v>0</v>
      </c>
      <c r="O4" s="4">
        <f t="shared" si="0"/>
        <v>624214.22900192463</v>
      </c>
      <c r="P4" s="4">
        <f t="shared" si="1"/>
        <v>624214.22900192463</v>
      </c>
      <c r="Q4" s="4">
        <f>'EIA Costs'!$D$16*INDEX('Cost Improvement and Off Wnd'!$B$45:$AI$53,MATCH("biomass",'Cost Improvement and Off Wnd'!$A$45:$A$53,0),MATCH('CCaMC-BCCpUC'!$A4,'Cost Improvement and Off Wnd'!$B$44:$AI$44,0))*1000*About!$A$71</f>
        <v>7958626.596631432</v>
      </c>
    </row>
    <row r="5" spans="1:17">
      <c r="A5" s="1">
        <v>2021</v>
      </c>
      <c r="B5" s="4">
        <f>'EIA Costs'!$D$3*INDEX('Cost Improvement and Off Wnd'!$B$45:$AI$53,MATCH("coal",'Cost Improvement and Off Wnd'!$A$45:$A$53,0),MATCH('CCaMC-BCCpUC'!$A5,'Cost Improvement and Off Wnd'!$B$44:$AI$44,0))*1000*About!$A$63</f>
        <v>4889578.0566300014</v>
      </c>
      <c r="C5" s="4">
        <f>'EIA Costs'!$D$5*INDEX('Cost Improvement and Off Wnd'!$B$45:$AI$53,MATCH("natural gas nonpeaker",'Cost Improvement and Off Wnd'!$A$45:$A$53,0),MATCH('CCaMC-BCCpUC'!$A5,'Cost Improvement and Off Wnd'!$B$44:$AI$44,0))*1000*About!$A$71</f>
        <v>984256.3364586049</v>
      </c>
      <c r="D5" s="4">
        <f>'EIA Costs'!$D$8*INDEX('Cost Improvement and Off Wnd'!$B$45:$AI$53,MATCH("nuclear",'Cost Improvement and Off Wnd'!$A$45:$A$53,0),MATCH('CCaMC-BCCpUC'!$A5,'Cost Improvement and Off Wnd'!$B$44:$AI$44,0))*1000*About!$A$71</f>
        <v>5284143.9595336132</v>
      </c>
      <c r="E5" s="4">
        <f>'EIA Costs'!$D$11*INDEX('Cost Improvement and Off Wnd'!$B$45:$AI$53,MATCH("hydro",'Cost Improvement and Off Wnd'!$A$45:$A$53,0),MATCH('CCaMC-BCCpUC'!$A5,'Cost Improvement and Off Wnd'!$B$44:$AI$44,0))*1000*About!$A$71</f>
        <v>2490693.1230202895</v>
      </c>
      <c r="F5" s="4">
        <v>0</v>
      </c>
      <c r="G5" s="4">
        <v>0</v>
      </c>
      <c r="H5" s="4">
        <f>'EIA Costs'!$D$14*INDEX('Cost Improvement and Off Wnd'!$B$45:$AI$53,MATCH("solar thermal",'Cost Improvement and Off Wnd'!$A$45:$A$53,0),MATCH('CCaMC-BCCpUC'!$A5,'Cost Improvement and Off Wnd'!$B$44:$AI$44,0))*1000*About!$A$71</f>
        <v>3225647.2510458729</v>
      </c>
      <c r="I5" s="4">
        <f>'EIA Costs'!$D$9*INDEX('Cost Improvement and Off Wnd'!$B$45:$AI$53,MATCH("biomass",'Cost Improvement and Off Wnd'!$A$45:$A$53,0),MATCH('CCaMC-BCCpUC'!$A5,'Cost Improvement and Off Wnd'!$B$44:$AI$44,0))*1000*About!$A$71</f>
        <v>3532179.7303932798</v>
      </c>
      <c r="J5" s="4">
        <f>'EIA Costs'!$D$10*INDEX('Cost Improvement and Off Wnd'!$B$45:$AI$53,MATCH("geothermal",'Cost Improvement and Off Wnd'!$A$45:$A$53,0),MATCH('CCaMC-BCCpUC'!$A5,'Cost Improvement and Off Wnd'!$B$44:$AI$44,0))*1000*About!$A$71</f>
        <v>1943895.9833329846</v>
      </c>
      <c r="K5" s="4">
        <f>'EIA Costs'!$D$7*INDEX('Cost Improvement and Off Wnd'!$B$45:$AI$53,MATCH("natural gas peaker",'Cost Improvement and Off Wnd'!$A$45:$A$53,0),MATCH('CCaMC-BCCpUC'!$A5,'Cost Improvement and Off Wnd'!$B$44:$AI$44,0))*1000*About!$A$71</f>
        <v>616710.15026315721</v>
      </c>
      <c r="L5" s="4">
        <f>'EIA Costs'!$D$7*INDEX('Cost Improvement and Off Wnd'!$B$45:$AI$53,MATCH("natural gas peaker",'Cost Improvement and Off Wnd'!$A$45:$A$53,0),MATCH('CCaMC-BCCpUC'!$A5,'Cost Improvement and Off Wnd'!$B$44:$AI$44,0))*1000*About!$A$71</f>
        <v>616710.15026315721</v>
      </c>
      <c r="M5" s="4">
        <f>B5*'Coal Cost Multipliers'!$B$33</f>
        <v>5666738.742912678</v>
      </c>
      <c r="N5" s="4">
        <v>0</v>
      </c>
      <c r="O5" s="4">
        <f t="shared" si="0"/>
        <v>616710.15026315721</v>
      </c>
      <c r="P5" s="4">
        <f t="shared" si="1"/>
        <v>616710.15026315721</v>
      </c>
      <c r="Q5" s="4">
        <f>'EIA Costs'!$D$16*INDEX('Cost Improvement and Off Wnd'!$B$45:$AI$53,MATCH("biomass",'Cost Improvement and Off Wnd'!$A$45:$A$53,0),MATCH('CCaMC-BCCpUC'!$A5,'Cost Improvement and Off Wnd'!$B$44:$AI$44,0))*1000*About!$A$71</f>
        <v>8047515.0385973537</v>
      </c>
    </row>
    <row r="6" spans="1:17">
      <c r="A6" s="1">
        <v>2022</v>
      </c>
      <c r="B6" s="4">
        <f>'EIA Costs'!$D$3*INDEX('Cost Improvement and Off Wnd'!$B$45:$AI$53,MATCH("coal",'Cost Improvement and Off Wnd'!$A$45:$A$53,0),MATCH('CCaMC-BCCpUC'!$A6,'Cost Improvement and Off Wnd'!$B$44:$AI$44,0))*1000*About!$A$63</f>
        <v>4857534.0707875015</v>
      </c>
      <c r="C6" s="4">
        <f>'EIA Costs'!$D$5*INDEX('Cost Improvement and Off Wnd'!$B$45:$AI$53,MATCH("natural gas nonpeaker",'Cost Improvement and Off Wnd'!$A$45:$A$53,0),MATCH('CCaMC-BCCpUC'!$A6,'Cost Improvement and Off Wnd'!$B$44:$AI$44,0))*1000*About!$A$71</f>
        <v>977059.320573256</v>
      </c>
      <c r="D6" s="4">
        <f>'EIA Costs'!$D$8*INDEX('Cost Improvement and Off Wnd'!$B$45:$AI$53,MATCH("nuclear",'Cost Improvement and Off Wnd'!$A$45:$A$53,0),MATCH('CCaMC-BCCpUC'!$A6,'Cost Improvement and Off Wnd'!$B$44:$AI$44,0))*1000*About!$A$71</f>
        <v>5246072.9994170172</v>
      </c>
      <c r="E6" s="4">
        <f>'EIA Costs'!$D$11*INDEX('Cost Improvement and Off Wnd'!$B$45:$AI$53,MATCH("hydro",'Cost Improvement and Off Wnd'!$A$45:$A$53,0),MATCH('CCaMC-BCCpUC'!$A6,'Cost Improvement and Off Wnd'!$B$44:$AI$44,0))*1000*About!$A$71</f>
        <v>2450956.0537753622</v>
      </c>
      <c r="F6" s="4">
        <v>0</v>
      </c>
      <c r="G6" s="4">
        <v>0</v>
      </c>
      <c r="H6" s="4">
        <f>'EIA Costs'!$D$14*INDEX('Cost Improvement and Off Wnd'!$B$45:$AI$53,MATCH("solar thermal",'Cost Improvement and Off Wnd'!$A$45:$A$53,0),MATCH('CCaMC-BCCpUC'!$A6,'Cost Improvement and Off Wnd'!$B$44:$AI$44,0))*1000*About!$A$71</f>
        <v>3036301.351765865</v>
      </c>
      <c r="I6" s="4">
        <f>'EIA Costs'!$D$9*INDEX('Cost Improvement and Off Wnd'!$B$45:$AI$53,MATCH("biomass",'Cost Improvement and Off Wnd'!$A$45:$A$53,0),MATCH('CCaMC-BCCpUC'!$A6,'Cost Improvement and Off Wnd'!$B$44:$AI$44,0))*1000*About!$A$71</f>
        <v>3441495.8280658736</v>
      </c>
      <c r="J6" s="4">
        <f>'EIA Costs'!$D$10*INDEX('Cost Improvement and Off Wnd'!$B$45:$AI$53,MATCH("geothermal",'Cost Improvement and Off Wnd'!$A$45:$A$53,0),MATCH('CCaMC-BCCpUC'!$A6,'Cost Improvement and Off Wnd'!$B$44:$AI$44,0))*1000*About!$A$71</f>
        <v>1802203.0291662314</v>
      </c>
      <c r="K6" s="4">
        <f>'EIA Costs'!$D$7*INDEX('Cost Improvement and Off Wnd'!$B$45:$AI$53,MATCH("natural gas peaker",'Cost Improvement and Off Wnd'!$A$45:$A$53,0),MATCH('CCaMC-BCCpUC'!$A6,'Cost Improvement and Off Wnd'!$B$44:$AI$44,0))*1000*About!$A$71</f>
        <v>612109.73017863615</v>
      </c>
      <c r="L6" s="4">
        <f>'EIA Costs'!$D$7*INDEX('Cost Improvement and Off Wnd'!$B$45:$AI$53,MATCH("natural gas peaker",'Cost Improvement and Off Wnd'!$A$45:$A$53,0),MATCH('CCaMC-BCCpUC'!$A6,'Cost Improvement and Off Wnd'!$B$44:$AI$44,0))*1000*About!$A$71</f>
        <v>612109.73017863615</v>
      </c>
      <c r="M6" s="4">
        <f>B6*'Coal Cost Multipliers'!$B$33</f>
        <v>5629601.6128887851</v>
      </c>
      <c r="N6" s="4">
        <v>0</v>
      </c>
      <c r="O6" s="4">
        <f t="shared" si="0"/>
        <v>612109.73017863615</v>
      </c>
      <c r="P6" s="4">
        <f t="shared" si="1"/>
        <v>612109.73017863615</v>
      </c>
      <c r="Q6" s="4">
        <f>'EIA Costs'!$D$16*INDEX('Cost Improvement and Off Wnd'!$B$45:$AI$53,MATCH("biomass",'Cost Improvement and Off Wnd'!$A$45:$A$53,0),MATCH('CCaMC-BCCpUC'!$A6,'Cost Improvement and Off Wnd'!$B$44:$AI$44,0))*1000*About!$A$71</f>
        <v>7840906.0539358519</v>
      </c>
    </row>
    <row r="7" spans="1:17">
      <c r="A7" s="1">
        <v>2023</v>
      </c>
      <c r="B7" s="4">
        <f>'EIA Costs'!$D$3*INDEX('Cost Improvement and Off Wnd'!$B$45:$AI$53,MATCH("coal",'Cost Improvement and Off Wnd'!$A$45:$A$53,0),MATCH('CCaMC-BCCpUC'!$A7,'Cost Improvement and Off Wnd'!$B$44:$AI$44,0))*1000*About!$A$63</f>
        <v>4825490.0849450026</v>
      </c>
      <c r="C7" s="4">
        <f>'EIA Costs'!$D$5*INDEX('Cost Improvement and Off Wnd'!$B$45:$AI$53,MATCH("natural gas nonpeaker",'Cost Improvement and Off Wnd'!$A$45:$A$53,0),MATCH('CCaMC-BCCpUC'!$A7,'Cost Improvement and Off Wnd'!$B$44:$AI$44,0))*1000*About!$A$71</f>
        <v>962255.51768496411</v>
      </c>
      <c r="D7" s="4">
        <f>'EIA Costs'!$D$8*INDEX('Cost Improvement and Off Wnd'!$B$45:$AI$53,MATCH("nuclear",'Cost Improvement and Off Wnd'!$A$45:$A$53,0),MATCH('CCaMC-BCCpUC'!$A7,'Cost Improvement and Off Wnd'!$B$44:$AI$44,0))*1000*About!$A$71</f>
        <v>5208002.0393004203</v>
      </c>
      <c r="E7" s="4">
        <f>'EIA Costs'!$D$11*INDEX('Cost Improvement and Off Wnd'!$B$45:$AI$53,MATCH("hydro",'Cost Improvement and Off Wnd'!$A$45:$A$53,0),MATCH('CCaMC-BCCpUC'!$A7,'Cost Improvement and Off Wnd'!$B$44:$AI$44,0))*1000*About!$A$71</f>
        <v>2411218.9845304345</v>
      </c>
      <c r="F7" s="4">
        <v>0</v>
      </c>
      <c r="G7" s="4">
        <v>0</v>
      </c>
      <c r="H7" s="4">
        <f>'EIA Costs'!$D$14*INDEX('Cost Improvement and Off Wnd'!$B$45:$AI$53,MATCH("solar thermal",'Cost Improvement and Off Wnd'!$A$45:$A$53,0),MATCH('CCaMC-BCCpUC'!$A7,'Cost Improvement and Off Wnd'!$B$44:$AI$44,0))*1000*About!$A$71</f>
        <v>2873999.6430443497</v>
      </c>
      <c r="I7" s="4">
        <f>'EIA Costs'!$D$9*INDEX('Cost Improvement and Off Wnd'!$B$45:$AI$53,MATCH("biomass",'Cost Improvement and Off Wnd'!$A$45:$A$53,0),MATCH('CCaMC-BCCpUC'!$A7,'Cost Improvement and Off Wnd'!$B$44:$AI$44,0))*1000*About!$A$71</f>
        <v>3424867.4186540279</v>
      </c>
      <c r="J7" s="4">
        <f>'EIA Costs'!$D$10*INDEX('Cost Improvement and Off Wnd'!$B$45:$AI$53,MATCH("geothermal",'Cost Improvement and Off Wnd'!$A$45:$A$53,0),MATCH('CCaMC-BCCpUC'!$A7,'Cost Improvement and Off Wnd'!$B$44:$AI$44,0))*1000*About!$A$71</f>
        <v>1660510.0749994777</v>
      </c>
      <c r="K7" s="4">
        <f>'EIA Costs'!$D$7*INDEX('Cost Improvement and Off Wnd'!$B$45:$AI$53,MATCH("natural gas peaker",'Cost Improvement and Off Wnd'!$A$45:$A$53,0),MATCH('CCaMC-BCCpUC'!$A7,'Cost Improvement and Off Wnd'!$B$44:$AI$44,0))*1000*About!$A$71</f>
        <v>600044.48430360877</v>
      </c>
      <c r="L7" s="4">
        <f>'EIA Costs'!$D$7*INDEX('Cost Improvement and Off Wnd'!$B$45:$AI$53,MATCH("natural gas peaker",'Cost Improvement and Off Wnd'!$A$45:$A$53,0),MATCH('CCaMC-BCCpUC'!$A7,'Cost Improvement and Off Wnd'!$B$44:$AI$44,0))*1000*About!$A$71</f>
        <v>600044.48430360877</v>
      </c>
      <c r="M7" s="4">
        <f>B7*'Coal Cost Multipliers'!$B$33</f>
        <v>5592464.482864894</v>
      </c>
      <c r="N7" s="4">
        <v>0</v>
      </c>
      <c r="O7" s="4">
        <f t="shared" si="0"/>
        <v>600044.48430360877</v>
      </c>
      <c r="P7" s="4">
        <f t="shared" si="1"/>
        <v>600044.48430360877</v>
      </c>
      <c r="Q7" s="4">
        <f>'EIA Costs'!$D$16*INDEX('Cost Improvement and Off Wnd'!$B$45:$AI$53,MATCH("biomass",'Cost Improvement and Off Wnd'!$A$45:$A$53,0),MATCH('CCaMC-BCCpUC'!$A7,'Cost Improvement and Off Wnd'!$B$44:$AI$44,0))*1000*About!$A$71</f>
        <v>7803020.8428130085</v>
      </c>
    </row>
    <row r="8" spans="1:17">
      <c r="A8" s="1">
        <v>2024</v>
      </c>
      <c r="B8" s="4">
        <f>'EIA Costs'!$D$3*INDEX('Cost Improvement and Off Wnd'!$B$45:$AI$53,MATCH("coal",'Cost Improvement and Off Wnd'!$A$45:$A$53,0),MATCH('CCaMC-BCCpUC'!$A8,'Cost Improvement and Off Wnd'!$B$44:$AI$44,0))*1000*About!$A$63</f>
        <v>4795743.5958531126</v>
      </c>
      <c r="C8" s="4">
        <f>'EIA Costs'!$D$5*INDEX('Cost Improvement and Off Wnd'!$B$45:$AI$53,MATCH("natural gas nonpeaker",'Cost Improvement and Off Wnd'!$A$45:$A$53,0),MATCH('CCaMC-BCCpUC'!$A8,'Cost Improvement and Off Wnd'!$B$44:$AI$44,0))*1000*About!$A$71</f>
        <v>954806.8341589222</v>
      </c>
      <c r="D8" s="4">
        <f>'EIA Costs'!$D$8*INDEX('Cost Improvement and Off Wnd'!$B$45:$AI$53,MATCH("nuclear",'Cost Improvement and Off Wnd'!$A$45:$A$53,0),MATCH('CCaMC-BCCpUC'!$A8,'Cost Improvement and Off Wnd'!$B$44:$AI$44,0))*1000*About!$A$71</f>
        <v>5172424.1389835458</v>
      </c>
      <c r="E8" s="4">
        <f>'EIA Costs'!$D$11*INDEX('Cost Improvement and Off Wnd'!$B$45:$AI$53,MATCH("hydro",'Cost Improvement and Off Wnd'!$A$45:$A$53,0),MATCH('CCaMC-BCCpUC'!$A8,'Cost Improvement and Off Wnd'!$B$44:$AI$44,0))*1000*About!$A$71</f>
        <v>2371481.9152855068</v>
      </c>
      <c r="F8" s="4">
        <v>0</v>
      </c>
      <c r="G8" s="4">
        <v>0</v>
      </c>
      <c r="H8" s="4">
        <f>'EIA Costs'!$D$14*INDEX('Cost Improvement and Off Wnd'!$B$45:$AI$53,MATCH("solar thermal",'Cost Improvement and Off Wnd'!$A$45:$A$53,0),MATCH('CCaMC-BCCpUC'!$A8,'Cost Improvement and Off Wnd'!$B$44:$AI$44,0))*1000*About!$A$71</f>
        <v>2696940.2860163674</v>
      </c>
      <c r="I8" s="4">
        <f>'EIA Costs'!$D$9*INDEX('Cost Improvement and Off Wnd'!$B$45:$AI$53,MATCH("biomass",'Cost Improvement and Off Wnd'!$A$45:$A$53,0),MATCH('CCaMC-BCCpUC'!$A8,'Cost Improvement and Off Wnd'!$B$44:$AI$44,0))*1000*About!$A$71</f>
        <v>3409766.8424255005</v>
      </c>
      <c r="J8" s="4">
        <f>'EIA Costs'!$D$10*INDEX('Cost Improvement and Off Wnd'!$B$45:$AI$53,MATCH("geothermal",'Cost Improvement and Off Wnd'!$A$45:$A$53,0),MATCH('CCaMC-BCCpUC'!$A8,'Cost Improvement and Off Wnd'!$B$44:$AI$44,0))*1000*About!$A$71</f>
        <v>1518817.1208327236</v>
      </c>
      <c r="K8" s="4">
        <f>'EIA Costs'!$D$7*INDEX('Cost Improvement and Off Wnd'!$B$45:$AI$53,MATCH("natural gas peaker",'Cost Improvement and Off Wnd'!$A$45:$A$53,0),MATCH('CCaMC-BCCpUC'!$A8,'Cost Improvement and Off Wnd'!$B$44:$AI$44,0))*1000*About!$A$71</f>
        <v>594462.88901983364</v>
      </c>
      <c r="L8" s="4">
        <f>'EIA Costs'!$D$7*INDEX('Cost Improvement and Off Wnd'!$B$45:$AI$53,MATCH("natural gas peaker",'Cost Improvement and Off Wnd'!$A$45:$A$53,0),MATCH('CCaMC-BCCpUC'!$A8,'Cost Improvement and Off Wnd'!$B$44:$AI$44,0))*1000*About!$A$71</f>
        <v>594462.88901983364</v>
      </c>
      <c r="M8" s="4">
        <f>B8*'Coal Cost Multipliers'!$B$33</f>
        <v>5557990.0189642562</v>
      </c>
      <c r="N8" s="4">
        <v>0</v>
      </c>
      <c r="O8" s="4">
        <f t="shared" si="0"/>
        <v>594462.88901983364</v>
      </c>
      <c r="P8" s="4">
        <f t="shared" si="1"/>
        <v>594462.88901983364</v>
      </c>
      <c r="Q8" s="4">
        <f>'EIA Costs'!$D$16*INDEX('Cost Improvement and Off Wnd'!$B$45:$AI$53,MATCH("biomass",'Cost Improvement and Off Wnd'!$A$45:$A$53,0),MATCH('CCaMC-BCCpUC'!$A8,'Cost Improvement and Off Wnd'!$B$44:$AI$44,0))*1000*About!$A$71</f>
        <v>7768616.5588959409</v>
      </c>
    </row>
    <row r="9" spans="1:17">
      <c r="A9" s="1">
        <v>2025</v>
      </c>
      <c r="B9" s="4">
        <f>'EIA Costs'!$D$3*INDEX('Cost Improvement and Off Wnd'!$B$45:$AI$53,MATCH("coal",'Cost Improvement and Off Wnd'!$A$45:$A$53,0),MATCH('CCaMC-BCCpUC'!$A9,'Cost Improvement and Off Wnd'!$B$44:$AI$44,0))*1000*About!$A$63</f>
        <v>4785754.0578712663</v>
      </c>
      <c r="C9" s="4">
        <f>'EIA Costs'!$D$5*INDEX('Cost Improvement and Off Wnd'!$B$45:$AI$53,MATCH("natural gas nonpeaker",'Cost Improvement and Off Wnd'!$A$45:$A$53,0),MATCH('CCaMC-BCCpUC'!$A9,'Cost Improvement and Off Wnd'!$B$44:$AI$44,0))*1000*About!$A$71</f>
        <v>951088.03781556</v>
      </c>
      <c r="D9" s="4">
        <f>'EIA Costs'!$D$8*INDEX('Cost Improvement and Off Wnd'!$B$45:$AI$53,MATCH("nuclear",'Cost Improvement and Off Wnd'!$A$45:$A$53,0),MATCH('CCaMC-BCCpUC'!$A9,'Cost Improvement and Off Wnd'!$B$44:$AI$44,0))*1000*About!$A$71</f>
        <v>5158151.5558288814</v>
      </c>
      <c r="E9" s="4">
        <f>'EIA Costs'!$D$11*INDEX('Cost Improvement and Off Wnd'!$B$45:$AI$53,MATCH("hydro",'Cost Improvement and Off Wnd'!$A$45:$A$53,0),MATCH('CCaMC-BCCpUC'!$A9,'Cost Improvement and Off Wnd'!$B$44:$AI$44,0))*1000*About!$A$71</f>
        <v>2331744.84604058</v>
      </c>
      <c r="F9" s="4">
        <v>0</v>
      </c>
      <c r="G9" s="4">
        <v>0</v>
      </c>
      <c r="H9" s="4">
        <f>'EIA Costs'!$D$14*INDEX('Cost Improvement and Off Wnd'!$B$45:$AI$53,MATCH("solar thermal",'Cost Improvement and Off Wnd'!$A$45:$A$53,0),MATCH('CCaMC-BCCpUC'!$A9,'Cost Improvement and Off Wnd'!$B$44:$AI$44,0))*1000*About!$A$71</f>
        <v>2519880.9289883869</v>
      </c>
      <c r="I9" s="4">
        <f>'EIA Costs'!$D$9*INDEX('Cost Improvement and Off Wnd'!$B$45:$AI$53,MATCH("biomass",'Cost Improvement and Off Wnd'!$A$45:$A$53,0),MATCH('CCaMC-BCCpUC'!$A9,'Cost Improvement and Off Wnd'!$B$44:$AI$44,0))*1000*About!$A$71</f>
        <v>3407990.6624235231</v>
      </c>
      <c r="J9" s="4">
        <f>'EIA Costs'!$D$10*INDEX('Cost Improvement and Off Wnd'!$B$45:$AI$53,MATCH("geothermal",'Cost Improvement and Off Wnd'!$A$45:$A$53,0),MATCH('CCaMC-BCCpUC'!$A9,'Cost Improvement and Off Wnd'!$B$44:$AI$44,0))*1000*About!$A$71</f>
        <v>1377124.1666659696</v>
      </c>
      <c r="K9" s="4">
        <f>'EIA Costs'!$D$7*INDEX('Cost Improvement and Off Wnd'!$B$45:$AI$53,MATCH("natural gas peaker",'Cost Improvement and Off Wnd'!$A$45:$A$53,0),MATCH('CCaMC-BCCpUC'!$A9,'Cost Improvement and Off Wnd'!$B$44:$AI$44,0))*1000*About!$A$71</f>
        <v>591147.174835179</v>
      </c>
      <c r="L9" s="4">
        <f>'EIA Costs'!$D$7*INDEX('Cost Improvement and Off Wnd'!$B$45:$AI$53,MATCH("natural gas peaker",'Cost Improvement and Off Wnd'!$A$45:$A$53,0),MATCH('CCaMC-BCCpUC'!$A9,'Cost Improvement and Off Wnd'!$B$44:$AI$44,0))*1000*About!$A$71</f>
        <v>591147.174835179</v>
      </c>
      <c r="M9" s="4">
        <f>B9*'Coal Cost Multipliers'!$B$33</f>
        <v>5546412.7210359061</v>
      </c>
      <c r="N9" s="4">
        <v>0</v>
      </c>
      <c r="O9" s="4">
        <f t="shared" si="0"/>
        <v>591147.174835179</v>
      </c>
      <c r="P9" s="4">
        <f t="shared" si="1"/>
        <v>591147.174835179</v>
      </c>
      <c r="Q9" s="4">
        <f>'EIA Costs'!$D$16*INDEX('Cost Improvement and Off Wnd'!$B$45:$AI$53,MATCH("biomass",'Cost Improvement and Off Wnd'!$A$45:$A$53,0),MATCH('CCaMC-BCCpUC'!$A9,'Cost Improvement and Off Wnd'!$B$44:$AI$44,0))*1000*About!$A$71</f>
        <v>7764569.8125896389</v>
      </c>
    </row>
    <row r="10" spans="1:17">
      <c r="A10" s="1">
        <v>2026</v>
      </c>
      <c r="B10" s="4">
        <f>'EIA Costs'!$D$3*INDEX('Cost Improvement and Off Wnd'!$B$45:$AI$53,MATCH("coal",'Cost Improvement and Off Wnd'!$A$45:$A$53,0),MATCH('CCaMC-BCCpUC'!$A10,'Cost Improvement and Off Wnd'!$B$44:$AI$44,0))*1000*About!$A$63</f>
        <v>4773854.0931798108</v>
      </c>
      <c r="C10" s="4">
        <f>'EIA Costs'!$D$5*INDEX('Cost Improvement and Off Wnd'!$B$45:$AI$53,MATCH("natural gas nonpeaker",'Cost Improvement and Off Wnd'!$A$45:$A$53,0),MATCH('CCaMC-BCCpUC'!$A10,'Cost Improvement and Off Wnd'!$B$44:$AI$44,0))*1000*About!$A$71</f>
        <v>947292.81476675125</v>
      </c>
      <c r="D10" s="4">
        <f>'EIA Costs'!$D$8*INDEX('Cost Improvement and Off Wnd'!$B$45:$AI$53,MATCH("nuclear",'Cost Improvement and Off Wnd'!$A$45:$A$53,0),MATCH('CCaMC-BCCpUC'!$A10,'Cost Improvement and Off Wnd'!$B$44:$AI$44,0))*1000*About!$A$71</f>
        <v>5141803.8791503608</v>
      </c>
      <c r="E10" s="4">
        <f>'EIA Costs'!$D$11*INDEX('Cost Improvement and Off Wnd'!$B$45:$AI$53,MATCH("hydro",'Cost Improvement and Off Wnd'!$A$45:$A$53,0),MATCH('CCaMC-BCCpUC'!$A10,'Cost Improvement and Off Wnd'!$B$44:$AI$44,0))*1000*About!$A$71</f>
        <v>2292007.7767956513</v>
      </c>
      <c r="F10" s="4">
        <v>0</v>
      </c>
      <c r="G10" s="4">
        <v>0</v>
      </c>
      <c r="H10" s="4">
        <f>'EIA Costs'!$D$14*INDEX('Cost Improvement and Off Wnd'!$B$45:$AI$53,MATCH("solar thermal",'Cost Improvement and Off Wnd'!$A$45:$A$53,0),MATCH('CCaMC-BCCpUC'!$A10,'Cost Improvement and Off Wnd'!$B$44:$AI$44,0))*1000*About!$A$71</f>
        <v>2342821.5719604054</v>
      </c>
      <c r="I10" s="4">
        <f>'EIA Costs'!$D$9*INDEX('Cost Improvement and Off Wnd'!$B$45:$AI$53,MATCH("biomass",'Cost Improvement and Off Wnd'!$A$45:$A$53,0),MATCH('CCaMC-BCCpUC'!$A10,'Cost Improvement and Off Wnd'!$B$44:$AI$44,0))*1000*About!$A$71</f>
        <v>3404946.6430044817</v>
      </c>
      <c r="J10" s="4">
        <f>'EIA Costs'!$D$10*INDEX('Cost Improvement and Off Wnd'!$B$45:$AI$53,MATCH("geothermal",'Cost Improvement and Off Wnd'!$A$45:$A$53,0),MATCH('CCaMC-BCCpUC'!$A10,'Cost Improvement and Off Wnd'!$B$44:$AI$44,0))*1000*About!$A$71</f>
        <v>1235431.2124992157</v>
      </c>
      <c r="K10" s="4">
        <f>'EIA Costs'!$D$7*INDEX('Cost Improvement and Off Wnd'!$B$45:$AI$53,MATCH("natural gas peaker",'Cost Improvement and Off Wnd'!$A$45:$A$53,0),MATCH('CCaMC-BCCpUC'!$A10,'Cost Improvement and Off Wnd'!$B$44:$AI$44,0))*1000*About!$A$71</f>
        <v>587865.47395385115</v>
      </c>
      <c r="L10" s="4">
        <f>'EIA Costs'!$D$7*INDEX('Cost Improvement and Off Wnd'!$B$45:$AI$53,MATCH("natural gas peaker",'Cost Improvement and Off Wnd'!$A$45:$A$53,0),MATCH('CCaMC-BCCpUC'!$A10,'Cost Improvement and Off Wnd'!$B$44:$AI$44,0))*1000*About!$A$71</f>
        <v>587865.47395385115</v>
      </c>
      <c r="M10" s="4">
        <f>B10*'Coal Cost Multipliers'!$B$33</f>
        <v>5532621.3488202756</v>
      </c>
      <c r="N10" s="4">
        <v>0</v>
      </c>
      <c r="O10" s="4">
        <f t="shared" si="0"/>
        <v>587865.47395385115</v>
      </c>
      <c r="P10" s="4">
        <f t="shared" si="1"/>
        <v>587865.47395385115</v>
      </c>
      <c r="Q10" s="4">
        <f>'EIA Costs'!$D$16*INDEX('Cost Improvement and Off Wnd'!$B$45:$AI$53,MATCH("biomass",'Cost Improvement and Off Wnd'!$A$45:$A$53,0),MATCH('CCaMC-BCCpUC'!$A10,'Cost Improvement and Off Wnd'!$B$44:$AI$44,0))*1000*About!$A$71</f>
        <v>7757634.4939132584</v>
      </c>
    </row>
    <row r="11" spans="1:17">
      <c r="A11" s="1">
        <v>2027</v>
      </c>
      <c r="B11" s="4">
        <f>'EIA Costs'!$D$3*INDEX('Cost Improvement and Off Wnd'!$B$45:$AI$53,MATCH("coal",'Cost Improvement and Off Wnd'!$A$45:$A$53,0),MATCH('CCaMC-BCCpUC'!$A11,'Cost Improvement and Off Wnd'!$B$44:$AI$44,0))*1000*About!$A$63</f>
        <v>4759440.3869223613</v>
      </c>
      <c r="C11" s="4">
        <f>'EIA Costs'!$D$5*INDEX('Cost Improvement and Off Wnd'!$B$45:$AI$53,MATCH("natural gas nonpeaker",'Cost Improvement and Off Wnd'!$A$45:$A$53,0),MATCH('CCaMC-BCCpUC'!$A11,'Cost Improvement and Off Wnd'!$B$44:$AI$44,0))*1000*About!$A$71</f>
        <v>943292.75212360208</v>
      </c>
      <c r="D11" s="4">
        <f>'EIA Costs'!$D$8*INDEX('Cost Improvement and Off Wnd'!$B$45:$AI$53,MATCH("nuclear",'Cost Improvement and Off Wnd'!$A$45:$A$53,0),MATCH('CCaMC-BCCpUC'!$A11,'Cost Improvement and Off Wnd'!$B$44:$AI$44,0))*1000*About!$A$71</f>
        <v>5122735.8674070584</v>
      </c>
      <c r="E11" s="4">
        <f>'EIA Costs'!$D$11*INDEX('Cost Improvement and Off Wnd'!$B$45:$AI$53,MATCH("hydro",'Cost Improvement and Off Wnd'!$A$45:$A$53,0),MATCH('CCaMC-BCCpUC'!$A11,'Cost Improvement and Off Wnd'!$B$44:$AI$44,0))*1000*About!$A$71</f>
        <v>2252270.7075507245</v>
      </c>
      <c r="F11" s="4">
        <v>0</v>
      </c>
      <c r="G11" s="4">
        <v>0</v>
      </c>
      <c r="H11" s="4">
        <f>'EIA Costs'!$D$14*INDEX('Cost Improvement and Off Wnd'!$B$45:$AI$53,MATCH("solar thermal",'Cost Improvement and Off Wnd'!$A$45:$A$53,0),MATCH('CCaMC-BCCpUC'!$A11,'Cost Improvement and Off Wnd'!$B$44:$AI$44,0))*1000*About!$A$71</f>
        <v>2165762.214932424</v>
      </c>
      <c r="I11" s="4">
        <f>'EIA Costs'!$D$9*INDEX('Cost Improvement and Off Wnd'!$B$45:$AI$53,MATCH("biomass",'Cost Improvement and Off Wnd'!$A$45:$A$53,0),MATCH('CCaMC-BCCpUC'!$A11,'Cost Improvement and Off Wnd'!$B$44:$AI$44,0))*1000*About!$A$71</f>
        <v>3400221.1276298021</v>
      </c>
      <c r="J11" s="4">
        <f>'EIA Costs'!$D$10*INDEX('Cost Improvement and Off Wnd'!$B$45:$AI$53,MATCH("geothermal",'Cost Improvement and Off Wnd'!$A$45:$A$53,0),MATCH('CCaMC-BCCpUC'!$A11,'Cost Improvement and Off Wnd'!$B$44:$AI$44,0))*1000*About!$A$71</f>
        <v>1093738.2583324621</v>
      </c>
      <c r="K11" s="4">
        <f>'EIA Costs'!$D$7*INDEX('Cost Improvement and Off Wnd'!$B$45:$AI$53,MATCH("natural gas peaker",'Cost Improvement and Off Wnd'!$A$45:$A$53,0),MATCH('CCaMC-BCCpUC'!$A11,'Cost Improvement and Off Wnd'!$B$44:$AI$44,0))*1000*About!$A$71</f>
        <v>584536.34264332184</v>
      </c>
      <c r="L11" s="4">
        <f>'EIA Costs'!$D$7*INDEX('Cost Improvement and Off Wnd'!$B$45:$AI$53,MATCH("natural gas peaker",'Cost Improvement and Off Wnd'!$A$45:$A$53,0),MATCH('CCaMC-BCCpUC'!$A11,'Cost Improvement and Off Wnd'!$B$44:$AI$44,0))*1000*About!$A$71</f>
        <v>584536.34264332184</v>
      </c>
      <c r="M11" s="4">
        <f>B11*'Coal Cost Multipliers'!$B$33</f>
        <v>5515916.6952219354</v>
      </c>
      <c r="N11" s="4">
        <v>0</v>
      </c>
      <c r="O11" s="4">
        <f t="shared" si="0"/>
        <v>584536.34264332184</v>
      </c>
      <c r="P11" s="4">
        <f t="shared" si="1"/>
        <v>584536.34264332184</v>
      </c>
      <c r="Q11" s="4">
        <f>'EIA Costs'!$D$16*INDEX('Cost Improvement and Off Wnd'!$B$45:$AI$53,MATCH("biomass",'Cost Improvement and Off Wnd'!$A$45:$A$53,0),MATCH('CCaMC-BCCpUC'!$A11,'Cost Improvement and Off Wnd'!$B$44:$AI$44,0))*1000*About!$A$71</f>
        <v>7746868.1516131693</v>
      </c>
    </row>
    <row r="12" spans="1:17">
      <c r="A12" s="1">
        <v>2028</v>
      </c>
      <c r="B12" s="4">
        <f>'EIA Costs'!$D$3*INDEX('Cost Improvement and Off Wnd'!$B$45:$AI$53,MATCH("coal",'Cost Improvement and Off Wnd'!$A$45:$A$53,0),MATCH('CCaMC-BCCpUC'!$A12,'Cost Improvement and Off Wnd'!$B$44:$AI$44,0))*1000*About!$A$63</f>
        <v>4740084.4459310938</v>
      </c>
      <c r="C12" s="4">
        <f>'EIA Costs'!$D$5*INDEX('Cost Improvement and Off Wnd'!$B$45:$AI$53,MATCH("natural gas nonpeaker",'Cost Improvement and Off Wnd'!$A$45:$A$53,0),MATCH('CCaMC-BCCpUC'!$A12,'Cost Improvement and Off Wnd'!$B$44:$AI$44,0))*1000*About!$A$71</f>
        <v>939870.27435769746</v>
      </c>
      <c r="D12" s="4">
        <f>'EIA Costs'!$D$8*INDEX('Cost Improvement and Off Wnd'!$B$45:$AI$53,MATCH("nuclear",'Cost Improvement and Off Wnd'!$A$45:$A$53,0),MATCH('CCaMC-BCCpUC'!$A12,'Cost Improvement and Off Wnd'!$B$44:$AI$44,0))*1000*About!$A$71</f>
        <v>5098341.7514725374</v>
      </c>
      <c r="E12" s="4">
        <f>'EIA Costs'!$D$11*INDEX('Cost Improvement and Off Wnd'!$B$45:$AI$53,MATCH("hydro",'Cost Improvement and Off Wnd'!$A$45:$A$53,0),MATCH('CCaMC-BCCpUC'!$A12,'Cost Improvement and Off Wnd'!$B$44:$AI$44,0))*1000*About!$A$71</f>
        <v>2212533.6383057963</v>
      </c>
      <c r="F12" s="4">
        <v>0</v>
      </c>
      <c r="G12" s="4">
        <v>0</v>
      </c>
      <c r="H12" s="4">
        <f>'EIA Costs'!$D$14*INDEX('Cost Improvement and Off Wnd'!$B$45:$AI$53,MATCH("solar thermal",'Cost Improvement and Off Wnd'!$A$45:$A$53,0),MATCH('CCaMC-BCCpUC'!$A12,'Cost Improvement and Off Wnd'!$B$44:$AI$44,0))*1000*About!$A$71</f>
        <v>1988702.8579044417</v>
      </c>
      <c r="I12" s="4">
        <f>'EIA Costs'!$D$9*INDEX('Cost Improvement and Off Wnd'!$B$45:$AI$53,MATCH("biomass",'Cost Improvement and Off Wnd'!$A$45:$A$53,0),MATCH('CCaMC-BCCpUC'!$A12,'Cost Improvement and Off Wnd'!$B$44:$AI$44,0))*1000*About!$A$71</f>
        <v>3392158.9126619366</v>
      </c>
      <c r="J12" s="4">
        <f>'EIA Costs'!$D$10*INDEX('Cost Improvement and Off Wnd'!$B$45:$AI$53,MATCH("geothermal",'Cost Improvement and Off Wnd'!$A$45:$A$53,0),MATCH('CCaMC-BCCpUC'!$A12,'Cost Improvement and Off Wnd'!$B$44:$AI$44,0))*1000*About!$A$71</f>
        <v>952045.3041657079</v>
      </c>
      <c r="K12" s="4">
        <f>'EIA Costs'!$D$7*INDEX('Cost Improvement and Off Wnd'!$B$45:$AI$53,MATCH("natural gas peaker",'Cost Improvement and Off Wnd'!$A$45:$A$53,0),MATCH('CCaMC-BCCpUC'!$A12,'Cost Improvement and Off Wnd'!$B$44:$AI$44,0))*1000*About!$A$71</f>
        <v>581998.08274038043</v>
      </c>
      <c r="L12" s="4">
        <f>'EIA Costs'!$D$7*INDEX('Cost Improvement and Off Wnd'!$B$45:$AI$53,MATCH("natural gas peaker",'Cost Improvement and Off Wnd'!$A$45:$A$53,0),MATCH('CCaMC-BCCpUC'!$A12,'Cost Improvement and Off Wnd'!$B$44:$AI$44,0))*1000*About!$A$71</f>
        <v>581998.08274038043</v>
      </c>
      <c r="M12" s="4">
        <f>B12*'Coal Cost Multipliers'!$B$33</f>
        <v>5493484.2768311454</v>
      </c>
      <c r="N12" s="4">
        <v>0</v>
      </c>
      <c r="O12" s="4">
        <f t="shared" si="0"/>
        <v>581998.08274038043</v>
      </c>
      <c r="P12" s="4">
        <f t="shared" si="1"/>
        <v>581998.08274038043</v>
      </c>
      <c r="Q12" s="4">
        <f>'EIA Costs'!$D$16*INDEX('Cost Improvement and Off Wnd'!$B$45:$AI$53,MATCH("biomass",'Cost Improvement and Off Wnd'!$A$45:$A$53,0),MATCH('CCaMC-BCCpUC'!$A12,'Cost Improvement and Off Wnd'!$B$44:$AI$44,0))*1000*About!$A$71</f>
        <v>7728499.6649701986</v>
      </c>
    </row>
    <row r="13" spans="1:17">
      <c r="A13" s="1">
        <v>2029</v>
      </c>
      <c r="B13" s="4">
        <f>'EIA Costs'!$D$3*INDEX('Cost Improvement and Off Wnd'!$B$45:$AI$53,MATCH("coal",'Cost Improvement and Off Wnd'!$A$45:$A$53,0),MATCH('CCaMC-BCCpUC'!$A13,'Cost Improvement and Off Wnd'!$B$44:$AI$44,0))*1000*About!$A$63</f>
        <v>4710915.8444493385</v>
      </c>
      <c r="C13" s="4">
        <f>'EIA Costs'!$D$5*INDEX('Cost Improvement and Off Wnd'!$B$45:$AI$53,MATCH("natural gas nonpeaker",'Cost Improvement and Off Wnd'!$A$45:$A$53,0),MATCH('CCaMC-BCCpUC'!$A13,'Cost Improvement and Off Wnd'!$B$44:$AI$44,0))*1000*About!$A$71</f>
        <v>934527.42318819102</v>
      </c>
      <c r="D13" s="4">
        <f>'EIA Costs'!$D$8*INDEX('Cost Improvement and Off Wnd'!$B$45:$AI$53,MATCH("nuclear",'Cost Improvement and Off Wnd'!$A$45:$A$53,0),MATCH('CCaMC-BCCpUC'!$A13,'Cost Improvement and Off Wnd'!$B$44:$AI$44,0))*1000*About!$A$71</f>
        <v>5063396.6793669248</v>
      </c>
      <c r="E13" s="4">
        <f>'EIA Costs'!$D$11*INDEX('Cost Improvement and Off Wnd'!$B$45:$AI$53,MATCH("hydro",'Cost Improvement and Off Wnd'!$A$45:$A$53,0),MATCH('CCaMC-BCCpUC'!$A13,'Cost Improvement and Off Wnd'!$B$44:$AI$44,0))*1000*About!$A$71</f>
        <v>2172796.569060869</v>
      </c>
      <c r="F13" s="4">
        <v>0</v>
      </c>
      <c r="G13" s="4">
        <v>0</v>
      </c>
      <c r="H13" s="4">
        <f>'EIA Costs'!$D$14*INDEX('Cost Improvement and Off Wnd'!$B$45:$AI$53,MATCH("solar thermal",'Cost Improvement and Off Wnd'!$A$45:$A$53,0),MATCH('CCaMC-BCCpUC'!$A13,'Cost Improvement and Off Wnd'!$B$44:$AI$44,0))*1000*About!$A$71</f>
        <v>1811643.5008764607</v>
      </c>
      <c r="I13" s="4">
        <f>'EIA Costs'!$D$9*INDEX('Cost Improvement and Off Wnd'!$B$45:$AI$53,MATCH("biomass",'Cost Improvement and Off Wnd'!$A$45:$A$53,0),MATCH('CCaMC-BCCpUC'!$A13,'Cost Improvement and Off Wnd'!$B$44:$AI$44,0))*1000*About!$A$71</f>
        <v>3377434.3102844721</v>
      </c>
      <c r="J13" s="4">
        <f>'EIA Costs'!$D$10*INDEX('Cost Improvement and Off Wnd'!$B$45:$AI$53,MATCH("geothermal",'Cost Improvement and Off Wnd'!$A$45:$A$53,0),MATCH('CCaMC-BCCpUC'!$A13,'Cost Improvement and Off Wnd'!$B$44:$AI$44,0))*1000*About!$A$71</f>
        <v>810352.34999895387</v>
      </c>
      <c r="K13" s="4">
        <f>'EIA Costs'!$D$7*INDEX('Cost Improvement and Off Wnd'!$B$45:$AI$53,MATCH("natural gas peaker",'Cost Improvement and Off Wnd'!$A$45:$A$53,0),MATCH('CCaMC-BCCpUC'!$A13,'Cost Improvement and Off Wnd'!$B$44:$AI$44,0))*1000*About!$A$71</f>
        <v>578278.05716929329</v>
      </c>
      <c r="L13" s="4">
        <f>'EIA Costs'!$D$7*INDEX('Cost Improvement and Off Wnd'!$B$45:$AI$53,MATCH("natural gas peaker",'Cost Improvement and Off Wnd'!$A$45:$A$53,0),MATCH('CCaMC-BCCpUC'!$A13,'Cost Improvement and Off Wnd'!$B$44:$AI$44,0))*1000*About!$A$71</f>
        <v>578278.05716929329</v>
      </c>
      <c r="M13" s="4">
        <f>B13*'Coal Cost Multipliers'!$B$33</f>
        <v>5459679.5513151847</v>
      </c>
      <c r="N13" s="4">
        <v>0</v>
      </c>
      <c r="O13" s="4">
        <f t="shared" si="0"/>
        <v>578278.05716929329</v>
      </c>
      <c r="P13" s="4">
        <f t="shared" si="1"/>
        <v>578278.05716929329</v>
      </c>
      <c r="Q13" s="4">
        <f>'EIA Costs'!$D$16*INDEX('Cost Improvement and Off Wnd'!$B$45:$AI$53,MATCH("biomass",'Cost Improvement and Off Wnd'!$A$45:$A$53,0),MATCH('CCaMC-BCCpUC'!$A13,'Cost Improvement and Off Wnd'!$B$44:$AI$44,0))*1000*About!$A$71</f>
        <v>7694951.9782399936</v>
      </c>
    </row>
    <row r="14" spans="1:17">
      <c r="A14" s="1">
        <v>2030</v>
      </c>
      <c r="B14" s="4">
        <f>'EIA Costs'!$D$3*INDEX('Cost Improvement and Off Wnd'!$B$45:$AI$53,MATCH("coal",'Cost Improvement and Off Wnd'!$A$45:$A$53,0),MATCH('CCaMC-BCCpUC'!$A14,'Cost Improvement and Off Wnd'!$B$44:$AI$44,0))*1000*About!$A$63</f>
        <v>4689417.1097476929</v>
      </c>
      <c r="C14" s="4">
        <f>'EIA Costs'!$D$5*INDEX('Cost Improvement and Off Wnd'!$B$45:$AI$53,MATCH("natural gas nonpeaker",'Cost Improvement and Off Wnd'!$A$45:$A$53,0),MATCH('CCaMC-BCCpUC'!$A14,'Cost Improvement and Off Wnd'!$B$44:$AI$44,0))*1000*About!$A$71</f>
        <v>931495.52585967071</v>
      </c>
      <c r="D14" s="4">
        <f>'EIA Costs'!$D$8*INDEX('Cost Improvement and Off Wnd'!$B$45:$AI$53,MATCH("nuclear",'Cost Improvement and Off Wnd'!$A$45:$A$53,0),MATCH('CCaMC-BCCpUC'!$A14,'Cost Improvement and Off Wnd'!$B$44:$AI$44,0))*1000*About!$A$71</f>
        <v>5036700.6083497163</v>
      </c>
      <c r="E14" s="4">
        <f>'EIA Costs'!$D$11*INDEX('Cost Improvement and Off Wnd'!$B$45:$AI$53,MATCH("hydro",'Cost Improvement and Off Wnd'!$A$45:$A$53,0),MATCH('CCaMC-BCCpUC'!$A14,'Cost Improvement and Off Wnd'!$B$44:$AI$44,0))*1000*About!$A$71</f>
        <v>2133059.4998159413</v>
      </c>
      <c r="F14" s="4">
        <v>0</v>
      </c>
      <c r="G14" s="4">
        <v>0</v>
      </c>
      <c r="H14" s="4">
        <f>'EIA Costs'!$D$14*INDEX('Cost Improvement and Off Wnd'!$B$45:$AI$53,MATCH("solar thermal",'Cost Improvement and Off Wnd'!$A$45:$A$53,0),MATCH('CCaMC-BCCpUC'!$A14,'Cost Improvement and Off Wnd'!$B$44:$AI$44,0))*1000*About!$A$71</f>
        <v>1634584.1438484804</v>
      </c>
      <c r="I14" s="4">
        <f>'EIA Costs'!$D$9*INDEX('Cost Improvement and Off Wnd'!$B$45:$AI$53,MATCH("biomass",'Cost Improvement and Off Wnd'!$A$45:$A$53,0),MATCH('CCaMC-BCCpUC'!$A14,'Cost Improvement and Off Wnd'!$B$44:$AI$44,0))*1000*About!$A$71</f>
        <v>3367913.89836699</v>
      </c>
      <c r="J14" s="4">
        <f>'EIA Costs'!$D$10*INDEX('Cost Improvement and Off Wnd'!$B$45:$AI$53,MATCH("geothermal",'Cost Improvement and Off Wnd'!$A$45:$A$53,0),MATCH('CCaMC-BCCpUC'!$A14,'Cost Improvement and Off Wnd'!$B$44:$AI$44,0))*1000*About!$A$71</f>
        <v>668659.39583219984</v>
      </c>
      <c r="K14" s="4">
        <f>'EIA Costs'!$D$7*INDEX('Cost Improvement and Off Wnd'!$B$45:$AI$53,MATCH("natural gas peaker",'Cost Improvement and Off Wnd'!$A$45:$A$53,0),MATCH('CCaMC-BCCpUC'!$A14,'Cost Improvement and Off Wnd'!$B$44:$AI$44,0))*1000*About!$A$71</f>
        <v>576209.76721946476</v>
      </c>
      <c r="L14" s="4">
        <f>'EIA Costs'!$D$7*INDEX('Cost Improvement and Off Wnd'!$B$45:$AI$53,MATCH("natural gas peaker",'Cost Improvement and Off Wnd'!$A$45:$A$53,0),MATCH('CCaMC-BCCpUC'!$A14,'Cost Improvement and Off Wnd'!$B$44:$AI$44,0))*1000*About!$A$71</f>
        <v>576209.76721946476</v>
      </c>
      <c r="M14" s="4">
        <f>B14*'Coal Cost Multipliers'!$B$33</f>
        <v>5434763.7586953649</v>
      </c>
      <c r="N14" s="4">
        <v>0</v>
      </c>
      <c r="O14" s="4">
        <f t="shared" si="0"/>
        <v>576209.76721946476</v>
      </c>
      <c r="P14" s="4">
        <f t="shared" si="1"/>
        <v>576209.76721946476</v>
      </c>
      <c r="Q14" s="4">
        <f>'EIA Costs'!$D$16*INDEX('Cost Improvement and Off Wnd'!$B$45:$AI$53,MATCH("biomass",'Cost Improvement and Off Wnd'!$A$45:$A$53,0),MATCH('CCaMC-BCCpUC'!$A14,'Cost Improvement and Off Wnd'!$B$44:$AI$44,0))*1000*About!$A$71</f>
        <v>7673261.2195788976</v>
      </c>
    </row>
    <row r="15" spans="1:17">
      <c r="A15" s="1">
        <v>2031</v>
      </c>
      <c r="B15" s="4">
        <f>'EIA Costs'!$D$3*INDEX('Cost Improvement and Off Wnd'!$B$45:$AI$53,MATCH("coal",'Cost Improvement and Off Wnd'!$A$45:$A$53,0),MATCH('CCaMC-BCCpUC'!$A15,'Cost Improvement and Off Wnd'!$B$44:$AI$44,0))*1000*About!$A$63</f>
        <v>4668043.9835290164</v>
      </c>
      <c r="C15" s="4">
        <f>'EIA Costs'!$D$5*INDEX('Cost Improvement and Off Wnd'!$B$45:$AI$53,MATCH("natural gas nonpeaker",'Cost Improvement and Off Wnd'!$A$45:$A$53,0),MATCH('CCaMC-BCCpUC'!$A15,'Cost Improvement and Off Wnd'!$B$44:$AI$44,0))*1000*About!$A$71</f>
        <v>928683.16945564619</v>
      </c>
      <c r="D15" s="4">
        <f>'EIA Costs'!$D$8*INDEX('Cost Improvement and Off Wnd'!$B$45:$AI$53,MATCH("nuclear",'Cost Improvement and Off Wnd'!$A$45:$A$53,0),MATCH('CCaMC-BCCpUC'!$A15,'Cost Improvement and Off Wnd'!$B$44:$AI$44,0))*1000*About!$A$71</f>
        <v>5010138.1882432802</v>
      </c>
      <c r="E15" s="4">
        <f>'EIA Costs'!$D$11*INDEX('Cost Improvement and Off Wnd'!$B$45:$AI$53,MATCH("hydro",'Cost Improvement and Off Wnd'!$A$45:$A$53,0),MATCH('CCaMC-BCCpUC'!$A15,'Cost Improvement and Off Wnd'!$B$44:$AI$44,0))*1000*About!$A$71</f>
        <v>2093322.4305710143</v>
      </c>
      <c r="F15" s="4">
        <v>0</v>
      </c>
      <c r="G15" s="4">
        <v>0</v>
      </c>
      <c r="H15" s="4">
        <f>'EIA Costs'!$D$14*INDEX('Cost Improvement and Off Wnd'!$B$45:$AI$53,MATCH("solar thermal",'Cost Improvement and Off Wnd'!$A$45:$A$53,0),MATCH('CCaMC-BCCpUC'!$A15,'Cost Improvement and Off Wnd'!$B$44:$AI$44,0))*1000*About!$A$71</f>
        <v>1618330.0392752115</v>
      </c>
      <c r="I15" s="4">
        <f>'EIA Costs'!$D$9*INDEX('Cost Improvement and Off Wnd'!$B$45:$AI$53,MATCH("biomass",'Cost Improvement and Off Wnd'!$A$45:$A$53,0),MATCH('CCaMC-BCCpUC'!$A15,'Cost Improvement and Off Wnd'!$B$44:$AI$44,0))*1000*About!$A$71</f>
        <v>3358479.5322181419</v>
      </c>
      <c r="J15" s="4">
        <f>'EIA Costs'!$D$10*INDEX('Cost Improvement and Off Wnd'!$B$45:$AI$53,MATCH("geothermal",'Cost Improvement and Off Wnd'!$A$45:$A$53,0),MATCH('CCaMC-BCCpUC'!$A15,'Cost Improvement and Off Wnd'!$B$44:$AI$44,0))*1000*About!$A$71</f>
        <v>668659.39583219984</v>
      </c>
      <c r="K15" s="4">
        <f>'EIA Costs'!$D$7*INDEX('Cost Improvement and Off Wnd'!$B$45:$AI$53,MATCH("natural gas peaker",'Cost Improvement and Off Wnd'!$A$45:$A$53,0),MATCH('CCaMC-BCCpUC'!$A15,'Cost Improvement and Off Wnd'!$B$44:$AI$44,0))*1000*About!$A$71</f>
        <v>574331.56907527894</v>
      </c>
      <c r="L15" s="4">
        <f>'EIA Costs'!$D$7*INDEX('Cost Improvement and Off Wnd'!$B$45:$AI$53,MATCH("natural gas peaker",'Cost Improvement and Off Wnd'!$A$45:$A$53,0),MATCH('CCaMC-BCCpUC'!$A15,'Cost Improvement and Off Wnd'!$B$44:$AI$44,0))*1000*About!$A$71</f>
        <v>574331.56907527894</v>
      </c>
      <c r="M15" s="4">
        <f>B15*'Coal Cost Multipliers'!$B$33</f>
        <v>5409993.5390572287</v>
      </c>
      <c r="N15" s="4">
        <v>0</v>
      </c>
      <c r="O15" s="4">
        <f t="shared" si="0"/>
        <v>574331.56907527894</v>
      </c>
      <c r="P15" s="4">
        <f t="shared" si="1"/>
        <v>574331.56907527894</v>
      </c>
      <c r="Q15" s="4">
        <f>'EIA Costs'!$D$16*INDEX('Cost Improvement and Off Wnd'!$B$45:$AI$53,MATCH("biomass",'Cost Improvement and Off Wnd'!$A$45:$A$53,0),MATCH('CCaMC-BCCpUC'!$A15,'Cost Improvement and Off Wnd'!$B$44:$AI$44,0))*1000*About!$A$71</f>
        <v>7651766.5026455559</v>
      </c>
    </row>
    <row r="16" spans="1:17">
      <c r="A16" s="1">
        <v>2032</v>
      </c>
      <c r="B16" s="4">
        <f>'EIA Costs'!$D$3*INDEX('Cost Improvement and Off Wnd'!$B$45:$AI$53,MATCH("coal",'Cost Improvement and Off Wnd'!$A$45:$A$53,0),MATCH('CCaMC-BCCpUC'!$A16,'Cost Improvement and Off Wnd'!$B$44:$AI$44,0))*1000*About!$A$63</f>
        <v>4644118.4018394854</v>
      </c>
      <c r="C16" s="4">
        <f>'EIA Costs'!$D$5*INDEX('Cost Improvement and Off Wnd'!$B$45:$AI$53,MATCH("natural gas nonpeaker",'Cost Improvement and Off Wnd'!$A$45:$A$53,0),MATCH('CCaMC-BCCpUC'!$A16,'Cost Improvement and Off Wnd'!$B$44:$AI$44,0))*1000*About!$A$71</f>
        <v>924875.02500060399</v>
      </c>
      <c r="D16" s="4">
        <f>'EIA Costs'!$D$8*INDEX('Cost Improvement and Off Wnd'!$B$45:$AI$53,MATCH("nuclear",'Cost Improvement and Off Wnd'!$A$45:$A$53,0),MATCH('CCaMC-BCCpUC'!$A16,'Cost Improvement and Off Wnd'!$B$44:$AI$44,0))*1000*About!$A$71</f>
        <v>4980837.45393827</v>
      </c>
      <c r="E16" s="4">
        <f>'EIA Costs'!$D$11*INDEX('Cost Improvement and Off Wnd'!$B$45:$AI$53,MATCH("hydro",'Cost Improvement and Off Wnd'!$A$45:$A$53,0),MATCH('CCaMC-BCCpUC'!$A16,'Cost Improvement and Off Wnd'!$B$44:$AI$44,0))*1000*About!$A$71</f>
        <v>2053585.3613260863</v>
      </c>
      <c r="F16" s="4">
        <v>0</v>
      </c>
      <c r="G16" s="4">
        <v>0</v>
      </c>
      <c r="H16" s="4">
        <f>'EIA Costs'!$D$14*INDEX('Cost Improvement and Off Wnd'!$B$45:$AI$53,MATCH("solar thermal",'Cost Improvement and Off Wnd'!$A$45:$A$53,0),MATCH('CCaMC-BCCpUC'!$A16,'Cost Improvement and Off Wnd'!$B$44:$AI$44,0))*1000*About!$A$71</f>
        <v>1602075.9347019426</v>
      </c>
      <c r="I16" s="4">
        <f>'EIA Costs'!$D$9*INDEX('Cost Improvement and Off Wnd'!$B$45:$AI$53,MATCH("biomass",'Cost Improvement and Off Wnd'!$A$45:$A$53,0),MATCH('CCaMC-BCCpUC'!$A16,'Cost Improvement and Off Wnd'!$B$44:$AI$44,0))*1000*About!$A$71</f>
        <v>3347303.5272370684</v>
      </c>
      <c r="J16" s="4">
        <f>'EIA Costs'!$D$10*INDEX('Cost Improvement and Off Wnd'!$B$45:$AI$53,MATCH("geothermal",'Cost Improvement and Off Wnd'!$A$45:$A$53,0),MATCH('CCaMC-BCCpUC'!$A16,'Cost Improvement and Off Wnd'!$B$44:$AI$44,0))*1000*About!$A$71</f>
        <v>668659.39583219984</v>
      </c>
      <c r="K16" s="4">
        <f>'EIA Costs'!$D$7*INDEX('Cost Improvement and Off Wnd'!$B$45:$AI$53,MATCH("natural gas peaker",'Cost Improvement and Off Wnd'!$A$45:$A$53,0),MATCH('CCaMC-BCCpUC'!$A16,'Cost Improvement and Off Wnd'!$B$44:$AI$44,0))*1000*About!$A$71</f>
        <v>571701.18391958985</v>
      </c>
      <c r="L16" s="4">
        <f>'EIA Costs'!$D$7*INDEX('Cost Improvement and Off Wnd'!$B$45:$AI$53,MATCH("natural gas peaker",'Cost Improvement and Off Wnd'!$A$45:$A$53,0),MATCH('CCaMC-BCCpUC'!$A16,'Cost Improvement and Off Wnd'!$B$44:$AI$44,0))*1000*About!$A$71</f>
        <v>571701.18391958985</v>
      </c>
      <c r="M16" s="4">
        <f>B16*'Coal Cost Multipliers'!$B$33</f>
        <v>5382265.1708552018</v>
      </c>
      <c r="N16" s="4">
        <v>0</v>
      </c>
      <c r="O16" s="4">
        <f t="shared" si="0"/>
        <v>571701.18391958985</v>
      </c>
      <c r="P16" s="4">
        <f t="shared" si="1"/>
        <v>571701.18391958985</v>
      </c>
      <c r="Q16" s="4">
        <f>'EIA Costs'!$D$16*INDEX('Cost Improvement and Off Wnd'!$B$45:$AI$53,MATCH("biomass",'Cost Improvement and Off Wnd'!$A$45:$A$53,0),MATCH('CCaMC-BCCpUC'!$A16,'Cost Improvement and Off Wnd'!$B$44:$AI$44,0))*1000*About!$A$71</f>
        <v>7626303.7360194027</v>
      </c>
    </row>
    <row r="17" spans="1:17">
      <c r="A17" s="1">
        <v>2033</v>
      </c>
      <c r="B17" s="4">
        <f>'EIA Costs'!$D$3*INDEX('Cost Improvement and Off Wnd'!$B$45:$AI$53,MATCH("coal",'Cost Improvement and Off Wnd'!$A$45:$A$53,0),MATCH('CCaMC-BCCpUC'!$A17,'Cost Improvement and Off Wnd'!$B$44:$AI$44,0))*1000*About!$A$63</f>
        <v>4622141.6806001225</v>
      </c>
      <c r="C17" s="4">
        <f>'EIA Costs'!$D$5*INDEX('Cost Improvement and Off Wnd'!$B$45:$AI$53,MATCH("natural gas nonpeaker",'Cost Improvement and Off Wnd'!$A$45:$A$53,0),MATCH('CCaMC-BCCpUC'!$A17,'Cost Improvement and Off Wnd'!$B$44:$AI$44,0))*1000*About!$A$71</f>
        <v>921881.07696823147</v>
      </c>
      <c r="D17" s="4">
        <f>'EIA Costs'!$D$8*INDEX('Cost Improvement and Off Wnd'!$B$45:$AI$53,MATCH("nuclear",'Cost Improvement and Off Wnd'!$A$45:$A$53,0),MATCH('CCaMC-BCCpUC'!$A17,'Cost Improvement and Off Wnd'!$B$44:$AI$44,0))*1000*About!$A$71</f>
        <v>4953629.0247932514</v>
      </c>
      <c r="E17" s="4">
        <f>'EIA Costs'!$D$11*INDEX('Cost Improvement and Off Wnd'!$B$45:$AI$53,MATCH("hydro",'Cost Improvement and Off Wnd'!$A$45:$A$53,0),MATCH('CCaMC-BCCpUC'!$A17,'Cost Improvement and Off Wnd'!$B$44:$AI$44,0))*1000*About!$A$71</f>
        <v>2013848.2920811588</v>
      </c>
      <c r="F17" s="4">
        <v>0</v>
      </c>
      <c r="G17" s="4">
        <v>0</v>
      </c>
      <c r="H17" s="4">
        <f>'EIA Costs'!$D$14*INDEX('Cost Improvement and Off Wnd'!$B$45:$AI$53,MATCH("solar thermal",'Cost Improvement and Off Wnd'!$A$45:$A$53,0),MATCH('CCaMC-BCCpUC'!$A17,'Cost Improvement and Off Wnd'!$B$44:$AI$44,0))*1000*About!$A$71</f>
        <v>1585821.8301286742</v>
      </c>
      <c r="I17" s="4">
        <f>'EIA Costs'!$D$9*INDEX('Cost Improvement and Off Wnd'!$B$45:$AI$53,MATCH("biomass",'Cost Improvement and Off Wnd'!$A$45:$A$53,0),MATCH('CCaMC-BCCpUC'!$A17,'Cost Improvement and Off Wnd'!$B$44:$AI$44,0))*1000*About!$A$71</f>
        <v>3337455.8838543813</v>
      </c>
      <c r="J17" s="4">
        <f>'EIA Costs'!$D$10*INDEX('Cost Improvement and Off Wnd'!$B$45:$AI$53,MATCH("geothermal",'Cost Improvement and Off Wnd'!$A$45:$A$53,0),MATCH('CCaMC-BCCpUC'!$A17,'Cost Improvement and Off Wnd'!$B$44:$AI$44,0))*1000*About!$A$71</f>
        <v>668659.39583219984</v>
      </c>
      <c r="K17" s="4">
        <f>'EIA Costs'!$D$7*INDEX('Cost Improvement and Off Wnd'!$B$45:$AI$53,MATCH("natural gas peaker",'Cost Improvement and Off Wnd'!$A$45:$A$53,0),MATCH('CCaMC-BCCpUC'!$A17,'Cost Improvement and Off Wnd'!$B$44:$AI$44,0))*1000*About!$A$71</f>
        <v>569693.58845712245</v>
      </c>
      <c r="L17" s="4">
        <f>'EIA Costs'!$D$7*INDEX('Cost Improvement and Off Wnd'!$B$45:$AI$53,MATCH("natural gas peaker",'Cost Improvement and Off Wnd'!$A$45:$A$53,0),MATCH('CCaMC-BCCpUC'!$A17,'Cost Improvement and Off Wnd'!$B$44:$AI$44,0))*1000*About!$A$71</f>
        <v>569693.58845712245</v>
      </c>
      <c r="M17" s="4">
        <f>B17*'Coal Cost Multipliers'!$B$33</f>
        <v>5356795.4194273818</v>
      </c>
      <c r="N17" s="4">
        <v>0</v>
      </c>
      <c r="O17" s="4">
        <f t="shared" si="0"/>
        <v>569693.58845712245</v>
      </c>
      <c r="P17" s="4">
        <f t="shared" si="1"/>
        <v>569693.58845712245</v>
      </c>
      <c r="Q17" s="4">
        <f>'EIA Costs'!$D$16*INDEX('Cost Improvement and Off Wnd'!$B$45:$AI$53,MATCH("biomass",'Cost Improvement and Off Wnd'!$A$45:$A$53,0),MATCH('CCaMC-BCCpUC'!$A17,'Cost Improvement and Off Wnd'!$B$44:$AI$44,0))*1000*About!$A$71</f>
        <v>7603867.4320185054</v>
      </c>
    </row>
    <row r="18" spans="1:17">
      <c r="A18" s="1">
        <v>2034</v>
      </c>
      <c r="B18" s="4">
        <f>'EIA Costs'!$D$3*INDEX('Cost Improvement and Off Wnd'!$B$45:$AI$53,MATCH("coal",'Cost Improvement and Off Wnd'!$A$45:$A$53,0),MATCH('CCaMC-BCCpUC'!$A18,'Cost Improvement and Off Wnd'!$B$44:$AI$44,0))*1000*About!$A$63</f>
        <v>4603798.572613379</v>
      </c>
      <c r="C18" s="4">
        <f>'EIA Costs'!$D$5*INDEX('Cost Improvement and Off Wnd'!$B$45:$AI$53,MATCH("natural gas nonpeaker",'Cost Improvement and Off Wnd'!$A$45:$A$53,0),MATCH('CCaMC-BCCpUC'!$A18,'Cost Improvement and Off Wnd'!$B$44:$AI$44,0))*1000*About!$A$71</f>
        <v>919299.76255436498</v>
      </c>
      <c r="D18" s="4">
        <f>'EIA Costs'!$D$8*INDEX('Cost Improvement and Off Wnd'!$B$45:$AI$53,MATCH("nuclear",'Cost Improvement and Off Wnd'!$A$45:$A$53,0),MATCH('CCaMC-BCCpUC'!$A18,'Cost Improvement and Off Wnd'!$B$44:$AI$44,0))*1000*About!$A$71</f>
        <v>4930311.8943135142</v>
      </c>
      <c r="E18" s="4">
        <f>'EIA Costs'!$D$11*INDEX('Cost Improvement and Off Wnd'!$B$45:$AI$53,MATCH("hydro",'Cost Improvement and Off Wnd'!$A$45:$A$53,0),MATCH('CCaMC-BCCpUC'!$A18,'Cost Improvement and Off Wnd'!$B$44:$AI$44,0))*1000*About!$A$71</f>
        <v>1974111.2228362313</v>
      </c>
      <c r="F18" s="4">
        <v>0</v>
      </c>
      <c r="G18" s="4">
        <v>0</v>
      </c>
      <c r="H18" s="4">
        <f>'EIA Costs'!$D$14*INDEX('Cost Improvement and Off Wnd'!$B$45:$AI$53,MATCH("solar thermal",'Cost Improvement and Off Wnd'!$A$45:$A$53,0),MATCH('CCaMC-BCCpUC'!$A18,'Cost Improvement and Off Wnd'!$B$44:$AI$44,0))*1000*About!$A$71</f>
        <v>1569567.7255554048</v>
      </c>
      <c r="I18" s="4">
        <f>'EIA Costs'!$D$9*INDEX('Cost Improvement and Off Wnd'!$B$45:$AI$53,MATCH("biomass",'Cost Improvement and Off Wnd'!$A$45:$A$53,0),MATCH('CCaMC-BCCpUC'!$A18,'Cost Improvement and Off Wnd'!$B$44:$AI$44,0))*1000*About!$A$71</f>
        <v>3330096.910947775</v>
      </c>
      <c r="J18" s="4">
        <f>'EIA Costs'!$D$10*INDEX('Cost Improvement and Off Wnd'!$B$45:$AI$53,MATCH("geothermal",'Cost Improvement and Off Wnd'!$A$45:$A$53,0),MATCH('CCaMC-BCCpUC'!$A18,'Cost Improvement and Off Wnd'!$B$44:$AI$44,0))*1000*About!$A$71</f>
        <v>668659.39583219984</v>
      </c>
      <c r="K18" s="4">
        <f>'EIA Costs'!$D$7*INDEX('Cost Improvement and Off Wnd'!$B$45:$AI$53,MATCH("natural gas peaker",'Cost Improvement and Off Wnd'!$A$45:$A$53,0),MATCH('CCaMC-BCCpUC'!$A18,'Cost Improvement and Off Wnd'!$B$44:$AI$44,0))*1000*About!$A$71</f>
        <v>567853.20501669892</v>
      </c>
      <c r="L18" s="4">
        <f>'EIA Costs'!$D$7*INDEX('Cost Improvement and Off Wnd'!$B$45:$AI$53,MATCH("natural gas peaker",'Cost Improvement and Off Wnd'!$A$45:$A$53,0),MATCH('CCaMC-BCCpUC'!$A18,'Cost Improvement and Off Wnd'!$B$44:$AI$44,0))*1000*About!$A$71</f>
        <v>567853.20501669892</v>
      </c>
      <c r="M18" s="4">
        <f>B18*'Coal Cost Multipliers'!$B$33</f>
        <v>5335536.8160284711</v>
      </c>
      <c r="N18" s="4">
        <v>0</v>
      </c>
      <c r="O18" s="4">
        <f t="shared" si="0"/>
        <v>567853.20501669892</v>
      </c>
      <c r="P18" s="4">
        <f t="shared" si="1"/>
        <v>567853.20501669892</v>
      </c>
      <c r="Q18" s="4">
        <f>'EIA Costs'!$D$16*INDEX('Cost Improvement and Off Wnd'!$B$45:$AI$53,MATCH("biomass",'Cost Improvement and Off Wnd'!$A$45:$A$53,0),MATCH('CCaMC-BCCpUC'!$A18,'Cost Improvement and Off Wnd'!$B$44:$AI$44,0))*1000*About!$A$71</f>
        <v>7587101.1716198716</v>
      </c>
    </row>
    <row r="19" spans="1:17">
      <c r="A19" s="1">
        <v>2035</v>
      </c>
      <c r="B19" s="4">
        <f>'EIA Costs'!$D$3*INDEX('Cost Improvement and Off Wnd'!$B$45:$AI$53,MATCH("coal",'Cost Improvement and Off Wnd'!$A$45:$A$53,0),MATCH('CCaMC-BCCpUC'!$A19,'Cost Improvement and Off Wnd'!$B$44:$AI$44,0))*1000*About!$A$63</f>
        <v>4579661.1455324804</v>
      </c>
      <c r="C19" s="4">
        <f>'EIA Costs'!$D$5*INDEX('Cost Improvement and Off Wnd'!$B$45:$AI$53,MATCH("natural gas nonpeaker",'Cost Improvement and Off Wnd'!$A$45:$A$53,0),MATCH('CCaMC-BCCpUC'!$A19,'Cost Improvement and Off Wnd'!$B$44:$AI$44,0))*1000*About!$A$71</f>
        <v>915956.5050238847</v>
      </c>
      <c r="D19" s="4">
        <f>'EIA Costs'!$D$8*INDEX('Cost Improvement and Off Wnd'!$B$45:$AI$53,MATCH("nuclear",'Cost Improvement and Off Wnd'!$A$45:$A$53,0),MATCH('CCaMC-BCCpUC'!$A19,'Cost Improvement and Off Wnd'!$B$44:$AI$44,0))*1000*About!$A$71</f>
        <v>4900788.8378168615</v>
      </c>
      <c r="E19" s="4">
        <f>'EIA Costs'!$D$11*INDEX('Cost Improvement and Off Wnd'!$B$45:$AI$53,MATCH("hydro",'Cost Improvement and Off Wnd'!$A$45:$A$53,0),MATCH('CCaMC-BCCpUC'!$A19,'Cost Improvement and Off Wnd'!$B$44:$AI$44,0))*1000*About!$A$71</f>
        <v>1934374.1535913039</v>
      </c>
      <c r="F19" s="4">
        <v>0</v>
      </c>
      <c r="G19" s="4">
        <v>0</v>
      </c>
      <c r="H19" s="4">
        <f>'EIA Costs'!$D$14*INDEX('Cost Improvement and Off Wnd'!$B$45:$AI$53,MATCH("solar thermal",'Cost Improvement and Off Wnd'!$A$45:$A$53,0),MATCH('CCaMC-BCCpUC'!$A19,'Cost Improvement and Off Wnd'!$B$44:$AI$44,0))*1000*About!$A$71</f>
        <v>1553313.6209821361</v>
      </c>
      <c r="I19" s="4">
        <f>'EIA Costs'!$D$9*INDEX('Cost Improvement and Off Wnd'!$B$45:$AI$53,MATCH("biomass",'Cost Improvement and Off Wnd'!$A$45:$A$53,0),MATCH('CCaMC-BCCpUC'!$A19,'Cost Improvement and Off Wnd'!$B$44:$AI$44,0))*1000*About!$A$71</f>
        <v>3318770.1203640644</v>
      </c>
      <c r="J19" s="4">
        <f>'EIA Costs'!$D$10*INDEX('Cost Improvement and Off Wnd'!$B$45:$AI$53,MATCH("geothermal",'Cost Improvement and Off Wnd'!$A$45:$A$53,0),MATCH('CCaMC-BCCpUC'!$A19,'Cost Improvement and Off Wnd'!$B$44:$AI$44,0))*1000*About!$A$71</f>
        <v>668659.39583219984</v>
      </c>
      <c r="K19" s="4">
        <f>'EIA Costs'!$D$7*INDEX('Cost Improvement and Off Wnd'!$B$45:$AI$53,MATCH("natural gas peaker",'Cost Improvement and Off Wnd'!$A$45:$A$53,0),MATCH('CCaMC-BCCpUC'!$A19,'Cost Improvement and Off Wnd'!$B$44:$AI$44,0))*1000*About!$A$71</f>
        <v>565652.8865517024</v>
      </c>
      <c r="L19" s="4">
        <f>'EIA Costs'!$D$7*INDEX('Cost Improvement and Off Wnd'!$B$45:$AI$53,MATCH("natural gas peaker",'Cost Improvement and Off Wnd'!$A$45:$A$53,0),MATCH('CCaMC-BCCpUC'!$A19,'Cost Improvement and Off Wnd'!$B$44:$AI$44,0))*1000*About!$A$71</f>
        <v>565652.8865517024</v>
      </c>
      <c r="M19" s="4">
        <f>B19*'Coal Cost Multipliers'!$B$33</f>
        <v>5307562.9312454909</v>
      </c>
      <c r="N19" s="4">
        <v>0</v>
      </c>
      <c r="O19" s="4">
        <f t="shared" si="0"/>
        <v>565652.8865517024</v>
      </c>
      <c r="P19" s="4">
        <f t="shared" si="1"/>
        <v>565652.8865517024</v>
      </c>
      <c r="Q19" s="4">
        <f>'EIA Costs'!$D$16*INDEX('Cost Improvement and Off Wnd'!$B$45:$AI$53,MATCH("biomass",'Cost Improvement and Off Wnd'!$A$45:$A$53,0),MATCH('CCaMC-BCCpUC'!$A19,'Cost Improvement and Off Wnd'!$B$44:$AI$44,0))*1000*About!$A$71</f>
        <v>7561294.8637536224</v>
      </c>
    </row>
    <row r="20" spans="1:17">
      <c r="A20" s="1">
        <v>2036</v>
      </c>
      <c r="B20" s="4">
        <f>'EIA Costs'!$D$3*INDEX('Cost Improvement and Off Wnd'!$B$45:$AI$53,MATCH("coal",'Cost Improvement and Off Wnd'!$A$45:$A$53,0),MATCH('CCaMC-BCCpUC'!$A20,'Cost Improvement and Off Wnd'!$B$44:$AI$44,0))*1000*About!$A$63</f>
        <v>4557484.8966593873</v>
      </c>
      <c r="C20" s="4">
        <f>'EIA Costs'!$D$5*INDEX('Cost Improvement and Off Wnd'!$B$45:$AI$53,MATCH("natural gas nonpeaker",'Cost Improvement and Off Wnd'!$A$45:$A$53,0),MATCH('CCaMC-BCCpUC'!$A20,'Cost Improvement and Off Wnd'!$B$44:$AI$44,0))*1000*About!$A$71</f>
        <v>912768.10522760358</v>
      </c>
      <c r="D20" s="4">
        <f>'EIA Costs'!$D$8*INDEX('Cost Improvement and Off Wnd'!$B$45:$AI$53,MATCH("nuclear",'Cost Improvement and Off Wnd'!$A$45:$A$53,0),MATCH('CCaMC-BCCpUC'!$A20,'Cost Improvement and Off Wnd'!$B$44:$AI$44,0))*1000*About!$A$71</f>
        <v>4873366.1588526061</v>
      </c>
      <c r="E20" s="4">
        <f>'EIA Costs'!$D$11*INDEX('Cost Improvement and Off Wnd'!$B$45:$AI$53,MATCH("hydro",'Cost Improvement and Off Wnd'!$A$45:$A$53,0),MATCH('CCaMC-BCCpUC'!$A20,'Cost Improvement and Off Wnd'!$B$44:$AI$44,0))*1000*About!$A$71</f>
        <v>1923963.4938358904</v>
      </c>
      <c r="F20" s="4">
        <v>0</v>
      </c>
      <c r="G20" s="4">
        <v>0</v>
      </c>
      <c r="H20" s="4">
        <f>'EIA Costs'!$D$14*INDEX('Cost Improvement and Off Wnd'!$B$45:$AI$53,MATCH("solar thermal",'Cost Improvement and Off Wnd'!$A$45:$A$53,0),MATCH('CCaMC-BCCpUC'!$A20,'Cost Improvement and Off Wnd'!$B$44:$AI$44,0))*1000*About!$A$71</f>
        <v>1537059.5164088674</v>
      </c>
      <c r="I20" s="4">
        <f>'EIA Costs'!$D$9*INDEX('Cost Improvement and Off Wnd'!$B$45:$AI$53,MATCH("biomass",'Cost Improvement and Off Wnd'!$A$45:$A$53,0),MATCH('CCaMC-BCCpUC'!$A20,'Cost Improvement and Off Wnd'!$B$44:$AI$44,0))*1000*About!$A$71</f>
        <v>3308785.9377765385</v>
      </c>
      <c r="J20" s="4">
        <f>'EIA Costs'!$D$10*INDEX('Cost Improvement and Off Wnd'!$B$45:$AI$53,MATCH("geothermal",'Cost Improvement and Off Wnd'!$A$45:$A$53,0),MATCH('CCaMC-BCCpUC'!$A20,'Cost Improvement and Off Wnd'!$B$44:$AI$44,0))*1000*About!$A$71</f>
        <v>668659.39583219984</v>
      </c>
      <c r="K20" s="4">
        <f>'EIA Costs'!$D$7*INDEX('Cost Improvement and Off Wnd'!$B$45:$AI$53,MATCH("natural gas peaker",'Cost Improvement and Off Wnd'!$A$45:$A$53,0),MATCH('CCaMC-BCCpUC'!$A20,'Cost Improvement and Off Wnd'!$B$44:$AI$44,0))*1000*About!$A$71</f>
        <v>563481.86641461716</v>
      </c>
      <c r="L20" s="4">
        <f>'EIA Costs'!$D$7*INDEX('Cost Improvement and Off Wnd'!$B$45:$AI$53,MATCH("natural gas peaker",'Cost Improvement and Off Wnd'!$A$45:$A$53,0),MATCH('CCaMC-BCCpUC'!$A20,'Cost Improvement and Off Wnd'!$B$44:$AI$44,0))*1000*About!$A$71</f>
        <v>563481.86641461716</v>
      </c>
      <c r="M20" s="4">
        <f>B20*'Coal Cost Multipliers'!$B$33</f>
        <v>5281861.9388068421</v>
      </c>
      <c r="N20" s="4">
        <v>0</v>
      </c>
      <c r="O20" s="4">
        <f t="shared" si="0"/>
        <v>563481.86641461716</v>
      </c>
      <c r="P20" s="4">
        <f t="shared" si="1"/>
        <v>563481.86641461716</v>
      </c>
      <c r="Q20" s="4">
        <f>'EIA Costs'!$D$16*INDEX('Cost Improvement and Off Wnd'!$B$45:$AI$53,MATCH("biomass",'Cost Improvement and Off Wnd'!$A$45:$A$53,0),MATCH('CCaMC-BCCpUC'!$A20,'Cost Improvement and Off Wnd'!$B$44:$AI$44,0))*1000*About!$A$71</f>
        <v>7538547.4766855622</v>
      </c>
    </row>
    <row r="21" spans="1:17">
      <c r="A21" s="1">
        <v>2037</v>
      </c>
      <c r="B21" s="4">
        <f>'EIA Costs'!$D$3*INDEX('Cost Improvement and Off Wnd'!$B$45:$AI$53,MATCH("coal",'Cost Improvement and Off Wnd'!$A$45:$A$53,0),MATCH('CCaMC-BCCpUC'!$A21,'Cost Improvement and Off Wnd'!$B$44:$AI$44,0))*1000*About!$A$63</f>
        <v>4534216.6517228428</v>
      </c>
      <c r="C21" s="4">
        <f>'EIA Costs'!$D$5*INDEX('Cost Improvement and Off Wnd'!$B$45:$AI$53,MATCH("natural gas nonpeaker",'Cost Improvement and Off Wnd'!$A$45:$A$53,0),MATCH('CCaMC-BCCpUC'!$A21,'Cost Improvement and Off Wnd'!$B$44:$AI$44,0))*1000*About!$A$71</f>
        <v>909855.63339430257</v>
      </c>
      <c r="D21" s="4">
        <f>'EIA Costs'!$D$8*INDEX('Cost Improvement and Off Wnd'!$B$45:$AI$53,MATCH("nuclear",'Cost Improvement and Off Wnd'!$A$45:$A$53,0),MATCH('CCaMC-BCCpUC'!$A21,'Cost Improvement and Off Wnd'!$B$44:$AI$44,0))*1000*About!$A$71</f>
        <v>4844777.6541888779</v>
      </c>
      <c r="E21" s="4">
        <f>'EIA Costs'!$D$11*INDEX('Cost Improvement and Off Wnd'!$B$45:$AI$53,MATCH("hydro",'Cost Improvement and Off Wnd'!$A$45:$A$53,0),MATCH('CCaMC-BCCpUC'!$A21,'Cost Improvement and Off Wnd'!$B$44:$AI$44,0))*1000*About!$A$71</f>
        <v>1913552.8340804782</v>
      </c>
      <c r="F21" s="4">
        <v>0</v>
      </c>
      <c r="G21" s="4">
        <v>0</v>
      </c>
      <c r="H21" s="4">
        <f>'EIA Costs'!$D$14*INDEX('Cost Improvement and Off Wnd'!$B$45:$AI$53,MATCH("solar thermal",'Cost Improvement and Off Wnd'!$A$45:$A$53,0),MATCH('CCaMC-BCCpUC'!$A21,'Cost Improvement and Off Wnd'!$B$44:$AI$44,0))*1000*About!$A$71</f>
        <v>1520805.4118355988</v>
      </c>
      <c r="I21" s="4">
        <f>'EIA Costs'!$D$9*INDEX('Cost Improvement and Off Wnd'!$B$45:$AI$53,MATCH("biomass",'Cost Improvement and Off Wnd'!$A$45:$A$53,0),MATCH('CCaMC-BCCpUC'!$A21,'Cost Improvement and Off Wnd'!$B$44:$AI$44,0))*1000*About!$A$71</f>
        <v>3298049.4508532588</v>
      </c>
      <c r="J21" s="4">
        <f>'EIA Costs'!$D$10*INDEX('Cost Improvement and Off Wnd'!$B$45:$AI$53,MATCH("geothermal",'Cost Improvement and Off Wnd'!$A$45:$A$53,0),MATCH('CCaMC-BCCpUC'!$A21,'Cost Improvement and Off Wnd'!$B$44:$AI$44,0))*1000*About!$A$71</f>
        <v>668659.39583219984</v>
      </c>
      <c r="K21" s="4">
        <f>'EIA Costs'!$D$7*INDEX('Cost Improvement and Off Wnd'!$B$45:$AI$53,MATCH("natural gas peaker",'Cost Improvement and Off Wnd'!$A$45:$A$53,0),MATCH('CCaMC-BCCpUC'!$A21,'Cost Improvement and Off Wnd'!$B$44:$AI$44,0))*1000*About!$A$71</f>
        <v>561620.3608197727</v>
      </c>
      <c r="L21" s="4">
        <f>'EIA Costs'!$D$7*INDEX('Cost Improvement and Off Wnd'!$B$45:$AI$53,MATCH("natural gas peaker",'Cost Improvement and Off Wnd'!$A$45:$A$53,0),MATCH('CCaMC-BCCpUC'!$A21,'Cost Improvement and Off Wnd'!$B$44:$AI$44,0))*1000*About!$A$71</f>
        <v>561620.3608197727</v>
      </c>
      <c r="M21" s="4">
        <f>B21*'Coal Cost Multipliers'!$B$33</f>
        <v>5254895.3859602809</v>
      </c>
      <c r="N21" s="4">
        <v>0</v>
      </c>
      <c r="O21" s="4">
        <f t="shared" si="0"/>
        <v>561620.3608197727</v>
      </c>
      <c r="P21" s="4">
        <f t="shared" si="1"/>
        <v>561620.3608197727</v>
      </c>
      <c r="Q21" s="4">
        <f>'EIA Costs'!$D$16*INDEX('Cost Improvement and Off Wnd'!$B$45:$AI$53,MATCH("biomass",'Cost Improvement and Off Wnd'!$A$45:$A$53,0),MATCH('CCaMC-BCCpUC'!$A21,'Cost Improvement and Off Wnd'!$B$44:$AI$44,0))*1000*About!$A$71</f>
        <v>7514086.0827102391</v>
      </c>
    </row>
    <row r="22" spans="1:17">
      <c r="A22" s="1">
        <v>2038</v>
      </c>
      <c r="B22" s="4">
        <f>'EIA Costs'!$D$3*INDEX('Cost Improvement and Off Wnd'!$B$45:$AI$53,MATCH("coal",'Cost Improvement and Off Wnd'!$A$45:$A$53,0),MATCH('CCaMC-BCCpUC'!$A22,'Cost Improvement and Off Wnd'!$B$44:$AI$44,0))*1000*About!$A$63</f>
        <v>4513443.5979165575</v>
      </c>
      <c r="C22" s="4">
        <f>'EIA Costs'!$D$5*INDEX('Cost Improvement and Off Wnd'!$B$45:$AI$53,MATCH("natural gas nonpeaker",'Cost Improvement and Off Wnd'!$A$45:$A$53,0),MATCH('CCaMC-BCCpUC'!$A22,'Cost Improvement and Off Wnd'!$B$44:$AI$44,0))*1000*About!$A$71</f>
        <v>907915.01403126901</v>
      </c>
      <c r="D22" s="4">
        <f>'EIA Costs'!$D$8*INDEX('Cost Improvement and Off Wnd'!$B$45:$AI$53,MATCH("nuclear",'Cost Improvement and Off Wnd'!$A$45:$A$53,0),MATCH('CCaMC-BCCpUC'!$A22,'Cost Improvement and Off Wnd'!$B$44:$AI$44,0))*1000*About!$A$71</f>
        <v>4818856.7425043611</v>
      </c>
      <c r="E22" s="4">
        <f>'EIA Costs'!$D$11*INDEX('Cost Improvement and Off Wnd'!$B$45:$AI$53,MATCH("hydro",'Cost Improvement and Off Wnd'!$A$45:$A$53,0),MATCH('CCaMC-BCCpUC'!$A22,'Cost Improvement and Off Wnd'!$B$44:$AI$44,0))*1000*About!$A$71</f>
        <v>1903142.1743250648</v>
      </c>
      <c r="F22" s="4">
        <v>0</v>
      </c>
      <c r="G22" s="4">
        <v>0</v>
      </c>
      <c r="H22" s="4">
        <f>'EIA Costs'!$D$14*INDEX('Cost Improvement and Off Wnd'!$B$45:$AI$53,MATCH("solar thermal",'Cost Improvement and Off Wnd'!$A$45:$A$53,0),MATCH('CCaMC-BCCpUC'!$A22,'Cost Improvement and Off Wnd'!$B$44:$AI$44,0))*1000*About!$A$71</f>
        <v>1504551.3072623296</v>
      </c>
      <c r="I22" s="4">
        <f>'EIA Costs'!$D$9*INDEX('Cost Improvement and Off Wnd'!$B$45:$AI$53,MATCH("biomass",'Cost Improvement and Off Wnd'!$A$45:$A$53,0),MATCH('CCaMC-BCCpUC'!$A22,'Cost Improvement and Off Wnd'!$B$44:$AI$44,0))*1000*About!$A$71</f>
        <v>3289031.0086167539</v>
      </c>
      <c r="J22" s="4">
        <f>'EIA Costs'!$D$10*INDEX('Cost Improvement and Off Wnd'!$B$45:$AI$53,MATCH("geothermal",'Cost Improvement and Off Wnd'!$A$45:$A$53,0),MATCH('CCaMC-BCCpUC'!$A22,'Cost Improvement and Off Wnd'!$B$44:$AI$44,0))*1000*About!$A$71</f>
        <v>668659.39583219984</v>
      </c>
      <c r="K22" s="4">
        <f>'EIA Costs'!$D$7*INDEX('Cost Improvement and Off Wnd'!$B$45:$AI$53,MATCH("natural gas peaker",'Cost Improvement and Off Wnd'!$A$45:$A$53,0),MATCH('CCaMC-BCCpUC'!$A22,'Cost Improvement and Off Wnd'!$B$44:$AI$44,0))*1000*About!$A$71</f>
        <v>560491.22277389863</v>
      </c>
      <c r="L22" s="4">
        <f>'EIA Costs'!$D$7*INDEX('Cost Improvement and Off Wnd'!$B$45:$AI$53,MATCH("natural gas peaker",'Cost Improvement and Off Wnd'!$A$45:$A$53,0),MATCH('CCaMC-BCCpUC'!$A22,'Cost Improvement and Off Wnd'!$B$44:$AI$44,0))*1000*About!$A$71</f>
        <v>560491.22277389863</v>
      </c>
      <c r="M22" s="4">
        <f>B22*'Coal Cost Multipliers'!$B$33</f>
        <v>5230820.6156121381</v>
      </c>
      <c r="N22" s="4">
        <v>0</v>
      </c>
      <c r="O22" s="4">
        <f t="shared" si="0"/>
        <v>560491.22277389863</v>
      </c>
      <c r="P22" s="4">
        <f t="shared" si="1"/>
        <v>560491.22277389863</v>
      </c>
      <c r="Q22" s="4">
        <f>'EIA Costs'!$D$16*INDEX('Cost Improvement and Off Wnd'!$B$45:$AI$53,MATCH("biomass",'Cost Improvement and Off Wnd'!$A$45:$A$53,0),MATCH('CCaMC-BCCpUC'!$A22,'Cost Improvement and Off Wnd'!$B$44:$AI$44,0))*1000*About!$A$71</f>
        <v>7493538.9828844583</v>
      </c>
    </row>
    <row r="23" spans="1:17">
      <c r="A23" s="1">
        <v>2039</v>
      </c>
      <c r="B23" s="4">
        <f>'EIA Costs'!$D$3*INDEX('Cost Improvement and Off Wnd'!$B$45:$AI$53,MATCH("coal",'Cost Improvement and Off Wnd'!$A$45:$A$53,0),MATCH('CCaMC-BCCpUC'!$A23,'Cost Improvement and Off Wnd'!$B$44:$AI$44,0))*1000*About!$A$63</f>
        <v>4490266.595770387</v>
      </c>
      <c r="C23" s="4">
        <f>'EIA Costs'!$D$5*INDEX('Cost Improvement and Off Wnd'!$B$45:$AI$53,MATCH("natural gas nonpeaker",'Cost Improvement and Off Wnd'!$A$45:$A$53,0),MATCH('CCaMC-BCCpUC'!$A23,'Cost Improvement and Off Wnd'!$B$44:$AI$44,0))*1000*About!$A$71</f>
        <v>905490.46527050633</v>
      </c>
      <c r="D23" s="4">
        <f>'EIA Costs'!$D$8*INDEX('Cost Improvement and Off Wnd'!$B$45:$AI$53,MATCH("nuclear",'Cost Improvement and Off Wnd'!$A$45:$A$53,0),MATCH('CCaMC-BCCpUC'!$A23,'Cost Improvement and Off Wnd'!$B$44:$AI$44,0))*1000*About!$A$71</f>
        <v>4790367.6619898453</v>
      </c>
      <c r="E23" s="4">
        <f>'EIA Costs'!$D$11*INDEX('Cost Improvement and Off Wnd'!$B$45:$AI$53,MATCH("hydro",'Cost Improvement and Off Wnd'!$A$45:$A$53,0),MATCH('CCaMC-BCCpUC'!$A23,'Cost Improvement and Off Wnd'!$B$44:$AI$44,0))*1000*About!$A$71</f>
        <v>1892731.5145696511</v>
      </c>
      <c r="F23" s="4">
        <v>0</v>
      </c>
      <c r="G23" s="4">
        <v>0</v>
      </c>
      <c r="H23" s="4">
        <f>'EIA Costs'!$D$14*INDEX('Cost Improvement and Off Wnd'!$B$45:$AI$53,MATCH("solar thermal",'Cost Improvement and Off Wnd'!$A$45:$A$53,0),MATCH('CCaMC-BCCpUC'!$A23,'Cost Improvement and Off Wnd'!$B$44:$AI$44,0))*1000*About!$A$71</f>
        <v>1488297.2026890602</v>
      </c>
      <c r="I23" s="4">
        <f>'EIA Costs'!$D$9*INDEX('Cost Improvement and Off Wnd'!$B$45:$AI$53,MATCH("biomass",'Cost Improvement and Off Wnd'!$A$45:$A$53,0),MATCH('CCaMC-BCCpUC'!$A23,'Cost Improvement and Off Wnd'!$B$44:$AI$44,0))*1000*About!$A$71</f>
        <v>3278353.1707259226</v>
      </c>
      <c r="J23" s="4">
        <f>'EIA Costs'!$D$10*INDEX('Cost Improvement and Off Wnd'!$B$45:$AI$53,MATCH("geothermal",'Cost Improvement and Off Wnd'!$A$45:$A$53,0),MATCH('CCaMC-BCCpUC'!$A23,'Cost Improvement and Off Wnd'!$B$44:$AI$44,0))*1000*About!$A$71</f>
        <v>668659.39583219984</v>
      </c>
      <c r="K23" s="4">
        <f>'EIA Costs'!$D$7*INDEX('Cost Improvement and Off Wnd'!$B$45:$AI$53,MATCH("natural gas peaker",'Cost Improvement and Off Wnd'!$A$45:$A$53,0),MATCH('CCaMC-BCCpUC'!$A23,'Cost Improvement and Off Wnd'!$B$44:$AI$44,0))*1000*About!$A$71</f>
        <v>559063.31435958087</v>
      </c>
      <c r="L23" s="4">
        <f>'EIA Costs'!$D$7*INDEX('Cost Improvement and Off Wnd'!$B$45:$AI$53,MATCH("natural gas peaker",'Cost Improvement and Off Wnd'!$A$45:$A$53,0),MATCH('CCaMC-BCCpUC'!$A23,'Cost Improvement and Off Wnd'!$B$44:$AI$44,0))*1000*About!$A$71</f>
        <v>559063.31435958087</v>
      </c>
      <c r="M23" s="4">
        <f>B23*'Coal Cost Multipliers'!$B$33</f>
        <v>5203959.8078931188</v>
      </c>
      <c r="N23" s="4">
        <v>0</v>
      </c>
      <c r="O23" s="4">
        <f t="shared" si="0"/>
        <v>559063.31435958087</v>
      </c>
      <c r="P23" s="4">
        <f t="shared" si="1"/>
        <v>559063.31435958087</v>
      </c>
      <c r="Q23" s="4">
        <f>'EIA Costs'!$D$16*INDEX('Cost Improvement and Off Wnd'!$B$45:$AI$53,MATCH("biomass",'Cost Improvement and Off Wnd'!$A$45:$A$53,0),MATCH('CCaMC-BCCpUC'!$A23,'Cost Improvement and Off Wnd'!$B$44:$AI$44,0))*1000*About!$A$71</f>
        <v>7469211.21148971</v>
      </c>
    </row>
    <row r="24" spans="1:17">
      <c r="A24" s="1">
        <v>2040</v>
      </c>
      <c r="B24" s="4">
        <f>'EIA Costs'!$D$3*INDEX('Cost Improvement and Off Wnd'!$B$45:$AI$53,MATCH("coal",'Cost Improvement and Off Wnd'!$A$45:$A$53,0),MATCH('CCaMC-BCCpUC'!$A24,'Cost Improvement and Off Wnd'!$B$44:$AI$44,0))*1000*About!$A$63</f>
        <v>4467659.2763680127</v>
      </c>
      <c r="C24" s="4">
        <f>'EIA Costs'!$D$5*INDEX('Cost Improvement and Off Wnd'!$B$45:$AI$53,MATCH("natural gas nonpeaker",'Cost Improvement and Off Wnd'!$A$45:$A$53,0),MATCH('CCaMC-BCCpUC'!$A24,'Cost Improvement and Off Wnd'!$B$44:$AI$44,0))*1000*About!$A$71</f>
        <v>903179.7506580886</v>
      </c>
      <c r="D24" s="4">
        <f>'EIA Costs'!$D$8*INDEX('Cost Improvement and Off Wnd'!$B$45:$AI$53,MATCH("nuclear",'Cost Improvement and Off Wnd'!$A$45:$A$53,0),MATCH('CCaMC-BCCpUC'!$A24,'Cost Improvement and Off Wnd'!$B$44:$AI$44,0))*1000*About!$A$71</f>
        <v>4762488.2609135453</v>
      </c>
      <c r="E24" s="4">
        <f>'EIA Costs'!$D$11*INDEX('Cost Improvement and Off Wnd'!$B$45:$AI$53,MATCH("hydro",'Cost Improvement and Off Wnd'!$A$45:$A$53,0),MATCH('CCaMC-BCCpUC'!$A24,'Cost Improvement and Off Wnd'!$B$44:$AI$44,0))*1000*About!$A$71</f>
        <v>1882320.8548142386</v>
      </c>
      <c r="F24" s="4">
        <v>0</v>
      </c>
      <c r="G24" s="4">
        <v>0</v>
      </c>
      <c r="H24" s="4">
        <f>'EIA Costs'!$D$14*INDEX('Cost Improvement and Off Wnd'!$B$45:$AI$53,MATCH("solar thermal",'Cost Improvement and Off Wnd'!$A$45:$A$53,0),MATCH('CCaMC-BCCpUC'!$A24,'Cost Improvement and Off Wnd'!$B$44:$AI$44,0))*1000*About!$A$71</f>
        <v>1472043.098115792</v>
      </c>
      <c r="I24" s="4">
        <f>'EIA Costs'!$D$9*INDEX('Cost Improvement and Off Wnd'!$B$45:$AI$53,MATCH("biomass",'Cost Improvement and Off Wnd'!$A$45:$A$53,0),MATCH('CCaMC-BCCpUC'!$A24,'Cost Improvement and Off Wnd'!$B$44:$AI$44,0))*1000*About!$A$71</f>
        <v>3268066.8469631197</v>
      </c>
      <c r="J24" s="4">
        <f>'EIA Costs'!$D$10*INDEX('Cost Improvement and Off Wnd'!$B$45:$AI$53,MATCH("geothermal",'Cost Improvement and Off Wnd'!$A$45:$A$53,0),MATCH('CCaMC-BCCpUC'!$A24,'Cost Improvement and Off Wnd'!$B$44:$AI$44,0))*1000*About!$A$71</f>
        <v>668659.39583219984</v>
      </c>
      <c r="K24" s="4">
        <f>'EIA Costs'!$D$7*INDEX('Cost Improvement and Off Wnd'!$B$45:$AI$53,MATCH("natural gas peaker",'Cost Improvement and Off Wnd'!$A$45:$A$53,0),MATCH('CCaMC-BCCpUC'!$A24,'Cost Improvement and Off Wnd'!$B$44:$AI$44,0))*1000*About!$A$71</f>
        <v>557705.69637035497</v>
      </c>
      <c r="L24" s="4">
        <f>'EIA Costs'!$D$7*INDEX('Cost Improvement and Off Wnd'!$B$45:$AI$53,MATCH("natural gas peaker",'Cost Improvement and Off Wnd'!$A$45:$A$53,0),MATCH('CCaMC-BCCpUC'!$A24,'Cost Improvement and Off Wnd'!$B$44:$AI$44,0))*1000*About!$A$71</f>
        <v>557705.69637035497</v>
      </c>
      <c r="M24" s="4">
        <f>B24*'Coal Cost Multipliers'!$B$33</f>
        <v>5177759.2295922721</v>
      </c>
      <c r="N24" s="4">
        <v>0</v>
      </c>
      <c r="O24" s="4">
        <f t="shared" si="0"/>
        <v>557705.69637035497</v>
      </c>
      <c r="P24" s="4">
        <f t="shared" si="1"/>
        <v>557705.69637035497</v>
      </c>
      <c r="Q24" s="4">
        <f>'EIA Costs'!$D$16*INDEX('Cost Improvement and Off Wnd'!$B$45:$AI$53,MATCH("biomass",'Cost Improvement and Off Wnd'!$A$45:$A$53,0),MATCH('CCaMC-BCCpUC'!$A24,'Cost Improvement and Off Wnd'!$B$44:$AI$44,0))*1000*About!$A$71</f>
        <v>7445775.4433545973</v>
      </c>
    </row>
    <row r="25" spans="1:17">
      <c r="A25" s="1">
        <v>2041</v>
      </c>
      <c r="B25" s="4">
        <f>'EIA Costs'!$D$3*INDEX('Cost Improvement and Off Wnd'!$B$45:$AI$53,MATCH("coal",'Cost Improvement and Off Wnd'!$A$45:$A$53,0),MATCH('CCaMC-BCCpUC'!$A25,'Cost Improvement and Off Wnd'!$B$44:$AI$44,0))*1000*About!$A$63</f>
        <v>4449648.4332275633</v>
      </c>
      <c r="C25" s="4">
        <f>'EIA Costs'!$D$5*INDEX('Cost Improvement and Off Wnd'!$B$45:$AI$53,MATCH("natural gas nonpeaker",'Cost Improvement and Off Wnd'!$A$45:$A$53,0),MATCH('CCaMC-BCCpUC'!$A25,'Cost Improvement and Off Wnd'!$B$44:$AI$44,0))*1000*About!$A$71</f>
        <v>901799.90971782035</v>
      </c>
      <c r="D25" s="4">
        <f>'EIA Costs'!$D$8*INDEX('Cost Improvement and Off Wnd'!$B$45:$AI$53,MATCH("nuclear",'Cost Improvement and Off Wnd'!$A$45:$A$53,0),MATCH('CCaMC-BCCpUC'!$A25,'Cost Improvement and Off Wnd'!$B$44:$AI$44,0))*1000*About!$A$71</f>
        <v>4739505.9045875743</v>
      </c>
      <c r="E25" s="4">
        <f>'EIA Costs'!$D$11*INDEX('Cost Improvement and Off Wnd'!$B$45:$AI$53,MATCH("hydro",'Cost Improvement and Off Wnd'!$A$45:$A$53,0),MATCH('CCaMC-BCCpUC'!$A25,'Cost Improvement and Off Wnd'!$B$44:$AI$44,0))*1000*About!$A$71</f>
        <v>1871910.1950588252</v>
      </c>
      <c r="F25" s="4">
        <v>0</v>
      </c>
      <c r="G25" s="4">
        <v>0</v>
      </c>
      <c r="H25" s="4">
        <f>'EIA Costs'!$D$14*INDEX('Cost Improvement and Off Wnd'!$B$45:$AI$53,MATCH("solar thermal",'Cost Improvement and Off Wnd'!$A$45:$A$53,0),MATCH('CCaMC-BCCpUC'!$A25,'Cost Improvement and Off Wnd'!$B$44:$AI$44,0))*1000*About!$A$71</f>
        <v>1455788.9935425231</v>
      </c>
      <c r="I25" s="4">
        <f>'EIA Costs'!$D$9*INDEX('Cost Improvement and Off Wnd'!$B$45:$AI$53,MATCH("biomass",'Cost Improvement and Off Wnd'!$A$45:$A$53,0),MATCH('CCaMC-BCCpUC'!$A25,'Cost Improvement and Off Wnd'!$B$44:$AI$44,0))*1000*About!$A$71</f>
        <v>3260965.2553579621</v>
      </c>
      <c r="J25" s="4">
        <f>'EIA Costs'!$D$10*INDEX('Cost Improvement and Off Wnd'!$B$45:$AI$53,MATCH("geothermal",'Cost Improvement and Off Wnd'!$A$45:$A$53,0),MATCH('CCaMC-BCCpUC'!$A25,'Cost Improvement and Off Wnd'!$B$44:$AI$44,0))*1000*About!$A$71</f>
        <v>668659.39583219984</v>
      </c>
      <c r="K25" s="4">
        <f>'EIA Costs'!$D$7*INDEX('Cost Improvement and Off Wnd'!$B$45:$AI$53,MATCH("natural gas peaker",'Cost Improvement and Off Wnd'!$A$45:$A$53,0),MATCH('CCaMC-BCCpUC'!$A25,'Cost Improvement and Off Wnd'!$B$44:$AI$44,0))*1000*About!$A$71</f>
        <v>556922.89340897254</v>
      </c>
      <c r="L25" s="4">
        <f>'EIA Costs'!$D$7*INDEX('Cost Improvement and Off Wnd'!$B$45:$AI$53,MATCH("natural gas peaker",'Cost Improvement and Off Wnd'!$A$45:$A$53,0),MATCH('CCaMC-BCCpUC'!$A25,'Cost Improvement and Off Wnd'!$B$44:$AI$44,0))*1000*About!$A$71</f>
        <v>556922.89340897254</v>
      </c>
      <c r="M25" s="4">
        <f>B25*'Coal Cost Multipliers'!$B$33</f>
        <v>5156885.7019720068</v>
      </c>
      <c r="N25" s="4">
        <v>0</v>
      </c>
      <c r="O25" s="4">
        <f t="shared" si="0"/>
        <v>556922.89340897254</v>
      </c>
      <c r="P25" s="4">
        <f t="shared" si="1"/>
        <v>556922.89340897254</v>
      </c>
      <c r="Q25" s="4">
        <f>'EIA Costs'!$D$16*INDEX('Cost Improvement and Off Wnd'!$B$45:$AI$53,MATCH("biomass",'Cost Improvement and Off Wnd'!$A$45:$A$53,0),MATCH('CCaMC-BCCpUC'!$A25,'Cost Improvement and Off Wnd'!$B$44:$AI$44,0))*1000*About!$A$71</f>
        <v>7429595.5857021902</v>
      </c>
    </row>
    <row r="26" spans="1:17">
      <c r="A26" s="1">
        <v>2042</v>
      </c>
      <c r="B26" s="4">
        <f>'EIA Costs'!$D$3*INDEX('Cost Improvement and Off Wnd'!$B$45:$AI$53,MATCH("coal",'Cost Improvement and Off Wnd'!$A$45:$A$53,0),MATCH('CCaMC-BCCpUC'!$A26,'Cost Improvement and Off Wnd'!$B$44:$AI$44,0))*1000*About!$A$63</f>
        <v>4421609.6841190895</v>
      </c>
      <c r="C26" s="4">
        <f>'EIA Costs'!$D$5*INDEX('Cost Improvement and Off Wnd'!$B$45:$AI$53,MATCH("natural gas nonpeaker",'Cost Improvement and Off Wnd'!$A$45:$A$53,0),MATCH('CCaMC-BCCpUC'!$A26,'Cost Improvement and Off Wnd'!$B$44:$AI$44,0))*1000*About!$A$71</f>
        <v>898386.45623839565</v>
      </c>
      <c r="D26" s="4">
        <f>'EIA Costs'!$D$8*INDEX('Cost Improvement and Off Wnd'!$B$45:$AI$53,MATCH("nuclear",'Cost Improvement and Off Wnd'!$A$45:$A$53,0),MATCH('CCaMC-BCCpUC'!$A26,'Cost Improvement and Off Wnd'!$B$44:$AI$44,0))*1000*About!$A$71</f>
        <v>4705845.3936161082</v>
      </c>
      <c r="E26" s="4">
        <f>'EIA Costs'!$D$11*INDEX('Cost Improvement and Off Wnd'!$B$45:$AI$53,MATCH("hydro",'Cost Improvement and Off Wnd'!$A$45:$A$53,0),MATCH('CCaMC-BCCpUC'!$A26,'Cost Improvement and Off Wnd'!$B$44:$AI$44,0))*1000*About!$A$71</f>
        <v>1861499.5353034122</v>
      </c>
      <c r="F26" s="4">
        <v>0</v>
      </c>
      <c r="G26" s="4">
        <v>0</v>
      </c>
      <c r="H26" s="4">
        <f>'EIA Costs'!$D$14*INDEX('Cost Improvement and Off Wnd'!$B$45:$AI$53,MATCH("solar thermal",'Cost Improvement and Off Wnd'!$A$45:$A$53,0),MATCH('CCaMC-BCCpUC'!$A26,'Cost Improvement and Off Wnd'!$B$44:$AI$44,0))*1000*About!$A$71</f>
        <v>1439534.888969254</v>
      </c>
      <c r="I26" s="4">
        <f>'EIA Costs'!$D$9*INDEX('Cost Improvement and Off Wnd'!$B$45:$AI$53,MATCH("biomass",'Cost Improvement and Off Wnd'!$A$45:$A$53,0),MATCH('CCaMC-BCCpUC'!$A26,'Cost Improvement and Off Wnd'!$B$44:$AI$44,0))*1000*About!$A$71</f>
        <v>3246909.0993724768</v>
      </c>
      <c r="J26" s="4">
        <f>'EIA Costs'!$D$10*INDEX('Cost Improvement and Off Wnd'!$B$45:$AI$53,MATCH("geothermal",'Cost Improvement and Off Wnd'!$A$45:$A$53,0),MATCH('CCaMC-BCCpUC'!$A26,'Cost Improvement and Off Wnd'!$B$44:$AI$44,0))*1000*About!$A$71</f>
        <v>668659.39583219984</v>
      </c>
      <c r="K26" s="4">
        <f>'EIA Costs'!$D$7*INDEX('Cost Improvement and Off Wnd'!$B$45:$AI$53,MATCH("natural gas peaker",'Cost Improvement and Off Wnd'!$A$45:$A$53,0),MATCH('CCaMC-BCCpUC'!$A26,'Cost Improvement and Off Wnd'!$B$44:$AI$44,0))*1000*About!$A$71</f>
        <v>554884.21025692218</v>
      </c>
      <c r="L26" s="4">
        <f>'EIA Costs'!$D$7*INDEX('Cost Improvement and Off Wnd'!$B$45:$AI$53,MATCH("natural gas peaker",'Cost Improvement and Off Wnd'!$A$45:$A$53,0),MATCH('CCaMC-BCCpUC'!$A26,'Cost Improvement and Off Wnd'!$B$44:$AI$44,0))*1000*About!$A$71</f>
        <v>554884.21025692218</v>
      </c>
      <c r="M26" s="4">
        <f>B26*'Coal Cost Multipliers'!$B$33</f>
        <v>5124390.4101419989</v>
      </c>
      <c r="N26" s="4">
        <v>0</v>
      </c>
      <c r="O26" s="4">
        <f t="shared" si="0"/>
        <v>554884.21025692218</v>
      </c>
      <c r="P26" s="4">
        <f t="shared" si="1"/>
        <v>554884.21025692218</v>
      </c>
      <c r="Q26" s="4">
        <f>'EIA Costs'!$D$16*INDEX('Cost Improvement and Off Wnd'!$B$45:$AI$53,MATCH("biomass",'Cost Improvement and Off Wnd'!$A$45:$A$53,0),MATCH('CCaMC-BCCpUC'!$A26,'Cost Improvement and Off Wnd'!$B$44:$AI$44,0))*1000*About!$A$71</f>
        <v>7397570.8487657513</v>
      </c>
    </row>
    <row r="27" spans="1:17">
      <c r="A27" s="1">
        <v>2043</v>
      </c>
      <c r="B27" s="4">
        <f>'EIA Costs'!$D$3*INDEX('Cost Improvement and Off Wnd'!$B$45:$AI$53,MATCH("coal",'Cost Improvement and Off Wnd'!$A$45:$A$53,0),MATCH('CCaMC-BCCpUC'!$A27,'Cost Improvement and Off Wnd'!$B$44:$AI$44,0))*1000*About!$A$63</f>
        <v>4405889.3576820614</v>
      </c>
      <c r="C27" s="4">
        <f>'EIA Costs'!$D$5*INDEX('Cost Improvement and Off Wnd'!$B$45:$AI$53,MATCH("natural gas nonpeaker",'Cost Improvement and Off Wnd'!$A$45:$A$53,0),MATCH('CCaMC-BCCpUC'!$A27,'Cost Improvement and Off Wnd'!$B$44:$AI$44,0))*1000*About!$A$71</f>
        <v>897475.85991610389</v>
      </c>
      <c r="D27" s="4">
        <f>'EIA Costs'!$D$8*INDEX('Cost Improvement and Off Wnd'!$B$45:$AI$53,MATCH("nuclear",'Cost Improvement and Off Wnd'!$A$45:$A$53,0),MATCH('CCaMC-BCCpUC'!$A27,'Cost Improvement and Off Wnd'!$B$44:$AI$44,0))*1000*About!$A$71</f>
        <v>4685294.6223583268</v>
      </c>
      <c r="E27" s="4">
        <f>'EIA Costs'!$D$11*INDEX('Cost Improvement and Off Wnd'!$B$45:$AI$53,MATCH("hydro",'Cost Improvement and Off Wnd'!$A$45:$A$53,0),MATCH('CCaMC-BCCpUC'!$A27,'Cost Improvement and Off Wnd'!$B$44:$AI$44,0))*1000*About!$A$71</f>
        <v>1851088.8755479991</v>
      </c>
      <c r="F27" s="4">
        <v>0</v>
      </c>
      <c r="G27" s="4">
        <v>0</v>
      </c>
      <c r="H27" s="4">
        <f>'EIA Costs'!$D$14*INDEX('Cost Improvement and Off Wnd'!$B$45:$AI$53,MATCH("solar thermal",'Cost Improvement and Off Wnd'!$A$45:$A$53,0),MATCH('CCaMC-BCCpUC'!$A27,'Cost Improvement and Off Wnd'!$B$44:$AI$44,0))*1000*About!$A$71</f>
        <v>1423280.7843959855</v>
      </c>
      <c r="I27" s="4">
        <f>'EIA Costs'!$D$9*INDEX('Cost Improvement and Off Wnd'!$B$45:$AI$53,MATCH("biomass",'Cost Improvement and Off Wnd'!$A$45:$A$53,0),MATCH('CCaMC-BCCpUC'!$A27,'Cost Improvement and Off Wnd'!$B$44:$AI$44,0))*1000*About!$A$71</f>
        <v>3241407.783956822</v>
      </c>
      <c r="J27" s="4">
        <f>'EIA Costs'!$D$10*INDEX('Cost Improvement and Off Wnd'!$B$45:$AI$53,MATCH("geothermal",'Cost Improvement and Off Wnd'!$A$45:$A$53,0),MATCH('CCaMC-BCCpUC'!$A27,'Cost Improvement and Off Wnd'!$B$44:$AI$44,0))*1000*About!$A$71</f>
        <v>668659.39583219984</v>
      </c>
      <c r="K27" s="4">
        <f>'EIA Costs'!$D$7*INDEX('Cost Improvement and Off Wnd'!$B$45:$AI$53,MATCH("natural gas peaker",'Cost Improvement and Off Wnd'!$A$45:$A$53,0),MATCH('CCaMC-BCCpUC'!$A27,'Cost Improvement and Off Wnd'!$B$44:$AI$44,0))*1000*About!$A$71</f>
        <v>554391.38046651601</v>
      </c>
      <c r="L27" s="4">
        <f>'EIA Costs'!$D$7*INDEX('Cost Improvement and Off Wnd'!$B$45:$AI$53,MATCH("natural gas peaker",'Cost Improvement and Off Wnd'!$A$45:$A$53,0),MATCH('CCaMC-BCCpUC'!$A27,'Cost Improvement and Off Wnd'!$B$44:$AI$44,0))*1000*About!$A$71</f>
        <v>554391.38046651601</v>
      </c>
      <c r="M27" s="4">
        <f>B27*'Coal Cost Multipliers'!$B$33</f>
        <v>5106171.459173183</v>
      </c>
      <c r="N27" s="4">
        <v>0</v>
      </c>
      <c r="O27" s="4">
        <f t="shared" si="0"/>
        <v>554391.38046651601</v>
      </c>
      <c r="P27" s="4">
        <f t="shared" si="1"/>
        <v>554391.38046651601</v>
      </c>
      <c r="Q27" s="4">
        <f>'EIA Costs'!$D$16*INDEX('Cost Improvement and Off Wnd'!$B$45:$AI$53,MATCH("biomass",'Cost Improvement and Off Wnd'!$A$45:$A$53,0),MATCH('CCaMC-BCCpUC'!$A27,'Cost Improvement and Off Wnd'!$B$44:$AI$44,0))*1000*About!$A$71</f>
        <v>7385036.9682956832</v>
      </c>
    </row>
    <row r="28" spans="1:17">
      <c r="A28" s="1">
        <v>2044</v>
      </c>
      <c r="B28" s="4">
        <f>'EIA Costs'!$D$3*INDEX('Cost Improvement and Off Wnd'!$B$45:$AI$53,MATCH("coal",'Cost Improvement and Off Wnd'!$A$45:$A$53,0),MATCH('CCaMC-BCCpUC'!$A28,'Cost Improvement and Off Wnd'!$B$44:$AI$44,0))*1000*About!$A$63</f>
        <v>4378824.4001157461</v>
      </c>
      <c r="C28" s="4">
        <f>'EIA Costs'!$D$5*INDEX('Cost Improvement and Off Wnd'!$B$45:$AI$53,MATCH("natural gas nonpeaker",'Cost Improvement and Off Wnd'!$A$45:$A$53,0),MATCH('CCaMC-BCCpUC'!$A28,'Cost Improvement and Off Wnd'!$B$44:$AI$44,0))*1000*About!$A$71</f>
        <v>894254.85631226201</v>
      </c>
      <c r="D28" s="4">
        <f>'EIA Costs'!$D$8*INDEX('Cost Improvement and Off Wnd'!$B$45:$AI$53,MATCH("nuclear",'Cost Improvement and Off Wnd'!$A$45:$A$53,0),MATCH('CCaMC-BCCpUC'!$A28,'Cost Improvement and Off Wnd'!$B$44:$AI$44,0))*1000*About!$A$71</f>
        <v>4652678.500656059</v>
      </c>
      <c r="E28" s="4">
        <f>'EIA Costs'!$D$11*INDEX('Cost Improvement and Off Wnd'!$B$45:$AI$53,MATCH("hydro",'Cost Improvement and Off Wnd'!$A$45:$A$53,0),MATCH('CCaMC-BCCpUC'!$A28,'Cost Improvement and Off Wnd'!$B$44:$AI$44,0))*1000*About!$A$71</f>
        <v>1840678.2157925859</v>
      </c>
      <c r="F28" s="4">
        <v>0</v>
      </c>
      <c r="G28" s="4">
        <v>0</v>
      </c>
      <c r="H28" s="4">
        <f>'EIA Costs'!$D$14*INDEX('Cost Improvement and Off Wnd'!$B$45:$AI$53,MATCH("solar thermal",'Cost Improvement and Off Wnd'!$A$45:$A$53,0),MATCH('CCaMC-BCCpUC'!$A28,'Cost Improvement and Off Wnd'!$B$44:$AI$44,0))*1000*About!$A$71</f>
        <v>1407026.6798227169</v>
      </c>
      <c r="I28" s="4">
        <f>'EIA Costs'!$D$9*INDEX('Cost Improvement and Off Wnd'!$B$45:$AI$53,MATCH("biomass",'Cost Improvement and Off Wnd'!$A$45:$A$53,0),MATCH('CCaMC-BCCpUC'!$A28,'Cost Improvement and Off Wnd'!$B$44:$AI$44,0))*1000*About!$A$71</f>
        <v>3228014.3421793631</v>
      </c>
      <c r="J28" s="4">
        <f>'EIA Costs'!$D$10*INDEX('Cost Improvement and Off Wnd'!$B$45:$AI$53,MATCH("geothermal",'Cost Improvement and Off Wnd'!$A$45:$A$53,0),MATCH('CCaMC-BCCpUC'!$A28,'Cost Improvement and Off Wnd'!$B$44:$AI$44,0))*1000*About!$A$71</f>
        <v>668659.39583219984</v>
      </c>
      <c r="K28" s="4">
        <f>'EIA Costs'!$D$7*INDEX('Cost Improvement and Off Wnd'!$B$45:$AI$53,MATCH("natural gas peaker",'Cost Improvement and Off Wnd'!$A$45:$A$53,0),MATCH('CCaMC-BCCpUC'!$A28,'Cost Improvement and Off Wnd'!$B$44:$AI$44,0))*1000*About!$A$71</f>
        <v>552471.36324781028</v>
      </c>
      <c r="L28" s="4">
        <f>'EIA Costs'!$D$7*INDEX('Cost Improvement and Off Wnd'!$B$45:$AI$53,MATCH("natural gas peaker",'Cost Improvement and Off Wnd'!$A$45:$A$53,0),MATCH('CCaMC-BCCpUC'!$A28,'Cost Improvement and Off Wnd'!$B$44:$AI$44,0))*1000*About!$A$71</f>
        <v>552471.36324781028</v>
      </c>
      <c r="M28" s="4">
        <f>B28*'Coal Cost Multipliers'!$B$33</f>
        <v>5074804.7355336314</v>
      </c>
      <c r="N28" s="4">
        <v>0</v>
      </c>
      <c r="O28" s="4">
        <f t="shared" si="0"/>
        <v>552471.36324781028</v>
      </c>
      <c r="P28" s="4">
        <f t="shared" si="1"/>
        <v>552471.36324781028</v>
      </c>
      <c r="Q28" s="4">
        <f>'EIA Costs'!$D$16*INDEX('Cost Improvement and Off Wnd'!$B$45:$AI$53,MATCH("biomass",'Cost Improvement and Off Wnd'!$A$45:$A$53,0),MATCH('CCaMC-BCCpUC'!$A28,'Cost Improvement and Off Wnd'!$B$44:$AI$44,0))*1000*About!$A$71</f>
        <v>7354522.1212749518</v>
      </c>
    </row>
    <row r="29" spans="1:17">
      <c r="A29" s="1">
        <v>2045</v>
      </c>
      <c r="B29" s="4">
        <f>'EIA Costs'!$D$3*INDEX('Cost Improvement and Off Wnd'!$B$45:$AI$53,MATCH("coal",'Cost Improvement and Off Wnd'!$A$45:$A$53,0),MATCH('CCaMC-BCCpUC'!$A29,'Cost Improvement and Off Wnd'!$B$44:$AI$44,0))*1000*About!$A$63</f>
        <v>4362106.3510442022</v>
      </c>
      <c r="C29" s="4">
        <f>'EIA Costs'!$D$5*INDEX('Cost Improvement and Off Wnd'!$B$45:$AI$53,MATCH("natural gas nonpeaker",'Cost Improvement and Off Wnd'!$A$45:$A$53,0),MATCH('CCaMC-BCCpUC'!$A29,'Cost Improvement and Off Wnd'!$B$44:$AI$44,0))*1000*About!$A$71</f>
        <v>893146.79079662124</v>
      </c>
      <c r="D29" s="4">
        <f>'EIA Costs'!$D$8*INDEX('Cost Improvement and Off Wnd'!$B$45:$AI$53,MATCH("nuclear",'Cost Improvement and Off Wnd'!$A$45:$A$53,0),MATCH('CCaMC-BCCpUC'!$A29,'Cost Improvement and Off Wnd'!$B$44:$AI$44,0))*1000*About!$A$71</f>
        <v>4631056.6298666513</v>
      </c>
      <c r="E29" s="4">
        <f>'EIA Costs'!$D$11*INDEX('Cost Improvement and Off Wnd'!$B$45:$AI$53,MATCH("hydro",'Cost Improvement and Off Wnd'!$A$45:$A$53,0),MATCH('CCaMC-BCCpUC'!$A29,'Cost Improvement and Off Wnd'!$B$44:$AI$44,0))*1000*About!$A$71</f>
        <v>1830267.5560371724</v>
      </c>
      <c r="F29" s="4">
        <v>0</v>
      </c>
      <c r="G29" s="4">
        <v>0</v>
      </c>
      <c r="H29" s="4">
        <f>'EIA Costs'!$D$14*INDEX('Cost Improvement and Off Wnd'!$B$45:$AI$53,MATCH("solar thermal",'Cost Improvement and Off Wnd'!$A$45:$A$53,0),MATCH('CCaMC-BCCpUC'!$A29,'Cost Improvement and Off Wnd'!$B$44:$AI$44,0))*1000*About!$A$71</f>
        <v>1390772.5752494477</v>
      </c>
      <c r="I29" s="4">
        <f>'EIA Costs'!$D$9*INDEX('Cost Improvement and Off Wnd'!$B$45:$AI$53,MATCH("biomass",'Cost Improvement and Off Wnd'!$A$45:$A$53,0),MATCH('CCaMC-BCCpUC'!$A29,'Cost Improvement and Off Wnd'!$B$44:$AI$44,0))*1000*About!$A$71</f>
        <v>3221832.2607411454</v>
      </c>
      <c r="J29" s="4">
        <f>'EIA Costs'!$D$10*INDEX('Cost Improvement and Off Wnd'!$B$45:$AI$53,MATCH("geothermal",'Cost Improvement and Off Wnd'!$A$45:$A$53,0),MATCH('CCaMC-BCCpUC'!$A29,'Cost Improvement and Off Wnd'!$B$44:$AI$44,0))*1000*About!$A$71</f>
        <v>668659.39583219984</v>
      </c>
      <c r="K29" s="4">
        <f>'EIA Costs'!$D$7*INDEX('Cost Improvement and Off Wnd'!$B$45:$AI$53,MATCH("natural gas peaker",'Cost Improvement and Off Wnd'!$A$45:$A$53,0),MATCH('CCaMC-BCCpUC'!$A29,'Cost Improvement and Off Wnd'!$B$44:$AI$44,0))*1000*About!$A$71</f>
        <v>551856.68438044505</v>
      </c>
      <c r="L29" s="4">
        <f>'EIA Costs'!$D$7*INDEX('Cost Improvement and Off Wnd'!$B$45:$AI$53,MATCH("natural gas peaker",'Cost Improvement and Off Wnd'!$A$45:$A$53,0),MATCH('CCaMC-BCCpUC'!$A29,'Cost Improvement and Off Wnd'!$B$44:$AI$44,0))*1000*About!$A$71</f>
        <v>551856.68438044505</v>
      </c>
      <c r="M29" s="4">
        <f>B29*'Coal Cost Multipliers'!$B$33</f>
        <v>5055429.4816196105</v>
      </c>
      <c r="N29" s="4">
        <v>0</v>
      </c>
      <c r="O29" s="4">
        <f t="shared" si="0"/>
        <v>551856.68438044505</v>
      </c>
      <c r="P29" s="4">
        <f t="shared" si="1"/>
        <v>551856.68438044505</v>
      </c>
      <c r="Q29" s="4">
        <f>'EIA Costs'!$D$16*INDEX('Cost Improvement and Off Wnd'!$B$45:$AI$53,MATCH("biomass",'Cost Improvement and Off Wnd'!$A$45:$A$53,0),MATCH('CCaMC-BCCpUC'!$A29,'Cost Improvement and Off Wnd'!$B$44:$AI$44,0))*1000*About!$A$71</f>
        <v>7340437.2226737272</v>
      </c>
    </row>
    <row r="30" spans="1:17">
      <c r="A30" s="1">
        <v>2046</v>
      </c>
      <c r="B30" s="4">
        <f>'EIA Costs'!$D$3*INDEX('Cost Improvement and Off Wnd'!$B$45:$AI$53,MATCH("coal",'Cost Improvement and Off Wnd'!$A$45:$A$53,0),MATCH('CCaMC-BCCpUC'!$A30,'Cost Improvement and Off Wnd'!$B$44:$AI$44,0))*1000*About!$A$63</f>
        <v>4336769.959802771</v>
      </c>
      <c r="C30" s="4">
        <f>'EIA Costs'!$D$5*INDEX('Cost Improvement and Off Wnd'!$B$45:$AI$53,MATCH("natural gas nonpeaker",'Cost Improvement and Off Wnd'!$A$45:$A$53,0),MATCH('CCaMC-BCCpUC'!$A30,'Cost Improvement and Off Wnd'!$B$44:$AI$44,0))*1000*About!$A$71</f>
        <v>890275.17907585343</v>
      </c>
      <c r="D30" s="4">
        <f>'EIA Costs'!$D$8*INDEX('Cost Improvement and Off Wnd'!$B$45:$AI$53,MATCH("nuclear",'Cost Improvement and Off Wnd'!$A$45:$A$53,0),MATCH('CCaMC-BCCpUC'!$A30,'Cost Improvement and Off Wnd'!$B$44:$AI$44,0))*1000*About!$A$71</f>
        <v>4600284.9973030258</v>
      </c>
      <c r="E30" s="4">
        <f>'EIA Costs'!$D$11*INDEX('Cost Improvement and Off Wnd'!$B$45:$AI$53,MATCH("hydro",'Cost Improvement and Off Wnd'!$A$45:$A$53,0),MATCH('CCaMC-BCCpUC'!$A30,'Cost Improvement and Off Wnd'!$B$44:$AI$44,0))*1000*About!$A$71</f>
        <v>1819856.8962817597</v>
      </c>
      <c r="F30" s="4">
        <v>0</v>
      </c>
      <c r="G30" s="4">
        <v>0</v>
      </c>
      <c r="H30" s="4">
        <f>'EIA Costs'!$D$14*INDEX('Cost Improvement and Off Wnd'!$B$45:$AI$53,MATCH("solar thermal",'Cost Improvement and Off Wnd'!$A$45:$A$53,0),MATCH('CCaMC-BCCpUC'!$A30,'Cost Improvement and Off Wnd'!$B$44:$AI$44,0))*1000*About!$A$71</f>
        <v>1374518.470676179</v>
      </c>
      <c r="I30" s="4">
        <f>'EIA Costs'!$D$9*INDEX('Cost Improvement and Off Wnd'!$B$45:$AI$53,MATCH("biomass",'Cost Improvement and Off Wnd'!$A$45:$A$53,0),MATCH('CCaMC-BCCpUC'!$A30,'Cost Improvement and Off Wnd'!$B$44:$AI$44,0))*1000*About!$A$71</f>
        <v>3209635.4861874729</v>
      </c>
      <c r="J30" s="4">
        <f>'EIA Costs'!$D$10*INDEX('Cost Improvement and Off Wnd'!$B$45:$AI$53,MATCH("geothermal",'Cost Improvement and Off Wnd'!$A$45:$A$53,0),MATCH('CCaMC-BCCpUC'!$A30,'Cost Improvement and Off Wnd'!$B$44:$AI$44,0))*1000*About!$A$71</f>
        <v>668659.39583219984</v>
      </c>
      <c r="K30" s="4">
        <f>'EIA Costs'!$D$7*INDEX('Cost Improvement and Off Wnd'!$B$45:$AI$53,MATCH("natural gas peaker",'Cost Improvement and Off Wnd'!$A$45:$A$53,0),MATCH('CCaMC-BCCpUC'!$A30,'Cost Improvement and Off Wnd'!$B$44:$AI$44,0))*1000*About!$A$71</f>
        <v>550152.42239255458</v>
      </c>
      <c r="L30" s="4">
        <f>'EIA Costs'!$D$7*INDEX('Cost Improvement and Off Wnd'!$B$45:$AI$53,MATCH("natural gas peaker",'Cost Improvement and Off Wnd'!$A$45:$A$53,0),MATCH('CCaMC-BCCpUC'!$A30,'Cost Improvement and Off Wnd'!$B$44:$AI$44,0))*1000*About!$A$71</f>
        <v>550152.42239255458</v>
      </c>
      <c r="M30" s="4">
        <f>B30*'Coal Cost Multipliers'!$B$33</f>
        <v>5026066.0665783612</v>
      </c>
      <c r="N30" s="4">
        <v>0</v>
      </c>
      <c r="O30" s="4">
        <f t="shared" si="0"/>
        <v>550152.42239255458</v>
      </c>
      <c r="P30" s="4">
        <f t="shared" si="1"/>
        <v>550152.42239255458</v>
      </c>
      <c r="Q30" s="4">
        <f>'EIA Costs'!$D$16*INDEX('Cost Improvement and Off Wnd'!$B$45:$AI$53,MATCH("biomass",'Cost Improvement and Off Wnd'!$A$45:$A$53,0),MATCH('CCaMC-BCCpUC'!$A30,'Cost Improvement and Off Wnd'!$B$44:$AI$44,0))*1000*About!$A$71</f>
        <v>7312648.7933935076</v>
      </c>
    </row>
    <row r="31" spans="1:17">
      <c r="A31" s="1">
        <v>2047</v>
      </c>
      <c r="B31" s="4">
        <f>'EIA Costs'!$D$3*INDEX('Cost Improvement and Off Wnd'!$B$45:$AI$53,MATCH("coal",'Cost Improvement and Off Wnd'!$A$45:$A$53,0),MATCH('CCaMC-BCCpUC'!$A31,'Cost Improvement and Off Wnd'!$B$44:$AI$44,0))*1000*About!$A$63</f>
        <v>4315481.4844746375</v>
      </c>
      <c r="C31" s="4">
        <f>'EIA Costs'!$D$5*INDEX('Cost Improvement and Off Wnd'!$B$45:$AI$53,MATCH("natural gas nonpeaker",'Cost Improvement and Off Wnd'!$A$45:$A$53,0),MATCH('CCaMC-BCCpUC'!$A31,'Cost Improvement and Off Wnd'!$B$44:$AI$44,0))*1000*About!$A$71</f>
        <v>888232.92473174375</v>
      </c>
      <c r="D31" s="4">
        <f>'EIA Costs'!$D$8*INDEX('Cost Improvement and Off Wnd'!$B$45:$AI$53,MATCH("nuclear",'Cost Improvement and Off Wnd'!$A$45:$A$53,0),MATCH('CCaMC-BCCpUC'!$A31,'Cost Improvement and Off Wnd'!$B$44:$AI$44,0))*1000*About!$A$71</f>
        <v>4573809.735484709</v>
      </c>
      <c r="E31" s="4">
        <f>'EIA Costs'!$D$11*INDEX('Cost Improvement and Off Wnd'!$B$45:$AI$53,MATCH("hydro",'Cost Improvement and Off Wnd'!$A$45:$A$53,0),MATCH('CCaMC-BCCpUC'!$A31,'Cost Improvement and Off Wnd'!$B$44:$AI$44,0))*1000*About!$A$71</f>
        <v>1809446.2365263463</v>
      </c>
      <c r="F31" s="4">
        <v>0</v>
      </c>
      <c r="G31" s="4">
        <v>0</v>
      </c>
      <c r="H31" s="4">
        <f>'EIA Costs'!$D$14*INDEX('Cost Improvement and Off Wnd'!$B$45:$AI$53,MATCH("solar thermal",'Cost Improvement and Off Wnd'!$A$45:$A$53,0),MATCH('CCaMC-BCCpUC'!$A31,'Cost Improvement and Off Wnd'!$B$44:$AI$44,0))*1000*About!$A$71</f>
        <v>1358264.3661029099</v>
      </c>
      <c r="I31" s="4">
        <f>'EIA Costs'!$D$9*INDEX('Cost Improvement and Off Wnd'!$B$45:$AI$53,MATCH("biomass",'Cost Improvement and Off Wnd'!$A$45:$A$53,0),MATCH('CCaMC-BCCpUC'!$A31,'Cost Improvement and Off Wnd'!$B$44:$AI$44,0))*1000*About!$A$71</f>
        <v>3200266.2664250759</v>
      </c>
      <c r="J31" s="4">
        <f>'EIA Costs'!$D$10*INDEX('Cost Improvement and Off Wnd'!$B$45:$AI$53,MATCH("geothermal",'Cost Improvement and Off Wnd'!$A$45:$A$53,0),MATCH('CCaMC-BCCpUC'!$A31,'Cost Improvement and Off Wnd'!$B$44:$AI$44,0))*1000*About!$A$71</f>
        <v>668659.39583219984</v>
      </c>
      <c r="K31" s="4">
        <f>'EIA Costs'!$D$7*INDEX('Cost Improvement and Off Wnd'!$B$45:$AI$53,MATCH("natural gas peaker",'Cost Improvement and Off Wnd'!$A$45:$A$53,0),MATCH('CCaMC-BCCpUC'!$A31,'Cost Improvement and Off Wnd'!$B$44:$AI$44,0))*1000*About!$A$71</f>
        <v>548960.60343798099</v>
      </c>
      <c r="L31" s="4">
        <f>'EIA Costs'!$D$7*INDEX('Cost Improvement and Off Wnd'!$B$45:$AI$53,MATCH("natural gas peaker",'Cost Improvement and Off Wnd'!$A$45:$A$53,0),MATCH('CCaMC-BCCpUC'!$A31,'Cost Improvement and Off Wnd'!$B$44:$AI$44,0))*1000*About!$A$71</f>
        <v>548960.60343798099</v>
      </c>
      <c r="M31" s="4">
        <f>B31*'Coal Cost Multipliers'!$B$33</f>
        <v>5001393.9524363447</v>
      </c>
      <c r="N31" s="4">
        <v>0</v>
      </c>
      <c r="O31" s="4">
        <f t="shared" si="0"/>
        <v>548960.60343798099</v>
      </c>
      <c r="P31" s="4">
        <f t="shared" si="1"/>
        <v>548960.60343798099</v>
      </c>
      <c r="Q31" s="4">
        <f>'EIA Costs'!$D$16*INDEX('Cost Improvement and Off Wnd'!$B$45:$AI$53,MATCH("biomass",'Cost Improvement and Off Wnd'!$A$45:$A$53,0),MATCH('CCaMC-BCCpUC'!$A31,'Cost Improvement and Off Wnd'!$B$44:$AI$44,0))*1000*About!$A$71</f>
        <v>7291302.5022382103</v>
      </c>
    </row>
    <row r="32" spans="1:17">
      <c r="A32" s="1">
        <v>2048</v>
      </c>
      <c r="B32" s="4">
        <f>'EIA Costs'!$D$3*INDEX('Cost Improvement and Off Wnd'!$B$45:$AI$53,MATCH("coal",'Cost Improvement and Off Wnd'!$A$45:$A$53,0),MATCH('CCaMC-BCCpUC'!$A32,'Cost Improvement and Off Wnd'!$B$44:$AI$44,0))*1000*About!$A$63</f>
        <v>4294121.837076081</v>
      </c>
      <c r="C32" s="4">
        <f>'EIA Costs'!$D$5*INDEX('Cost Improvement and Off Wnd'!$B$45:$AI$53,MATCH("natural gas nonpeaker",'Cost Improvement and Off Wnd'!$A$45:$A$53,0),MATCH('CCaMC-BCCpUC'!$A32,'Cost Improvement and Off Wnd'!$B$44:$AI$44,0))*1000*About!$A$71</f>
        <v>886176.35560993128</v>
      </c>
      <c r="D32" s="4">
        <f>'EIA Costs'!$D$8*INDEX('Cost Improvement and Off Wnd'!$B$45:$AI$53,MATCH("nuclear",'Cost Improvement and Off Wnd'!$A$45:$A$53,0),MATCH('CCaMC-BCCpUC'!$A32,'Cost Improvement and Off Wnd'!$B$44:$AI$44,0))*1000*About!$A$71</f>
        <v>4547256.0722374143</v>
      </c>
      <c r="E32" s="4">
        <f>'EIA Costs'!$D$11*INDEX('Cost Improvement and Off Wnd'!$B$45:$AI$53,MATCH("hydro",'Cost Improvement and Off Wnd'!$A$45:$A$53,0),MATCH('CCaMC-BCCpUC'!$A32,'Cost Improvement and Off Wnd'!$B$44:$AI$44,0))*1000*About!$A$71</f>
        <v>1799035.5767709336</v>
      </c>
      <c r="F32" s="4">
        <v>0</v>
      </c>
      <c r="G32" s="4">
        <v>0</v>
      </c>
      <c r="H32" s="4">
        <f>'EIA Costs'!$D$14*INDEX('Cost Improvement and Off Wnd'!$B$45:$AI$53,MATCH("solar thermal",'Cost Improvement and Off Wnd'!$A$45:$A$53,0),MATCH('CCaMC-BCCpUC'!$A32,'Cost Improvement and Off Wnd'!$B$44:$AI$44,0))*1000*About!$A$71</f>
        <v>1342010.261529641</v>
      </c>
      <c r="I32" s="4">
        <f>'EIA Costs'!$D$9*INDEX('Cost Improvement and Off Wnd'!$B$45:$AI$53,MATCH("biomass",'Cost Improvement and Off Wnd'!$A$45:$A$53,0),MATCH('CCaMC-BCCpUC'!$A32,'Cost Improvement and Off Wnd'!$B$44:$AI$44,0))*1000*About!$A$71</f>
        <v>3190847.9381775381</v>
      </c>
      <c r="J32" s="4">
        <f>'EIA Costs'!$D$10*INDEX('Cost Improvement and Off Wnd'!$B$45:$AI$53,MATCH("geothermal",'Cost Improvement and Off Wnd'!$A$45:$A$53,0),MATCH('CCaMC-BCCpUC'!$A32,'Cost Improvement and Off Wnd'!$B$44:$AI$44,0))*1000*About!$A$71</f>
        <v>668659.39583219984</v>
      </c>
      <c r="K32" s="4">
        <f>'EIA Costs'!$D$7*INDEX('Cost Improvement and Off Wnd'!$B$45:$AI$53,MATCH("natural gas peaker",'Cost Improvement and Off Wnd'!$A$45:$A$53,0),MATCH('CCaMC-BCCpUC'!$A32,'Cost Improvement and Off Wnd'!$B$44:$AI$44,0))*1000*About!$A$71</f>
        <v>547759.99001111533</v>
      </c>
      <c r="L32" s="4">
        <f>'EIA Costs'!$D$7*INDEX('Cost Improvement and Off Wnd'!$B$45:$AI$53,MATCH("natural gas peaker",'Cost Improvement and Off Wnd'!$A$45:$A$53,0),MATCH('CCaMC-BCCpUC'!$A32,'Cost Improvement and Off Wnd'!$B$44:$AI$44,0))*1000*About!$A$71</f>
        <v>547759.99001111533</v>
      </c>
      <c r="M32" s="4">
        <f>B32*'Coal Cost Multipliers'!$B$33</f>
        <v>4976639.3539727349</v>
      </c>
      <c r="N32" s="4">
        <v>0</v>
      </c>
      <c r="O32" s="4">
        <f t="shared" si="0"/>
        <v>547759.99001111533</v>
      </c>
      <c r="P32" s="4">
        <f t="shared" si="1"/>
        <v>547759.99001111533</v>
      </c>
      <c r="Q32" s="4">
        <f>'EIA Costs'!$D$16*INDEX('Cost Improvement and Off Wnd'!$B$45:$AI$53,MATCH("biomass",'Cost Improvement and Off Wnd'!$A$45:$A$53,0),MATCH('CCaMC-BCCpUC'!$A32,'Cost Improvement and Off Wnd'!$B$44:$AI$44,0))*1000*About!$A$71</f>
        <v>7269844.3251363151</v>
      </c>
    </row>
    <row r="33" spans="1:17">
      <c r="A33" s="1">
        <v>2049</v>
      </c>
      <c r="B33" s="4">
        <f>'EIA Costs'!$D$3*INDEX('Cost Improvement and Off Wnd'!$B$45:$AI$53,MATCH("coal",'Cost Improvement and Off Wnd'!$A$45:$A$53,0),MATCH('CCaMC-BCCpUC'!$A33,'Cost Improvement and Off Wnd'!$B$44:$AI$44,0))*1000*About!$A$63</f>
        <v>4272377.1143856384</v>
      </c>
      <c r="C33" s="4">
        <f>'EIA Costs'!$D$5*INDEX('Cost Improvement and Off Wnd'!$B$45:$AI$53,MATCH("natural gas nonpeaker",'Cost Improvement and Off Wnd'!$A$45:$A$53,0),MATCH('CCaMC-BCCpUC'!$A33,'Cost Improvement and Off Wnd'!$B$44:$AI$44,0))*1000*About!$A$71</f>
        <v>884040.8418737516</v>
      </c>
      <c r="D33" s="4">
        <f>'EIA Costs'!$D$8*INDEX('Cost Improvement and Off Wnd'!$B$45:$AI$53,MATCH("nuclear",'Cost Improvement and Off Wnd'!$A$45:$A$53,0),MATCH('CCaMC-BCCpUC'!$A33,'Cost Improvement and Off Wnd'!$B$44:$AI$44,0))*1000*About!$A$71</f>
        <v>4520295.1836425504</v>
      </c>
      <c r="E33" s="4">
        <f>'EIA Costs'!$D$11*INDEX('Cost Improvement and Off Wnd'!$B$45:$AI$53,MATCH("hydro",'Cost Improvement and Off Wnd'!$A$45:$A$53,0),MATCH('CCaMC-BCCpUC'!$A33,'Cost Improvement and Off Wnd'!$B$44:$AI$44,0))*1000*About!$A$71</f>
        <v>1788624.9170155204</v>
      </c>
      <c r="F33" s="4">
        <v>0</v>
      </c>
      <c r="G33" s="4">
        <v>0</v>
      </c>
      <c r="H33" s="4">
        <f>'EIA Costs'!$D$14*INDEX('Cost Improvement and Off Wnd'!$B$45:$AI$53,MATCH("solar thermal",'Cost Improvement and Off Wnd'!$A$45:$A$53,0),MATCH('CCaMC-BCCpUC'!$A33,'Cost Improvement and Off Wnd'!$B$44:$AI$44,0))*1000*About!$A$71</f>
        <v>1325756.1569563723</v>
      </c>
      <c r="I33" s="4">
        <f>'EIA Costs'!$D$9*INDEX('Cost Improvement and Off Wnd'!$B$45:$AI$53,MATCH("biomass",'Cost Improvement and Off Wnd'!$A$45:$A$53,0),MATCH('CCaMC-BCCpUC'!$A33,'Cost Improvement and Off Wnd'!$B$44:$AI$44,0))*1000*About!$A$71</f>
        <v>3181160.2441755827</v>
      </c>
      <c r="J33" s="4">
        <f>'EIA Costs'!$D$10*INDEX('Cost Improvement and Off Wnd'!$B$45:$AI$53,MATCH("geothermal",'Cost Improvement and Off Wnd'!$A$45:$A$53,0),MATCH('CCaMC-BCCpUC'!$A33,'Cost Improvement and Off Wnd'!$B$44:$AI$44,0))*1000*About!$A$71</f>
        <v>668659.39583219984</v>
      </c>
      <c r="K33" s="4">
        <f>'EIA Costs'!$D$7*INDEX('Cost Improvement and Off Wnd'!$B$45:$AI$53,MATCH("natural gas peaker",'Cost Improvement and Off Wnd'!$A$45:$A$53,0),MATCH('CCaMC-BCCpUC'!$A33,'Cost Improvement and Off Wnd'!$B$44:$AI$44,0))*1000*About!$A$71</f>
        <v>546510.49006492062</v>
      </c>
      <c r="L33" s="4">
        <f>'EIA Costs'!$D$7*INDEX('Cost Improvement and Off Wnd'!$B$45:$AI$53,MATCH("natural gas peaker",'Cost Improvement and Off Wnd'!$A$45:$A$53,0),MATCH('CCaMC-BCCpUC'!$A33,'Cost Improvement and Off Wnd'!$B$44:$AI$44,0))*1000*About!$A$71</f>
        <v>546510.49006492062</v>
      </c>
      <c r="M33" s="4">
        <f>B33*'Coal Cost Multipliers'!$B$33</f>
        <v>4951438.4754722388</v>
      </c>
      <c r="N33" s="4">
        <v>0</v>
      </c>
      <c r="O33" s="4">
        <f t="shared" si="0"/>
        <v>546510.49006492062</v>
      </c>
      <c r="P33" s="4">
        <f t="shared" si="1"/>
        <v>546510.49006492062</v>
      </c>
      <c r="Q33" s="4">
        <f>'EIA Costs'!$D$16*INDEX('Cost Improvement and Off Wnd'!$B$45:$AI$53,MATCH("biomass",'Cost Improvement and Off Wnd'!$A$45:$A$53,0),MATCH('CCaMC-BCCpUC'!$A33,'Cost Improvement and Off Wnd'!$B$44:$AI$44,0))*1000*About!$A$71</f>
        <v>7247772.4406001931</v>
      </c>
    </row>
    <row r="34" spans="1:17">
      <c r="A34" s="1">
        <v>2050</v>
      </c>
      <c r="B34" s="4">
        <f>'EIA Costs'!$D$3*INDEX('Cost Improvement and Off Wnd'!$B$45:$AI$53,MATCH("coal",'Cost Improvement and Off Wnd'!$A$45:$A$53,0),MATCH('CCaMC-BCCpUC'!$A34,'Cost Improvement and Off Wnd'!$B$44:$AI$44,0))*1000*About!$A$63</f>
        <v>4217869.8575414019</v>
      </c>
      <c r="C34" s="4">
        <f>'EIA Costs'!$D$5*INDEX('Cost Improvement and Off Wnd'!$B$45:$AI$53,MATCH("natural gas nonpeaker",'Cost Improvement and Off Wnd'!$A$45:$A$53,0),MATCH('CCaMC-BCCpUC'!$A34,'Cost Improvement and Off Wnd'!$B$44:$AI$44,0))*1000*About!$A$71</f>
        <v>875107.94943165942</v>
      </c>
      <c r="D34" s="4">
        <f>'EIA Costs'!$D$8*INDEX('Cost Improvement and Off Wnd'!$B$45:$AI$53,MATCH("nuclear",'Cost Improvement and Off Wnd'!$A$45:$A$53,0),MATCH('CCaMC-BCCpUC'!$A34,'Cost Improvement and Off Wnd'!$B$44:$AI$44,0))*1000*About!$A$71</f>
        <v>4458701.0732432539</v>
      </c>
      <c r="E34" s="4">
        <f>'EIA Costs'!$D$11*INDEX('Cost Improvement and Off Wnd'!$B$45:$AI$53,MATCH("hydro",'Cost Improvement and Off Wnd'!$A$45:$A$53,0),MATCH('CCaMC-BCCpUC'!$A34,'Cost Improvement and Off Wnd'!$B$44:$AI$44,0))*1000*About!$A$71</f>
        <v>1778214.2572601077</v>
      </c>
      <c r="F34" s="4">
        <v>0</v>
      </c>
      <c r="G34" s="4">
        <v>0</v>
      </c>
      <c r="H34" s="4">
        <f>'EIA Costs'!$D$14*INDEX('Cost Improvement and Off Wnd'!$B$45:$AI$53,MATCH("solar thermal",'Cost Improvement and Off Wnd'!$A$45:$A$53,0),MATCH('CCaMC-BCCpUC'!$A34,'Cost Improvement and Off Wnd'!$B$44:$AI$44,0))*1000*About!$A$71</f>
        <v>1309502.0523831041</v>
      </c>
      <c r="I34" s="4">
        <f>'EIA Costs'!$D$9*INDEX('Cost Improvement and Off Wnd'!$B$45:$AI$53,MATCH("biomass",'Cost Improvement and Off Wnd'!$A$45:$A$53,0),MATCH('CCaMC-BCCpUC'!$A34,'Cost Improvement and Off Wnd'!$B$44:$AI$44,0))*1000*About!$A$71</f>
        <v>3148388.0289021889</v>
      </c>
      <c r="J34" s="4">
        <f>'EIA Costs'!$D$10*INDEX('Cost Improvement and Off Wnd'!$B$45:$AI$53,MATCH("geothermal",'Cost Improvement and Off Wnd'!$A$45:$A$53,0),MATCH('CCaMC-BCCpUC'!$A34,'Cost Improvement and Off Wnd'!$B$44:$AI$44,0))*1000*About!$A$71</f>
        <v>668659.39583219984</v>
      </c>
      <c r="K34" s="4">
        <f>'EIA Costs'!$D$7*INDEX('Cost Improvement and Off Wnd'!$B$45:$AI$53,MATCH("natural gas peaker",'Cost Improvement and Off Wnd'!$A$45:$A$53,0),MATCH('CCaMC-BCCpUC'!$A34,'Cost Improvement and Off Wnd'!$B$44:$AI$44,0))*1000*About!$A$71</f>
        <v>541058.41525406053</v>
      </c>
      <c r="L34" s="4">
        <f>'EIA Costs'!$D$7*INDEX('Cost Improvement and Off Wnd'!$B$45:$AI$53,MATCH("natural gas peaker",'Cost Improvement and Off Wnd'!$A$45:$A$53,0),MATCH('CCaMC-BCCpUC'!$A34,'Cost Improvement and Off Wnd'!$B$44:$AI$44,0))*1000*About!$A$71</f>
        <v>541058.41525406053</v>
      </c>
      <c r="M34" s="4">
        <f>B34*'Coal Cost Multipliers'!$B$33</f>
        <v>4888267.7109294161</v>
      </c>
      <c r="N34" s="4">
        <v>0</v>
      </c>
      <c r="O34" s="4">
        <f t="shared" si="0"/>
        <v>541058.41525406053</v>
      </c>
      <c r="P34" s="4">
        <f t="shared" si="1"/>
        <v>541058.41525406053</v>
      </c>
      <c r="Q34" s="4">
        <f>'EIA Costs'!$D$16*INDEX('Cost Improvement and Off Wnd'!$B$45:$AI$53,MATCH("biomass",'Cost Improvement and Off Wnd'!$A$45:$A$53,0),MATCH('CCaMC-BCCpUC'!$A34,'Cost Improvement and Off Wnd'!$B$44:$AI$44,0))*1000*About!$A$71</f>
        <v>7173106.1111970115</v>
      </c>
    </row>
    <row r="35" spans="1:17">
      <c r="B35" s="12"/>
    </row>
    <row r="36" spans="1:17">
      <c r="B36" s="12"/>
    </row>
    <row r="37" spans="1:17">
      <c r="B37" s="12"/>
    </row>
    <row r="38" spans="1:17">
      <c r="B38" s="12"/>
    </row>
    <row r="39" spans="1:17">
      <c r="B39" s="12"/>
    </row>
    <row r="40" spans="1:17">
      <c r="B40" s="12"/>
    </row>
    <row r="41" spans="1:17">
      <c r="B41" s="12"/>
    </row>
    <row r="42" spans="1:17">
      <c r="B42" s="12"/>
    </row>
    <row r="43" spans="1:17">
      <c r="B43" s="12"/>
    </row>
    <row r="44" spans="1:17">
      <c r="B44" s="12"/>
    </row>
    <row r="45" spans="1:17">
      <c r="B45" s="12"/>
    </row>
    <row r="46" spans="1:17">
      <c r="B46" s="12"/>
    </row>
    <row r="47" spans="1:17">
      <c r="B47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8CEEDCB-921F-4AFD-BB2E-366B27A3D5A8}"/>
</file>

<file path=customXml/itemProps2.xml><?xml version="1.0" encoding="utf-8"?>
<ds:datastoreItem xmlns:ds="http://schemas.openxmlformats.org/officeDocument/2006/customXml" ds:itemID="{4FA2DBE0-7CBC-4A8F-8992-60B1CB41C39E}"/>
</file>

<file path=customXml/itemProps3.xml><?xml version="1.0" encoding="utf-8"?>
<ds:datastoreItem xmlns:ds="http://schemas.openxmlformats.org/officeDocument/2006/customXml" ds:itemID="{B4053284-7C58-45AC-9554-C89BE7A530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2014-02-14T06:19:38Z</dcterms:created>
  <dcterms:modified xsi:type="dcterms:W3CDTF">2019-08-20T21:48:38Z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