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hongkong\InputData\elec\CCaMC\"/>
    </mc:Choice>
  </mc:AlternateContent>
  <bookViews>
    <workbookView xWindow="-120" yWindow="-120" windowWidth="20730" windowHeight="11160"/>
  </bookViews>
  <sheets>
    <sheet name="About" sheetId="2" r:id="rId1"/>
    <sheet name="EDO" sheetId="20" r:id="rId2"/>
    <sheet name="Hydro and Geothermal" sheetId="22" r:id="rId3"/>
    <sheet name="Solar thermal" sheetId="17" r:id="rId4"/>
    <sheet name="EIA Costs" sheetId="10" r:id="rId5"/>
    <sheet name="O&amp;M Share" sheetId="25" r:id="rId6"/>
    <sheet name="Cost Improvement (other)" sheetId="15" r:id="rId7"/>
    <sheet name="Cost Improvement (wind&amp;solar)" sheetId="24" r:id="rId8"/>
    <sheet name="MSW HK" sheetId="26" r:id="rId9"/>
    <sheet name="CCaMC-AFOaMCpUC" sheetId="7" r:id="rId10"/>
    <sheet name="CCaMC-VOaMCpUC" sheetId="8" r:id="rId11"/>
    <sheet name="CCaMC-BCCpUC" sheetId="6" r:id="rId12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26" l="1"/>
  <c r="B5" i="7"/>
  <c r="B3" i="7"/>
  <c r="B4" i="7"/>
  <c r="B17" i="7"/>
  <c r="B7" i="7"/>
  <c r="D17" i="7"/>
  <c r="N4" i="26"/>
  <c r="N2" i="26"/>
  <c r="N5" i="26"/>
  <c r="O3" i="6"/>
  <c r="P3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O28" i="6"/>
  <c r="P28" i="6"/>
  <c r="O29" i="6"/>
  <c r="P29" i="6"/>
  <c r="O30" i="6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P2" i="6"/>
  <c r="O2" i="6"/>
  <c r="B3" i="8"/>
  <c r="B12" i="8"/>
  <c r="B16" i="8"/>
  <c r="C3" i="8"/>
  <c r="C12" i="8"/>
  <c r="C16" i="8"/>
  <c r="D3" i="8"/>
  <c r="D12" i="8"/>
  <c r="D16" i="8"/>
  <c r="C15" i="8"/>
  <c r="D15" i="8"/>
  <c r="B15" i="8"/>
  <c r="D16" i="7"/>
  <c r="B16" i="7"/>
  <c r="D15" i="7"/>
  <c r="B15" i="7"/>
  <c r="F2" i="6"/>
  <c r="N3" i="25"/>
  <c r="P3" i="25"/>
  <c r="B2" i="6"/>
  <c r="C2" i="6"/>
  <c r="D2" i="6"/>
  <c r="E2" i="6"/>
  <c r="G2" i="6"/>
  <c r="H2" i="6"/>
  <c r="I2" i="6"/>
  <c r="J2" i="6"/>
  <c r="L2" i="6"/>
  <c r="M2" i="6"/>
  <c r="N2" i="6"/>
  <c r="D8" i="8"/>
  <c r="C8" i="8"/>
  <c r="L42" i="24"/>
  <c r="L22" i="24"/>
  <c r="L12" i="24"/>
  <c r="L3" i="24"/>
  <c r="L4" i="24"/>
  <c r="L5" i="24"/>
  <c r="L6" i="24"/>
  <c r="L7" i="24"/>
  <c r="L8" i="24"/>
  <c r="L9" i="24"/>
  <c r="L10" i="24"/>
  <c r="L11" i="24"/>
  <c r="K42" i="24"/>
  <c r="G36" i="6"/>
  <c r="K22" i="24"/>
  <c r="G16" i="6"/>
  <c r="K12" i="24"/>
  <c r="J42" i="24"/>
  <c r="N36" i="6"/>
  <c r="J22" i="24"/>
  <c r="N16" i="6"/>
  <c r="J12" i="24"/>
  <c r="N6" i="6"/>
  <c r="I42" i="24"/>
  <c r="F36" i="6"/>
  <c r="I22" i="24"/>
  <c r="F16" i="6"/>
  <c r="I12" i="24"/>
  <c r="I3" i="24"/>
  <c r="I4" i="24"/>
  <c r="I5" i="24"/>
  <c r="I6" i="24"/>
  <c r="I7" i="24"/>
  <c r="I8" i="24"/>
  <c r="I9" i="24"/>
  <c r="D3" i="22"/>
  <c r="D2" i="22"/>
  <c r="B3" i="22"/>
  <c r="B2" i="22"/>
  <c r="F6" i="6"/>
  <c r="I10" i="24"/>
  <c r="F3" i="6"/>
  <c r="K3" i="24"/>
  <c r="K4" i="24"/>
  <c r="K5" i="24"/>
  <c r="K6" i="24"/>
  <c r="K7" i="24"/>
  <c r="K8" i="24"/>
  <c r="K9" i="24"/>
  <c r="G6" i="6"/>
  <c r="J3" i="24"/>
  <c r="J4" i="24"/>
  <c r="J5" i="24"/>
  <c r="J6" i="24"/>
  <c r="J7" i="24"/>
  <c r="J8" i="24"/>
  <c r="J9" i="24"/>
  <c r="B14" i="8"/>
  <c r="B9" i="8"/>
  <c r="B7" i="8"/>
  <c r="B6" i="8"/>
  <c r="B4" i="8"/>
  <c r="B2" i="8"/>
  <c r="B13" i="8"/>
  <c r="J10" i="24"/>
  <c r="N3" i="6"/>
  <c r="I11" i="24"/>
  <c r="F5" i="6"/>
  <c r="F4" i="6"/>
  <c r="K10" i="24"/>
  <c r="G3" i="6"/>
  <c r="D4" i="8"/>
  <c r="C4" i="8"/>
  <c r="D14" i="8"/>
  <c r="C14" i="8"/>
  <c r="D6" i="8"/>
  <c r="C6" i="8"/>
  <c r="D2" i="8"/>
  <c r="D13" i="8"/>
  <c r="C2" i="8"/>
  <c r="C13" i="8"/>
  <c r="D7" i="8"/>
  <c r="C7" i="8"/>
  <c r="D9" i="8"/>
  <c r="C9" i="8"/>
  <c r="K11" i="24"/>
  <c r="G5" i="6"/>
  <c r="G4" i="6"/>
  <c r="J11" i="24"/>
  <c r="N5" i="6"/>
  <c r="N4" i="6"/>
  <c r="O4" i="25"/>
  <c r="Q4" i="25"/>
  <c r="O3" i="25"/>
  <c r="Q3" i="25"/>
  <c r="O2" i="25"/>
  <c r="Q2" i="25"/>
  <c r="N4" i="25"/>
  <c r="N2" i="25"/>
  <c r="P2" i="25"/>
  <c r="M4" i="25"/>
  <c r="M3" i="25"/>
  <c r="M2" i="25"/>
  <c r="B14" i="7"/>
  <c r="B9" i="7"/>
  <c r="B6" i="7"/>
  <c r="B12" i="7"/>
  <c r="B2" i="7"/>
  <c r="B13" i="7"/>
  <c r="I23" i="24"/>
  <c r="P4" i="25"/>
  <c r="R4" i="25"/>
  <c r="R3" i="25"/>
  <c r="B10" i="8"/>
  <c r="B10" i="7"/>
  <c r="I24" i="24"/>
  <c r="F17" i="6"/>
  <c r="D3" i="7"/>
  <c r="D12" i="7"/>
  <c r="C3" i="7"/>
  <c r="C12" i="7"/>
  <c r="D9" i="7"/>
  <c r="C9" i="7"/>
  <c r="D14" i="7"/>
  <c r="C14" i="7"/>
  <c r="D6" i="7"/>
  <c r="C6" i="7"/>
  <c r="D4" i="7"/>
  <c r="C4" i="7"/>
  <c r="D2" i="7"/>
  <c r="D13" i="7"/>
  <c r="C2" i="7"/>
  <c r="C13" i="7"/>
  <c r="D7" i="7"/>
  <c r="C7" i="7"/>
  <c r="J23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K23" i="24"/>
  <c r="I13" i="24"/>
  <c r="L13" i="24"/>
  <c r="K13" i="24"/>
  <c r="G7" i="6"/>
  <c r="J13" i="24"/>
  <c r="N7" i="6"/>
  <c r="R2" i="25"/>
  <c r="C3" i="17"/>
  <c r="B3" i="17"/>
  <c r="B8" i="7"/>
  <c r="J24" i="24"/>
  <c r="N17" i="6"/>
  <c r="I25" i="24"/>
  <c r="F18" i="6"/>
  <c r="B5" i="8"/>
  <c r="I14" i="24"/>
  <c r="F7" i="6"/>
  <c r="H6" i="6"/>
  <c r="H18" i="6"/>
  <c r="H22" i="6"/>
  <c r="H26" i="6"/>
  <c r="H30" i="6"/>
  <c r="H34" i="6"/>
  <c r="H7" i="6"/>
  <c r="H19" i="6"/>
  <c r="H23" i="6"/>
  <c r="H27" i="6"/>
  <c r="H31" i="6"/>
  <c r="H35" i="6"/>
  <c r="H4" i="6"/>
  <c r="H8" i="6"/>
  <c r="H16" i="6"/>
  <c r="H20" i="6"/>
  <c r="H24" i="6"/>
  <c r="H28" i="6"/>
  <c r="H32" i="6"/>
  <c r="H36" i="6"/>
  <c r="H25" i="6"/>
  <c r="H29" i="6"/>
  <c r="H5" i="6"/>
  <c r="H21" i="6"/>
  <c r="H17" i="6"/>
  <c r="H33" i="6"/>
  <c r="H3" i="6"/>
  <c r="D8" i="7"/>
  <c r="C8" i="7"/>
  <c r="K24" i="24"/>
  <c r="G17" i="6"/>
  <c r="C10" i="7"/>
  <c r="D10" i="7"/>
  <c r="D10" i="8"/>
  <c r="C10" i="8"/>
  <c r="L14" i="24"/>
  <c r="J14" i="24"/>
  <c r="K14" i="24"/>
  <c r="G8" i="6"/>
  <c r="C121" i="15"/>
  <c r="J15" i="24"/>
  <c r="N8" i="6"/>
  <c r="I15" i="24"/>
  <c r="F8" i="6"/>
  <c r="I26" i="24"/>
  <c r="F19" i="6"/>
  <c r="D5" i="7"/>
  <c r="C5" i="7"/>
  <c r="K25" i="24"/>
  <c r="G18" i="6"/>
  <c r="D5" i="8"/>
  <c r="C5" i="8"/>
  <c r="J25" i="24"/>
  <c r="N18" i="6"/>
  <c r="K15" i="24"/>
  <c r="G9" i="6"/>
  <c r="L15" i="24"/>
  <c r="H9" i="6"/>
  <c r="I121" i="15"/>
  <c r="E7" i="6"/>
  <c r="Q121" i="15"/>
  <c r="E15" i="6"/>
  <c r="Y121" i="15"/>
  <c r="E23" i="6"/>
  <c r="AG121" i="15"/>
  <c r="E31" i="6"/>
  <c r="F120" i="15"/>
  <c r="D4" i="6"/>
  <c r="N120" i="15"/>
  <c r="D12" i="6"/>
  <c r="V120" i="15"/>
  <c r="D20" i="6"/>
  <c r="AD120" i="15"/>
  <c r="D28" i="6"/>
  <c r="AL120" i="15"/>
  <c r="D36" i="6"/>
  <c r="K119" i="15"/>
  <c r="C9" i="6"/>
  <c r="S119" i="15"/>
  <c r="C17" i="6"/>
  <c r="AA119" i="15"/>
  <c r="C25" i="6"/>
  <c r="AI119" i="15"/>
  <c r="C33" i="6"/>
  <c r="H118" i="15"/>
  <c r="B6" i="6"/>
  <c r="M6" i="6"/>
  <c r="P118" i="15"/>
  <c r="B14" i="6"/>
  <c r="M14" i="6"/>
  <c r="X118" i="15"/>
  <c r="B22" i="6"/>
  <c r="M22" i="6"/>
  <c r="AF118" i="15"/>
  <c r="B30" i="6"/>
  <c r="M30" i="6"/>
  <c r="C118" i="15"/>
  <c r="D118" i="15"/>
  <c r="E118" i="15"/>
  <c r="B3" i="6"/>
  <c r="M3" i="6"/>
  <c r="F118" i="15"/>
  <c r="B4" i="6"/>
  <c r="M4" i="6"/>
  <c r="G118" i="15"/>
  <c r="B5" i="6"/>
  <c r="M5" i="6"/>
  <c r="I118" i="15"/>
  <c r="B7" i="6"/>
  <c r="M7" i="6"/>
  <c r="J118" i="15"/>
  <c r="B8" i="6"/>
  <c r="M8" i="6"/>
  <c r="K118" i="15"/>
  <c r="B9" i="6"/>
  <c r="M9" i="6"/>
  <c r="L118" i="15"/>
  <c r="B10" i="6"/>
  <c r="M10" i="6"/>
  <c r="M118" i="15"/>
  <c r="B11" i="6"/>
  <c r="M11" i="6"/>
  <c r="N118" i="15"/>
  <c r="B12" i="6"/>
  <c r="M12" i="6"/>
  <c r="O118" i="15"/>
  <c r="B13" i="6"/>
  <c r="M13" i="6"/>
  <c r="Q118" i="15"/>
  <c r="B15" i="6"/>
  <c r="M15" i="6"/>
  <c r="R118" i="15"/>
  <c r="B16" i="6"/>
  <c r="M16" i="6"/>
  <c r="S118" i="15"/>
  <c r="B17" i="6"/>
  <c r="M17" i="6"/>
  <c r="T118" i="15"/>
  <c r="B18" i="6"/>
  <c r="M18" i="6"/>
  <c r="U118" i="15"/>
  <c r="B19" i="6"/>
  <c r="M19" i="6"/>
  <c r="V118" i="15"/>
  <c r="B20" i="6"/>
  <c r="M20" i="6"/>
  <c r="W118" i="15"/>
  <c r="B21" i="6"/>
  <c r="M21" i="6"/>
  <c r="Y118" i="15"/>
  <c r="B23" i="6"/>
  <c r="M23" i="6"/>
  <c r="Z118" i="15"/>
  <c r="B24" i="6"/>
  <c r="M24" i="6"/>
  <c r="AA118" i="15"/>
  <c r="B25" i="6"/>
  <c r="M25" i="6"/>
  <c r="AB118" i="15"/>
  <c r="B26" i="6"/>
  <c r="M26" i="6"/>
  <c r="AC118" i="15"/>
  <c r="B27" i="6"/>
  <c r="M27" i="6"/>
  <c r="AD118" i="15"/>
  <c r="B28" i="6"/>
  <c r="M28" i="6"/>
  <c r="AE118" i="15"/>
  <c r="B29" i="6"/>
  <c r="M29" i="6"/>
  <c r="AG118" i="15"/>
  <c r="B31" i="6"/>
  <c r="M31" i="6"/>
  <c r="AH118" i="15"/>
  <c r="B32" i="6"/>
  <c r="M32" i="6"/>
  <c r="AI118" i="15"/>
  <c r="B33" i="6"/>
  <c r="M33" i="6"/>
  <c r="AJ118" i="15"/>
  <c r="B34" i="6"/>
  <c r="M34" i="6"/>
  <c r="AK118" i="15"/>
  <c r="B35" i="6"/>
  <c r="M35" i="6"/>
  <c r="AL118" i="15"/>
  <c r="B36" i="6"/>
  <c r="M36" i="6"/>
  <c r="C119" i="15"/>
  <c r="D119" i="15"/>
  <c r="E119" i="15"/>
  <c r="C3" i="6"/>
  <c r="F119" i="15"/>
  <c r="C4" i="6"/>
  <c r="G119" i="15"/>
  <c r="C5" i="6"/>
  <c r="H119" i="15"/>
  <c r="C6" i="6"/>
  <c r="I119" i="15"/>
  <c r="C7" i="6"/>
  <c r="J119" i="15"/>
  <c r="C8" i="6"/>
  <c r="L119" i="15"/>
  <c r="C10" i="6"/>
  <c r="M119" i="15"/>
  <c r="C11" i="6"/>
  <c r="N119" i="15"/>
  <c r="C12" i="6"/>
  <c r="O119" i="15"/>
  <c r="C13" i="6"/>
  <c r="P119" i="15"/>
  <c r="C14" i="6"/>
  <c r="Q119" i="15"/>
  <c r="C15" i="6"/>
  <c r="R119" i="15"/>
  <c r="C16" i="6"/>
  <c r="T119" i="15"/>
  <c r="C18" i="6"/>
  <c r="U119" i="15"/>
  <c r="C19" i="6"/>
  <c r="V119" i="15"/>
  <c r="C20" i="6"/>
  <c r="W119" i="15"/>
  <c r="C21" i="6"/>
  <c r="X119" i="15"/>
  <c r="C22" i="6"/>
  <c r="Y119" i="15"/>
  <c r="C23" i="6"/>
  <c r="Z119" i="15"/>
  <c r="C24" i="6"/>
  <c r="AB119" i="15"/>
  <c r="C26" i="6"/>
  <c r="AC119" i="15"/>
  <c r="C27" i="6"/>
  <c r="AD119" i="15"/>
  <c r="C28" i="6"/>
  <c r="AE119" i="15"/>
  <c r="C29" i="6"/>
  <c r="AF119" i="15"/>
  <c r="C30" i="6"/>
  <c r="AG119" i="15"/>
  <c r="C31" i="6"/>
  <c r="AH119" i="15"/>
  <c r="C32" i="6"/>
  <c r="AJ119" i="15"/>
  <c r="C34" i="6"/>
  <c r="AK119" i="15"/>
  <c r="C35" i="6"/>
  <c r="AL119" i="15"/>
  <c r="C36" i="6"/>
  <c r="C120" i="15"/>
  <c r="D120" i="15"/>
  <c r="E120" i="15"/>
  <c r="D3" i="6"/>
  <c r="G120" i="15"/>
  <c r="D5" i="6"/>
  <c r="H120" i="15"/>
  <c r="D6" i="6"/>
  <c r="I120" i="15"/>
  <c r="D7" i="6"/>
  <c r="J120" i="15"/>
  <c r="D8" i="6"/>
  <c r="K120" i="15"/>
  <c r="D9" i="6"/>
  <c r="L120" i="15"/>
  <c r="D10" i="6"/>
  <c r="M120" i="15"/>
  <c r="D11" i="6"/>
  <c r="O120" i="15"/>
  <c r="D13" i="6"/>
  <c r="P120" i="15"/>
  <c r="D14" i="6"/>
  <c r="Q120" i="15"/>
  <c r="D15" i="6"/>
  <c r="R120" i="15"/>
  <c r="D16" i="6"/>
  <c r="S120" i="15"/>
  <c r="D17" i="6"/>
  <c r="T120" i="15"/>
  <c r="D18" i="6"/>
  <c r="U120" i="15"/>
  <c r="D19" i="6"/>
  <c r="W120" i="15"/>
  <c r="D21" i="6"/>
  <c r="X120" i="15"/>
  <c r="D22" i="6"/>
  <c r="Y120" i="15"/>
  <c r="D23" i="6"/>
  <c r="Z120" i="15"/>
  <c r="D24" i="6"/>
  <c r="AA120" i="15"/>
  <c r="D25" i="6"/>
  <c r="AB120" i="15"/>
  <c r="D26" i="6"/>
  <c r="AC120" i="15"/>
  <c r="D27" i="6"/>
  <c r="AE120" i="15"/>
  <c r="D29" i="6"/>
  <c r="AF120" i="15"/>
  <c r="D30" i="6"/>
  <c r="AG120" i="15"/>
  <c r="D31" i="6"/>
  <c r="AH120" i="15"/>
  <c r="D32" i="6"/>
  <c r="AI120" i="15"/>
  <c r="D33" i="6"/>
  <c r="AJ120" i="15"/>
  <c r="D34" i="6"/>
  <c r="AK120" i="15"/>
  <c r="D35" i="6"/>
  <c r="D121" i="15"/>
  <c r="E121" i="15"/>
  <c r="E3" i="6"/>
  <c r="F121" i="15"/>
  <c r="E4" i="6"/>
  <c r="G121" i="15"/>
  <c r="E5" i="6"/>
  <c r="H121" i="15"/>
  <c r="E6" i="6"/>
  <c r="J121" i="15"/>
  <c r="E8" i="6"/>
  <c r="K121" i="15"/>
  <c r="E9" i="6"/>
  <c r="L121" i="15"/>
  <c r="E10" i="6"/>
  <c r="M121" i="15"/>
  <c r="E11" i="6"/>
  <c r="N121" i="15"/>
  <c r="E12" i="6"/>
  <c r="O121" i="15"/>
  <c r="E13" i="6"/>
  <c r="P121" i="15"/>
  <c r="E14" i="6"/>
  <c r="R121" i="15"/>
  <c r="E16" i="6"/>
  <c r="S121" i="15"/>
  <c r="E17" i="6"/>
  <c r="T121" i="15"/>
  <c r="E18" i="6"/>
  <c r="U121" i="15"/>
  <c r="E19" i="6"/>
  <c r="V121" i="15"/>
  <c r="E20" i="6"/>
  <c r="W121" i="15"/>
  <c r="E21" i="6"/>
  <c r="X121" i="15"/>
  <c r="E22" i="6"/>
  <c r="Z121" i="15"/>
  <c r="E24" i="6"/>
  <c r="AA121" i="15"/>
  <c r="E25" i="6"/>
  <c r="AB121" i="15"/>
  <c r="E26" i="6"/>
  <c r="AC121" i="15"/>
  <c r="E27" i="6"/>
  <c r="AD121" i="15"/>
  <c r="E28" i="6"/>
  <c r="AE121" i="15"/>
  <c r="E29" i="6"/>
  <c r="AF121" i="15"/>
  <c r="E30" i="6"/>
  <c r="AH121" i="15"/>
  <c r="E32" i="6"/>
  <c r="AI121" i="15"/>
  <c r="E33" i="6"/>
  <c r="AJ121" i="15"/>
  <c r="E34" i="6"/>
  <c r="AK121" i="15"/>
  <c r="E35" i="6"/>
  <c r="AL121" i="15"/>
  <c r="E36" i="6"/>
  <c r="C122" i="15"/>
  <c r="D122" i="15"/>
  <c r="E122" i="15"/>
  <c r="I3" i="6"/>
  <c r="F122" i="15"/>
  <c r="I4" i="6"/>
  <c r="G122" i="15"/>
  <c r="I5" i="6"/>
  <c r="H122" i="15"/>
  <c r="I6" i="6"/>
  <c r="I122" i="15"/>
  <c r="I7" i="6"/>
  <c r="J122" i="15"/>
  <c r="I8" i="6"/>
  <c r="K122" i="15"/>
  <c r="I9" i="6"/>
  <c r="L122" i="15"/>
  <c r="I10" i="6"/>
  <c r="M122" i="15"/>
  <c r="I11" i="6"/>
  <c r="N122" i="15"/>
  <c r="I12" i="6"/>
  <c r="O122" i="15"/>
  <c r="I13" i="6"/>
  <c r="P122" i="15"/>
  <c r="I14" i="6"/>
  <c r="Q122" i="15"/>
  <c r="I15" i="6"/>
  <c r="R122" i="15"/>
  <c r="I16" i="6"/>
  <c r="S122" i="15"/>
  <c r="I17" i="6"/>
  <c r="T122" i="15"/>
  <c r="I18" i="6"/>
  <c r="U122" i="15"/>
  <c r="I19" i="6"/>
  <c r="V122" i="15"/>
  <c r="I20" i="6"/>
  <c r="W122" i="15"/>
  <c r="I21" i="6"/>
  <c r="X122" i="15"/>
  <c r="I22" i="6"/>
  <c r="Y122" i="15"/>
  <c r="I23" i="6"/>
  <c r="Z122" i="15"/>
  <c r="I24" i="6"/>
  <c r="AA122" i="15"/>
  <c r="I25" i="6"/>
  <c r="AB122" i="15"/>
  <c r="I26" i="6"/>
  <c r="AC122" i="15"/>
  <c r="I27" i="6"/>
  <c r="AD122" i="15"/>
  <c r="I28" i="6"/>
  <c r="AE122" i="15"/>
  <c r="I29" i="6"/>
  <c r="AF122" i="15"/>
  <c r="I30" i="6"/>
  <c r="AG122" i="15"/>
  <c r="I31" i="6"/>
  <c r="AH122" i="15"/>
  <c r="I32" i="6"/>
  <c r="AI122" i="15"/>
  <c r="I33" i="6"/>
  <c r="AJ122" i="15"/>
  <c r="I34" i="6"/>
  <c r="AK122" i="15"/>
  <c r="I35" i="6"/>
  <c r="AL122" i="15"/>
  <c r="I36" i="6"/>
  <c r="C123" i="15"/>
  <c r="D123" i="15"/>
  <c r="E123" i="15"/>
  <c r="J3" i="6"/>
  <c r="F123" i="15"/>
  <c r="J4" i="6"/>
  <c r="G123" i="15"/>
  <c r="J5" i="6"/>
  <c r="H123" i="15"/>
  <c r="J6" i="6"/>
  <c r="I123" i="15"/>
  <c r="J7" i="6"/>
  <c r="J123" i="15"/>
  <c r="J8" i="6"/>
  <c r="K123" i="15"/>
  <c r="J9" i="6"/>
  <c r="L123" i="15"/>
  <c r="J10" i="6"/>
  <c r="M123" i="15"/>
  <c r="J11" i="6"/>
  <c r="N123" i="15"/>
  <c r="J12" i="6"/>
  <c r="O123" i="15"/>
  <c r="J13" i="6"/>
  <c r="P123" i="15"/>
  <c r="J14" i="6"/>
  <c r="Q123" i="15"/>
  <c r="J15" i="6"/>
  <c r="R123" i="15"/>
  <c r="J16" i="6"/>
  <c r="S123" i="15"/>
  <c r="J17" i="6"/>
  <c r="T123" i="15"/>
  <c r="J18" i="6"/>
  <c r="U123" i="15"/>
  <c r="J19" i="6"/>
  <c r="V123" i="15"/>
  <c r="J20" i="6"/>
  <c r="W123" i="15"/>
  <c r="J21" i="6"/>
  <c r="X123" i="15"/>
  <c r="J22" i="6"/>
  <c r="Y123" i="15"/>
  <c r="J23" i="6"/>
  <c r="Z123" i="15"/>
  <c r="J24" i="6"/>
  <c r="AA123" i="15"/>
  <c r="J25" i="6"/>
  <c r="AB123" i="15"/>
  <c r="J26" i="6"/>
  <c r="AC123" i="15"/>
  <c r="J27" i="6"/>
  <c r="AD123" i="15"/>
  <c r="J28" i="6"/>
  <c r="AE123" i="15"/>
  <c r="J29" i="6"/>
  <c r="AF123" i="15"/>
  <c r="J30" i="6"/>
  <c r="AG123" i="15"/>
  <c r="J31" i="6"/>
  <c r="AH123" i="15"/>
  <c r="J32" i="6"/>
  <c r="AI123" i="15"/>
  <c r="J33" i="6"/>
  <c r="AJ123" i="15"/>
  <c r="J34" i="6"/>
  <c r="AK123" i="15"/>
  <c r="J35" i="6"/>
  <c r="AL123" i="15"/>
  <c r="J36" i="6"/>
  <c r="C124" i="15"/>
  <c r="D124" i="15"/>
  <c r="E124" i="15"/>
  <c r="L3" i="6"/>
  <c r="F124" i="15"/>
  <c r="L4" i="6"/>
  <c r="G124" i="15"/>
  <c r="L5" i="6"/>
  <c r="H124" i="15"/>
  <c r="L6" i="6"/>
  <c r="I124" i="15"/>
  <c r="L7" i="6"/>
  <c r="J124" i="15"/>
  <c r="L8" i="6"/>
  <c r="K124" i="15"/>
  <c r="L9" i="6"/>
  <c r="L124" i="15"/>
  <c r="L10" i="6"/>
  <c r="M124" i="15"/>
  <c r="L11" i="6"/>
  <c r="N124" i="15"/>
  <c r="L12" i="6"/>
  <c r="O124" i="15"/>
  <c r="L13" i="6"/>
  <c r="P124" i="15"/>
  <c r="L14" i="6"/>
  <c r="Q124" i="15"/>
  <c r="L15" i="6"/>
  <c r="R124" i="15"/>
  <c r="L16" i="6"/>
  <c r="S124" i="15"/>
  <c r="L17" i="6"/>
  <c r="T124" i="15"/>
  <c r="L18" i="6"/>
  <c r="U124" i="15"/>
  <c r="L19" i="6"/>
  <c r="V124" i="15"/>
  <c r="L20" i="6"/>
  <c r="W124" i="15"/>
  <c r="L21" i="6"/>
  <c r="X124" i="15"/>
  <c r="L22" i="6"/>
  <c r="Y124" i="15"/>
  <c r="L23" i="6"/>
  <c r="Z124" i="15"/>
  <c r="L24" i="6"/>
  <c r="AA124" i="15"/>
  <c r="L25" i="6"/>
  <c r="AB124" i="15"/>
  <c r="L26" i="6"/>
  <c r="AC124" i="15"/>
  <c r="L27" i="6"/>
  <c r="AD124" i="15"/>
  <c r="L28" i="6"/>
  <c r="AE124" i="15"/>
  <c r="L29" i="6"/>
  <c r="AF124" i="15"/>
  <c r="L30" i="6"/>
  <c r="AG124" i="15"/>
  <c r="L31" i="6"/>
  <c r="AH124" i="15"/>
  <c r="L32" i="6"/>
  <c r="AI124" i="15"/>
  <c r="L33" i="6"/>
  <c r="AJ124" i="15"/>
  <c r="L34" i="6"/>
  <c r="AK124" i="15"/>
  <c r="L35" i="6"/>
  <c r="AL124" i="15"/>
  <c r="L36" i="6"/>
  <c r="B119" i="15"/>
  <c r="B120" i="15"/>
  <c r="B121" i="15"/>
  <c r="B122" i="15"/>
  <c r="B123" i="15"/>
  <c r="B124" i="15"/>
  <c r="B118" i="15"/>
  <c r="I16" i="24"/>
  <c r="F9" i="6"/>
  <c r="J26" i="24"/>
  <c r="N19" i="6"/>
  <c r="K26" i="24"/>
  <c r="G19" i="6"/>
  <c r="I27" i="24"/>
  <c r="F20" i="6"/>
  <c r="J16" i="24"/>
  <c r="N9" i="6"/>
  <c r="L16" i="24"/>
  <c r="K16" i="24"/>
  <c r="G10" i="6"/>
  <c r="L17" i="24"/>
  <c r="H10" i="6"/>
  <c r="I28" i="24"/>
  <c r="F21" i="6"/>
  <c r="J27" i="24"/>
  <c r="N20" i="6"/>
  <c r="J17" i="24"/>
  <c r="N10" i="6"/>
  <c r="K27" i="24"/>
  <c r="G20" i="6"/>
  <c r="I17" i="24"/>
  <c r="F10" i="6"/>
  <c r="K17" i="24"/>
  <c r="G11" i="6"/>
  <c r="I18" i="24"/>
  <c r="F11" i="6"/>
  <c r="J18" i="24"/>
  <c r="N11" i="6"/>
  <c r="I29" i="24"/>
  <c r="F22" i="6"/>
  <c r="K28" i="24"/>
  <c r="G21" i="6"/>
  <c r="J28" i="24"/>
  <c r="N21" i="6"/>
  <c r="L18" i="24"/>
  <c r="H11" i="6"/>
  <c r="K18" i="24"/>
  <c r="G12" i="6"/>
  <c r="L19" i="24"/>
  <c r="H12" i="6"/>
  <c r="K29" i="24"/>
  <c r="G22" i="6"/>
  <c r="J19" i="24"/>
  <c r="N12" i="6"/>
  <c r="J29" i="24"/>
  <c r="N22" i="6"/>
  <c r="I30" i="24"/>
  <c r="F23" i="6"/>
  <c r="I19" i="24"/>
  <c r="F12" i="6"/>
  <c r="K19" i="24"/>
  <c r="G13" i="6"/>
  <c r="I20" i="24"/>
  <c r="F13" i="6"/>
  <c r="J30" i="24"/>
  <c r="N23" i="6"/>
  <c r="K30" i="24"/>
  <c r="G23" i="6"/>
  <c r="I31" i="24"/>
  <c r="F24" i="6"/>
  <c r="J20" i="24"/>
  <c r="N13" i="6"/>
  <c r="L20" i="24"/>
  <c r="H13" i="6"/>
  <c r="K20" i="24"/>
  <c r="G14" i="6"/>
  <c r="L21" i="24"/>
  <c r="H15" i="6"/>
  <c r="H14" i="6"/>
  <c r="I32" i="24"/>
  <c r="F25" i="6"/>
  <c r="J31" i="24"/>
  <c r="N24" i="6"/>
  <c r="J21" i="24"/>
  <c r="N15" i="6"/>
  <c r="N14" i="6"/>
  <c r="K31" i="24"/>
  <c r="G24" i="6"/>
  <c r="I21" i="24"/>
  <c r="F15" i="6"/>
  <c r="F14" i="6"/>
  <c r="K21" i="24"/>
  <c r="G15" i="6"/>
  <c r="I33" i="24"/>
  <c r="F26" i="6"/>
  <c r="K32" i="24"/>
  <c r="G25" i="6"/>
  <c r="J32" i="24"/>
  <c r="N25" i="6"/>
  <c r="K33" i="24"/>
  <c r="G26" i="6"/>
  <c r="J33" i="24"/>
  <c r="N26" i="6"/>
  <c r="I34" i="24"/>
  <c r="F27" i="6"/>
  <c r="J34" i="24"/>
  <c r="N27" i="6"/>
  <c r="I35" i="24"/>
  <c r="F28" i="6"/>
  <c r="K34" i="24"/>
  <c r="G27" i="6"/>
  <c r="I36" i="24"/>
  <c r="F29" i="6"/>
  <c r="K35" i="24"/>
  <c r="G28" i="6"/>
  <c r="J35" i="24"/>
  <c r="N28" i="6"/>
  <c r="K36" i="24"/>
  <c r="G29" i="6"/>
  <c r="J36" i="24"/>
  <c r="N29" i="6"/>
  <c r="I37" i="24"/>
  <c r="F30" i="6"/>
  <c r="J37" i="24"/>
  <c r="N30" i="6"/>
  <c r="I38" i="24"/>
  <c r="F31" i="6"/>
  <c r="K37" i="24"/>
  <c r="G30" i="6"/>
  <c r="I39" i="24"/>
  <c r="F32" i="6"/>
  <c r="K38" i="24"/>
  <c r="G31" i="6"/>
  <c r="J38" i="24"/>
  <c r="N31" i="6"/>
  <c r="K39" i="24"/>
  <c r="G32" i="6"/>
  <c r="J39" i="24"/>
  <c r="N32" i="6"/>
  <c r="I40" i="24"/>
  <c r="F33" i="6"/>
  <c r="J40" i="24"/>
  <c r="N33" i="6"/>
  <c r="I41" i="24"/>
  <c r="F35" i="6"/>
  <c r="F34" i="6"/>
  <c r="K40" i="24"/>
  <c r="G33" i="6"/>
  <c r="K41" i="24"/>
  <c r="G35" i="6"/>
  <c r="G34" i="6"/>
  <c r="J41" i="24"/>
  <c r="N35" i="6"/>
  <c r="N34" i="6"/>
</calcChain>
</file>

<file path=xl/sharedStrings.xml><?xml version="1.0" encoding="utf-8"?>
<sst xmlns="http://schemas.openxmlformats.org/spreadsheetml/2006/main" count="595" uniqueCount="362">
  <si>
    <t>CCaMC BAU Construction Cost per Unit Capacity</t>
    <phoneticPr fontId="8" type="noConversion"/>
  </si>
  <si>
    <t>CCaMC Annual Fixed O&amp;M Cost per Unit Capacity</t>
  </si>
  <si>
    <t>CCaMC Variable O&amp;M Cost per Unit Elec Output</t>
  </si>
  <si>
    <t>Sources:</t>
  </si>
  <si>
    <t>Capital Costs, Fixed O&amp;M, Variable O&amp;M (Except Hydro, Geothermal and Solar thermal)</t>
    <phoneticPr fontId="8" type="noConversion"/>
  </si>
  <si>
    <t>EIA Costs</t>
    <phoneticPr fontId="8" type="noConversion"/>
  </si>
  <si>
    <t>National Renewable Energy Lab</t>
  </si>
  <si>
    <t>Energy Information Administration</t>
  </si>
  <si>
    <t>Assumptions to Annual Energy Outlook 2015</t>
  </si>
  <si>
    <t>https://www.eia.gov/forecasts/aeo/assumptions/pdf/electricity.pdf</t>
    <phoneticPr fontId="8" type="noConversion"/>
  </si>
  <si>
    <t>Electricity Market Module, Page 105, Table 8.2</t>
  </si>
  <si>
    <t>Hydro and Geothermal Costs</t>
    <phoneticPr fontId="8" type="noConversion"/>
  </si>
  <si>
    <t>EIA LCOE</t>
    <phoneticPr fontId="8" type="noConversion"/>
  </si>
  <si>
    <t>IRENA</t>
  </si>
  <si>
    <t>Renewable power generation costs in 2017</t>
  </si>
  <si>
    <t>Levelized Cost and Levelized Avoided Cost of New Generation Resources in the Annual Energy Outlook 2016</t>
  </si>
  <si>
    <t>http://www.irena.org/-/media/Files/IRENA/Agency/Publication/2018/Jan/IRENA_2017_Power_Costs_2018.pdf</t>
  </si>
  <si>
    <t>https://www.eia.gov/outlooks/aeo/pdf/electricity_generation.pdf</t>
  </si>
  <si>
    <r>
      <rPr>
        <sz val="11"/>
        <rFont val="Calibri"/>
        <family val="3"/>
        <charset val="134"/>
        <scheme val="minor"/>
      </rPr>
      <t>"Download the chart data"</t>
    </r>
    <r>
      <rPr>
        <u/>
        <sz val="11"/>
        <color theme="10"/>
        <rFont val="Calibri"/>
        <family val="2"/>
        <scheme val="minor"/>
      </rPr>
      <t xml:space="preserve">
http://www.irena.org/publications/2018/Jan/Renewable-power-generation-costs-in-2017</t>
    </r>
    <phoneticPr fontId="8" type="noConversion"/>
  </si>
  <si>
    <t>Table 1b.</t>
  </si>
  <si>
    <t>Details in "Hydro and Geothermal" tab</t>
    <phoneticPr fontId="8" type="noConversion"/>
  </si>
  <si>
    <t>Cost Improvement Rate (Except Wind and Solar)</t>
    <phoneticPr fontId="8" type="noConversion"/>
  </si>
  <si>
    <t>Solar Thermal Costs</t>
    <phoneticPr fontId="8" type="noConversion"/>
  </si>
  <si>
    <t>World Energy Council</t>
  </si>
  <si>
    <t>Annual Technology Baseline (ATB) Spreadshett - 2016 Final</t>
  </si>
  <si>
    <t>World Energy Perspective: Cost of Energy Technologies</t>
    <phoneticPr fontId="8" type="noConversion"/>
  </si>
  <si>
    <t>http://www.nrel.gov/docs/fy16osti/66944-DA.xlsm</t>
  </si>
  <si>
    <t>https://www.worldenergy.org/wp-content/uploads/2013/09/WEC_J1143_CostofTECHNOLOGIES_021013_WEB_Final.pdf</t>
  </si>
  <si>
    <t>Page 26, Table 7</t>
    <phoneticPr fontId="8" type="noConversion"/>
  </si>
  <si>
    <t>Cost Improvement Rate (Wind and Solar)</t>
    <phoneticPr fontId="8" type="noConversion"/>
  </si>
  <si>
    <t>Gang He, Anne-Perrine Avrin, James H. Nelson, et al</t>
    <phoneticPr fontId="8" type="noConversion"/>
  </si>
  <si>
    <t>Supporting Information for "SWITCH-China: A Systems Approach to Decarbonize China’s Power System"</t>
    <phoneticPr fontId="8" type="noConversion"/>
  </si>
  <si>
    <t>https://pubs.acs.org/doi/suppl/10.1021/acs.est.6b01345/suppl_file/es6b01345_si_001.pdf</t>
    <phoneticPr fontId="8" type="noConversion"/>
  </si>
  <si>
    <t>Page S35-S36, Table SI-6, Table SI-7</t>
    <phoneticPr fontId="8" type="noConversion"/>
  </si>
  <si>
    <t>Natural gas peaker, Petroleum &amp; Lignite</t>
    <phoneticPr fontId="8" type="noConversion"/>
  </si>
  <si>
    <t>See notes below</t>
    <phoneticPr fontId="8" type="noConversion"/>
  </si>
  <si>
    <t>Notes:</t>
  </si>
  <si>
    <t>Our general approach is to take start year capital costs and</t>
    <phoneticPr fontId="8" type="noConversion"/>
  </si>
  <si>
    <t>cause them to decline at the same rate as costs declined in projections in relevant studies.</t>
    <phoneticPr fontId="8" type="noConversion"/>
  </si>
  <si>
    <t>According to the NREL report,</t>
    <phoneticPr fontId="8" type="noConversion"/>
  </si>
  <si>
    <t>"the CREAMEDO data are representative of the cost of technologies projected to be installed in China between 2010 and 2019",</t>
    <phoneticPr fontId="8" type="noConversion"/>
  </si>
  <si>
    <t>so we assume the data applies for both the start year and the present.</t>
    <phoneticPr fontId="8" type="noConversion"/>
  </si>
  <si>
    <t xml:space="preserve">For hydro, geothermal and solar thermal, the O&amp;M costs are levelized. </t>
    <phoneticPr fontId="8" type="noConversion"/>
  </si>
  <si>
    <t xml:space="preserve">To estimate the share of fixed and variable costs, we look at the share in the US for new power plants </t>
    <phoneticPr fontId="8" type="noConversion"/>
  </si>
  <si>
    <t>based on the total amount of annual O&amp;M expenses, and apportion the China data.</t>
    <phoneticPr fontId="8" type="noConversion"/>
  </si>
  <si>
    <t>For geothermal, we use the global estimate as costs in China.</t>
    <phoneticPr fontId="8" type="noConversion"/>
  </si>
  <si>
    <t>For natural gas peaker, we multifly the results of peaker by the ratio of their costs in the US for estimation.</t>
    <phoneticPr fontId="8" type="noConversion"/>
  </si>
  <si>
    <t>For lignite, we assume the values the same as hard coal, although their variable costs can be different.</t>
    <phoneticPr fontId="8" type="noConversion"/>
  </si>
  <si>
    <t xml:space="preserve">For petroleum, we cannot find related research (possibly because petro power plants are </t>
    <phoneticPr fontId="8" type="noConversion"/>
  </si>
  <si>
    <t>are rare in China: https://www.iea.org/statistics/?country=CHINA&amp;year=2016&amp;category=Electricity&amp;indicator=undefined&amp;mode=chart&amp;categoryBrowse=true&amp;dataTable=ELECTRICITYANDHEAT),</t>
    <phoneticPr fontId="8" type="noConversion"/>
  </si>
  <si>
    <t>so we substitute the cells with the US data.</t>
    <phoneticPr fontId="8" type="noConversion"/>
  </si>
  <si>
    <t>Currency Year Adjustment</t>
  </si>
  <si>
    <t>We adjust 2016 dollars to 2012 dollars using the following conversion factor:</t>
    <phoneticPr fontId="8" type="noConversion"/>
  </si>
  <si>
    <t>We adjust 2014 dollars to 2012 dollars using the following conversion factor:</t>
  </si>
  <si>
    <t>See "cpi.xlsx" in the InputData folder for source information.</t>
  </si>
  <si>
    <t>Type</t>
    <phoneticPr fontId="8" type="noConversion"/>
  </si>
  <si>
    <t>CAPEX($/kW)</t>
    <phoneticPr fontId="8" type="noConversion"/>
  </si>
  <si>
    <t>Fixed Annual O&amp;M($/kW)</t>
    <phoneticPr fontId="8" type="noConversion"/>
  </si>
  <si>
    <t>Variable O&amp;M($/MWh)</t>
    <phoneticPr fontId="8" type="noConversion"/>
  </si>
  <si>
    <t>ATB</t>
    <phoneticPr fontId="8" type="noConversion"/>
  </si>
  <si>
    <t>EDO</t>
    <phoneticPr fontId="8" type="noConversion"/>
  </si>
  <si>
    <t>Wind-Onshore</t>
    <phoneticPr fontId="8" type="noConversion"/>
  </si>
  <si>
    <t>Wind-Offshore</t>
    <phoneticPr fontId="8" type="noConversion"/>
  </si>
  <si>
    <t>Solar-PV</t>
    <phoneticPr fontId="8" type="noConversion"/>
  </si>
  <si>
    <t>Gas-CC</t>
    <phoneticPr fontId="8" type="noConversion"/>
  </si>
  <si>
    <t>Coal-new</t>
    <phoneticPr fontId="8" type="noConversion"/>
  </si>
  <si>
    <t>Biomass</t>
    <phoneticPr fontId="8" type="noConversion"/>
  </si>
  <si>
    <t>Nuclear</t>
    <phoneticPr fontId="8" type="noConversion"/>
  </si>
  <si>
    <t>Installed Cost (USD/kW)</t>
    <phoneticPr fontId="8" type="noConversion"/>
  </si>
  <si>
    <t>O&amp;M Cost (USD/kW/y)</t>
    <phoneticPr fontId="8" type="noConversion"/>
  </si>
  <si>
    <t>Capacity Factor</t>
    <phoneticPr fontId="8" type="noConversion"/>
  </si>
  <si>
    <t>Note on O&amp;M Cost</t>
    <phoneticPr fontId="8" type="noConversion"/>
  </si>
  <si>
    <t>Hydro</t>
    <phoneticPr fontId="8" type="noConversion"/>
  </si>
  <si>
    <t xml:space="preserve">Page 122, para 2 (we average the world's range from USD 20-60 kW/y) </t>
    <phoneticPr fontId="8" type="noConversion"/>
  </si>
  <si>
    <t>Geothermal</t>
    <phoneticPr fontId="8" type="noConversion"/>
  </si>
  <si>
    <t>Page 141, para 1</t>
    <phoneticPr fontId="8" type="noConversion"/>
  </si>
  <si>
    <t>Figure 6.2 Total installed cost ranges and weighted averages for hydropower projects by country/region, 2010-2016</t>
  </si>
  <si>
    <t>Figure 8.1 Geothermal power total installed costs by project, technology and capacity, 2007-2020</t>
  </si>
  <si>
    <t>Weighted average 2016 USD/kW</t>
  </si>
  <si>
    <t>5th percentile</t>
  </si>
  <si>
    <t>Region</t>
  </si>
  <si>
    <t>95th percentile</t>
  </si>
  <si>
    <t>Year</t>
  </si>
  <si>
    <t>MAX (2016 USD/kW)</t>
  </si>
  <si>
    <t>MIN (2016 USD/kW)</t>
  </si>
  <si>
    <t>Africa</t>
  </si>
  <si>
    <t>Brazil</t>
  </si>
  <si>
    <t>Central America and the Caribbean</t>
  </si>
  <si>
    <t>China</t>
  </si>
  <si>
    <t>Eurasia</t>
  </si>
  <si>
    <t>Europe</t>
  </si>
  <si>
    <t>India</t>
  </si>
  <si>
    <t>Middle East</t>
  </si>
  <si>
    <t>North America</t>
  </si>
  <si>
    <t>Oceania</t>
  </si>
  <si>
    <t>Other Asia</t>
  </si>
  <si>
    <t>Other South America</t>
  </si>
  <si>
    <t>Figure 6.5 Hydropower project capacity factors and capacity weighted averages for large and small hydropower projects by country/region, 2010-2016</t>
  </si>
  <si>
    <t>Figure 8.2 Capacity factors of new geothermal power plants by technology and project size, 2007-2020</t>
  </si>
  <si>
    <t>Category</t>
  </si>
  <si>
    <t>Weighted average capacity factor %</t>
  </si>
  <si>
    <t>MAX capacity factor</t>
  </si>
  <si>
    <t>MIN capacity factor</t>
  </si>
  <si>
    <t>Large</t>
  </si>
  <si>
    <t>Small</t>
  </si>
  <si>
    <t>CAPEX (USDm/MW)</t>
    <phoneticPr fontId="8" type="noConversion"/>
  </si>
  <si>
    <t xml:space="preserve"> OPEX (USD/MW/yr)</t>
  </si>
  <si>
    <t>Capacity factor (%)</t>
  </si>
  <si>
    <t>LCOE (USD/MWh)</t>
  </si>
  <si>
    <t>Solar thermal (parabolic trough)</t>
    <phoneticPr fontId="8" type="noConversion"/>
  </si>
  <si>
    <t>3.08-4.55</t>
    <phoneticPr fontId="8" type="noConversion"/>
  </si>
  <si>
    <t>44000-45000</t>
    <phoneticPr fontId="8" type="noConversion"/>
  </si>
  <si>
    <t>24-28</t>
    <phoneticPr fontId="8" type="noConversion"/>
  </si>
  <si>
    <t>123-248</t>
    <phoneticPr fontId="8" type="noConversion"/>
  </si>
  <si>
    <t>Model Subscript</t>
  </si>
  <si>
    <t>Model Power Plant Quality</t>
  </si>
  <si>
    <t>EIA Technology Name</t>
  </si>
  <si>
    <t>Variable O&amp;M (2013 $/MWh)</t>
  </si>
  <si>
    <t>Fixed O&amp;M (2013 $/kW/yr)</t>
  </si>
  <si>
    <t>hard coal</t>
  </si>
  <si>
    <t>preexisting retiring</t>
  </si>
  <si>
    <t>newly built</t>
  </si>
  <si>
    <t>natural gas nonpeaker</t>
  </si>
  <si>
    <t>Conventional Gas/Oil Combined Cycle</t>
  </si>
  <si>
    <t>natural gas peaker</t>
  </si>
  <si>
    <t>Conventional Combustion Turbine</t>
  </si>
  <si>
    <t>nuclear</t>
  </si>
  <si>
    <t>both</t>
  </si>
  <si>
    <t>biomass</t>
  </si>
  <si>
    <t>geothermal</t>
  </si>
  <si>
    <t>Geothermal</t>
  </si>
  <si>
    <t>hydro</t>
  </si>
  <si>
    <t>Conventional Hydropower</t>
  </si>
  <si>
    <t>onshore wind</t>
  </si>
  <si>
    <t>offshore wind</t>
  </si>
  <si>
    <t>solar thermal</t>
  </si>
  <si>
    <t>Solar Thermal</t>
  </si>
  <si>
    <t>solar PV</t>
  </si>
  <si>
    <t>We do not use the values in red because they exceed real-world observed costs.  We use other sources for</t>
  </si>
  <si>
    <t>wind and solar PV capital costs.</t>
  </si>
  <si>
    <r>
      <rPr>
        <b/>
        <sz val="12"/>
        <color rgb="FF1396D8"/>
        <rFont val="Calibri"/>
        <family val="2"/>
      </rPr>
      <t>Table 1b. Estimated LCOE (simple average of regional values) for new generation resources, for plants</t>
    </r>
  </si>
  <si>
    <t>Annual Variable O&amp;M (2013$/MW)</t>
    <phoneticPr fontId="8" type="noConversion"/>
  </si>
  <si>
    <t>Annual Fixed O&amp;M (2013$/MW)</t>
    <phoneticPr fontId="8" type="noConversion"/>
  </si>
  <si>
    <t>Variable Share of Annual O&amp;M</t>
  </si>
  <si>
    <r>
      <rPr>
        <b/>
        <sz val="12"/>
        <color rgb="FF1396D8"/>
        <rFont val="Calibri"/>
        <family val="2"/>
      </rPr>
      <t>entering service in 2022</t>
    </r>
  </si>
  <si>
    <r>
      <rPr>
        <b/>
        <u/>
        <sz val="9"/>
        <rFont val="Calibri"/>
        <family val="2"/>
      </rPr>
      <t>   U.S. Average LCOE (2015 $/MWh) for Plants Entering Service in 2022                                                 </t>
    </r>
  </si>
  <si>
    <r>
      <rPr>
        <b/>
        <sz val="9"/>
        <rFont val="Calibri"/>
        <family val="2"/>
      </rPr>
      <t>Capacity</t>
    </r>
  </si>
  <si>
    <r>
      <rPr>
        <b/>
        <sz val="9"/>
        <rFont val="Calibri"/>
        <family val="2"/>
      </rPr>
      <t>Levelized</t>
    </r>
  </si>
  <si>
    <r>
      <rPr>
        <b/>
        <sz val="9"/>
        <rFont val="Calibri"/>
        <family val="2"/>
      </rPr>
      <t xml:space="preserve">Variable
</t>
    </r>
    <r>
      <rPr>
        <b/>
        <sz val="9"/>
        <rFont val="Calibri"/>
        <family val="2"/>
      </rPr>
      <t>O&amp;M</t>
    </r>
  </si>
  <si>
    <r>
      <rPr>
        <b/>
        <sz val="9"/>
        <rFont val="Calibri"/>
        <family val="2"/>
      </rPr>
      <t>Total</t>
    </r>
  </si>
  <si>
    <r>
      <rPr>
        <b/>
        <sz val="9"/>
        <rFont val="Calibri"/>
        <family val="2"/>
      </rPr>
      <t>Total LCOE</t>
    </r>
  </si>
  <si>
    <r>
      <rPr>
        <b/>
        <sz val="9"/>
        <rFont val="Calibri"/>
        <family val="2"/>
      </rPr>
      <t>Factor</t>
    </r>
  </si>
  <si>
    <r>
      <rPr>
        <b/>
        <sz val="9"/>
        <rFont val="Calibri"/>
        <family val="2"/>
      </rPr>
      <t>Capital</t>
    </r>
  </si>
  <si>
    <r>
      <rPr>
        <b/>
        <sz val="9"/>
        <rFont val="Calibri"/>
        <family val="2"/>
      </rPr>
      <t>Fixed</t>
    </r>
  </si>
  <si>
    <r>
      <rPr>
        <b/>
        <sz val="9"/>
        <rFont val="Calibri"/>
        <family val="2"/>
      </rPr>
      <t>(including</t>
    </r>
  </si>
  <si>
    <r>
      <rPr>
        <b/>
        <sz val="9"/>
        <rFont val="Calibri"/>
        <family val="2"/>
      </rPr>
      <t>Transmission</t>
    </r>
  </si>
  <si>
    <r>
      <rPr>
        <b/>
        <sz val="9"/>
        <rFont val="Calibri"/>
        <family val="2"/>
      </rPr>
      <t>System</t>
    </r>
  </si>
  <si>
    <r>
      <rPr>
        <b/>
        <sz val="9"/>
        <rFont val="Calibri"/>
        <family val="2"/>
      </rPr>
      <t>including</t>
    </r>
  </si>
  <si>
    <r>
      <rPr>
        <b/>
        <sz val="9"/>
        <rFont val="Calibri"/>
        <family val="2"/>
      </rPr>
      <t>Plant Type</t>
    </r>
  </si>
  <si>
    <r>
      <rPr>
        <b/>
        <sz val="9"/>
        <rFont val="Calibri"/>
        <family val="2"/>
      </rPr>
      <t>(%)</t>
    </r>
  </si>
  <si>
    <r>
      <rPr>
        <b/>
        <sz val="9"/>
        <rFont val="Calibri"/>
        <family val="2"/>
      </rPr>
      <t>Cost</t>
    </r>
  </si>
  <si>
    <r>
      <rPr>
        <b/>
        <sz val="9"/>
        <rFont val="Calibri"/>
        <family val="2"/>
      </rPr>
      <t>O&amp;M</t>
    </r>
  </si>
  <si>
    <r>
      <rPr>
        <b/>
        <sz val="9"/>
        <rFont val="Calibri"/>
        <family val="2"/>
      </rPr>
      <t>fuel)</t>
    </r>
  </si>
  <si>
    <r>
      <rPr>
        <b/>
        <sz val="9"/>
        <rFont val="Calibri"/>
        <family val="2"/>
      </rPr>
      <t>Investment</t>
    </r>
  </si>
  <si>
    <r>
      <rPr>
        <b/>
        <sz val="9"/>
        <rFont val="Calibri"/>
        <family val="2"/>
      </rPr>
      <t>LCOE</t>
    </r>
  </si>
  <si>
    <r>
      <rPr>
        <b/>
        <sz val="9"/>
        <rFont val="Calibri"/>
        <family val="2"/>
      </rPr>
      <t>Tax Credit</t>
    </r>
  </si>
  <si>
    <r>
      <rPr>
        <b/>
        <sz val="9"/>
        <rFont val="Calibri"/>
        <family val="2"/>
      </rPr>
      <t>Tax Credit</t>
    </r>
    <r>
      <rPr>
        <b/>
        <sz val="6"/>
        <rFont val="Calibri"/>
        <family val="2"/>
      </rPr>
      <t>1</t>
    </r>
  </si>
  <si>
    <r>
      <rPr>
        <b/>
        <sz val="9"/>
        <rFont val="Calibri"/>
        <family val="2"/>
      </rPr>
      <t>Dispatchable Technologies</t>
    </r>
  </si>
  <si>
    <r>
      <rPr>
        <sz val="9"/>
        <rFont val="Calibri"/>
        <family val="2"/>
      </rPr>
      <t>Advanced Coal with CCS</t>
    </r>
    <r>
      <rPr>
        <sz val="6"/>
        <rFont val="Calibri"/>
        <family val="2"/>
      </rPr>
      <t>2</t>
    </r>
  </si>
  <si>
    <r>
      <rPr>
        <sz val="9"/>
        <color rgb="FFAEAEAE"/>
        <rFont val="Calibri"/>
        <family val="2"/>
      </rPr>
      <t>N/A</t>
    </r>
  </si>
  <si>
    <r>
      <rPr>
        <sz val="9"/>
        <rFont val="Calibri"/>
        <family val="2"/>
      </rPr>
      <t>Natural Gas-fired</t>
    </r>
  </si>
  <si>
    <r>
      <rPr>
        <sz val="9"/>
        <rFont val="Calibri"/>
        <family val="2"/>
      </rPr>
      <t>Conventional Combined Cycle</t>
    </r>
  </si>
  <si>
    <r>
      <rPr>
        <sz val="9"/>
        <rFont val="Calibri"/>
        <family val="2"/>
      </rPr>
      <t>Advanced Combined Cycle</t>
    </r>
  </si>
  <si>
    <r>
      <rPr>
        <sz val="9"/>
        <rFont val="Calibri"/>
        <family val="2"/>
      </rPr>
      <t>Advanced CC with CCS</t>
    </r>
  </si>
  <si>
    <r>
      <rPr>
        <sz val="9"/>
        <rFont val="Calibri"/>
        <family val="2"/>
      </rPr>
      <t>Conventional Combustion</t>
    </r>
  </si>
  <si>
    <r>
      <rPr>
        <u/>
        <sz val="9"/>
        <rFont val="Calibri"/>
        <family val="2"/>
      </rPr>
      <t>         Turbine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  </r>
  </si>
  <si>
    <r>
      <rPr>
        <sz val="9"/>
        <rFont val="Calibri"/>
        <family val="2"/>
      </rPr>
      <t>Advanced Combustion Turbine</t>
    </r>
  </si>
  <si>
    <r>
      <rPr>
        <sz val="9"/>
        <rFont val="Calibri"/>
        <family val="2"/>
      </rPr>
      <t>Advanced Nuclear</t>
    </r>
  </si>
  <si>
    <r>
      <rPr>
        <sz val="9"/>
        <rFont val="Calibri"/>
        <family val="2"/>
      </rPr>
      <t>Geothermal</t>
    </r>
  </si>
  <si>
    <r>
      <rPr>
        <sz val="9"/>
        <rFont val="Calibri"/>
        <family val="2"/>
      </rPr>
      <t>Biomass</t>
    </r>
  </si>
  <si>
    <r>
      <rPr>
        <b/>
        <sz val="9"/>
        <rFont val="Calibri"/>
        <family val="2"/>
      </rPr>
      <t>Non-Dispatchable Technologies</t>
    </r>
  </si>
  <si>
    <r>
      <rPr>
        <sz val="9"/>
        <rFont val="Calibri"/>
        <family val="2"/>
      </rPr>
      <t>Wind</t>
    </r>
  </si>
  <si>
    <r>
      <rPr>
        <sz val="9"/>
        <rFont val="Calibri"/>
        <family val="2"/>
      </rPr>
      <t>Wind – Offshore</t>
    </r>
  </si>
  <si>
    <t>   Solar PV</t>
  </si>
  <si>
    <t>   Solar Therma</t>
  </si>
  <si>
    <r>
      <rPr>
        <sz val="9"/>
        <rFont val="Calibri"/>
        <family val="2"/>
      </rPr>
      <t>Hydroelectric</t>
    </r>
    <r>
      <rPr>
        <sz val="6"/>
        <rFont val="Calibri"/>
        <family val="2"/>
      </rPr>
      <t>4</t>
    </r>
  </si>
  <si>
    <t>Overnight Capital Cost</t>
  </si>
  <si>
    <t>Model Electricity Source</t>
  </si>
  <si>
    <t>NREL Electricity Source</t>
  </si>
  <si>
    <t>coal</t>
  </si>
  <si>
    <t>Coal-CCS-AvgCF-Low</t>
  </si>
  <si>
    <t>Coal-CCS-AvgCF-Mid</t>
  </si>
  <si>
    <t>Coal-CCS-AvgCF-High</t>
  </si>
  <si>
    <t>Coal-CCS-HighCF-Low</t>
  </si>
  <si>
    <t>Coal-CCS-HighCF-Mid</t>
  </si>
  <si>
    <t>Coal-CCS-HighCF-High</t>
  </si>
  <si>
    <t>Gas-CC-HighCF - Low</t>
  </si>
  <si>
    <t>Gas-CC-HighCF - Mid</t>
  </si>
  <si>
    <t>Gas-CC-HighCF - High</t>
  </si>
  <si>
    <t>NPD 1 - Low</t>
  </si>
  <si>
    <t>NPD 1 - Mid</t>
  </si>
  <si>
    <t>NPD 1 - High</t>
  </si>
  <si>
    <t>NPD 2 - Low</t>
  </si>
  <si>
    <t>NPD 2 - Mid</t>
  </si>
  <si>
    <t>NPD 2 - High</t>
  </si>
  <si>
    <t>NPD 3 - Low</t>
  </si>
  <si>
    <t>NPD 3 - Mid</t>
  </si>
  <si>
    <t>NPD 3 - High</t>
  </si>
  <si>
    <t>NPD 4 - Low</t>
  </si>
  <si>
    <t>NPD 4 - Mid</t>
  </si>
  <si>
    <t>NPD 4 - High</t>
  </si>
  <si>
    <t>NSD 1 - Low</t>
  </si>
  <si>
    <t>NSD 1 - Mid</t>
  </si>
  <si>
    <t>NSD 1 - High</t>
  </si>
  <si>
    <t>NSD 2 - Low</t>
  </si>
  <si>
    <t>NSD 2 - Mid</t>
  </si>
  <si>
    <t>NSD 2 - High</t>
  </si>
  <si>
    <t>NSD 3 - Low</t>
  </si>
  <si>
    <t>NSD 3 - Mid</t>
  </si>
  <si>
    <t>NSD 3 - High</t>
  </si>
  <si>
    <t>NSD 4 - Low</t>
  </si>
  <si>
    <t>NSD 4 - Mid</t>
  </si>
  <si>
    <t>NSD 4 - High</t>
  </si>
  <si>
    <t>Nuclear - Mid</t>
  </si>
  <si>
    <t>6 hrs TES - Class 1 - Low</t>
  </si>
  <si>
    <t>6 hrs TES - Class 1 - Mid</t>
  </si>
  <si>
    <t>6 hrs TES - Class 1 - High</t>
  </si>
  <si>
    <t>6 hrs TES - Class 3 - Low</t>
  </si>
  <si>
    <t>6 hrs TES - Class 3 - Mid</t>
  </si>
  <si>
    <t>6 hrs TES - Class 3 - High</t>
  </si>
  <si>
    <t>6 hrs TES - Class 5 - Low</t>
  </si>
  <si>
    <t>6 hrs TES - Class 5 - Mid</t>
  </si>
  <si>
    <t>6 hrs TES - Class 5 - High</t>
  </si>
  <si>
    <t>10hrs TES - Class 1 - Low</t>
  </si>
  <si>
    <t>10hrs TES - Class 1 - Mid</t>
  </si>
  <si>
    <t>10hrs TES - Class 1 - High</t>
  </si>
  <si>
    <t>10hrs TES - Class 3 - Low</t>
  </si>
  <si>
    <t>10hrs TES - Class 3 - Mid</t>
  </si>
  <si>
    <t>10hrs TES - Class 3 - High</t>
  </si>
  <si>
    <t>10hrs TES - Class 5 - Low</t>
  </si>
  <si>
    <t>10hrs TES - Class 5 - Mid</t>
  </si>
  <si>
    <t>10hrs TES - Class 5 - High</t>
  </si>
  <si>
    <t>Dedicated - Low</t>
  </si>
  <si>
    <t>Dedicated - Mid</t>
  </si>
  <si>
    <t>Dedicated - High</t>
  </si>
  <si>
    <t>CofireOld - Low</t>
  </si>
  <si>
    <t>CofireOld - Mid</t>
  </si>
  <si>
    <t>CofireOld - High</t>
  </si>
  <si>
    <t>CofireNew - Low</t>
  </si>
  <si>
    <t>CofireNew - Mid</t>
  </si>
  <si>
    <t>CofireNew - High</t>
  </si>
  <si>
    <t>Hydro / Flash - Low</t>
  </si>
  <si>
    <t>Hydro / Flash - Mid</t>
  </si>
  <si>
    <t>Hydro / Flash - High</t>
  </si>
  <si>
    <t>Hydro / Binary - Low</t>
  </si>
  <si>
    <t>Hydro / Binary - Mid</t>
  </si>
  <si>
    <t>Hydro / Binary - High</t>
  </si>
  <si>
    <t>NF EGS / Flash - Low</t>
  </si>
  <si>
    <t>NF EGS / Flash - Mid</t>
  </si>
  <si>
    <t>NF EGS / Flash - High</t>
  </si>
  <si>
    <t>NF EGS / Binary - Low</t>
  </si>
  <si>
    <t>NF EGS / Binary - Mid</t>
  </si>
  <si>
    <t>NF EGS / Binary - High</t>
  </si>
  <si>
    <t>Deep EGS / Flash - Low</t>
  </si>
  <si>
    <t>Deep EGS / Flash - Mid</t>
  </si>
  <si>
    <t>Deep EGS / Flash - High</t>
  </si>
  <si>
    <t>Deep EGS / Binary - Low</t>
  </si>
  <si>
    <t>Deep EGS / Binary - Mid</t>
  </si>
  <si>
    <t>Deep EGS / Binary - High</t>
  </si>
  <si>
    <t>Gas-CT-AvgCF - Low</t>
  </si>
  <si>
    <t>Gas-CT-AvgCF - Mid</t>
  </si>
  <si>
    <t>Gas-CT-AvgCF - High</t>
  </si>
  <si>
    <t>TRG 1 - Low</t>
  </si>
  <si>
    <t>TRG 1 - Mid</t>
  </si>
  <si>
    <t>TRG 1 - High</t>
  </si>
  <si>
    <t>TRG 2 - Low</t>
  </si>
  <si>
    <t>TRG 2 - Mid</t>
  </si>
  <si>
    <t>TRG 2 - High</t>
  </si>
  <si>
    <t>TRG 3 - Low</t>
  </si>
  <si>
    <t>TRG 3 - Mid</t>
  </si>
  <si>
    <t>TRG 3 - High</t>
  </si>
  <si>
    <t>TRG 4 - Low</t>
  </si>
  <si>
    <t>TRG 4 - Mid</t>
  </si>
  <si>
    <t>TRG 4 - High</t>
  </si>
  <si>
    <t>TRG 5 - Low</t>
  </si>
  <si>
    <t>TRG 5 - Mid</t>
  </si>
  <si>
    <t>TRG 5 - High</t>
  </si>
  <si>
    <t>TRG 6 - Low</t>
  </si>
  <si>
    <t>TRG 6 - Mid</t>
  </si>
  <si>
    <t>TRG 6 - High</t>
  </si>
  <si>
    <t>TRG 7 - Low</t>
  </si>
  <si>
    <t>TRG 7 - Mid</t>
  </si>
  <si>
    <t>TRG 7 - High</t>
  </si>
  <si>
    <t>TRG 8 - Low</t>
  </si>
  <si>
    <t>TRG 8 - Mid</t>
  </si>
  <si>
    <t>TRG 8 - High</t>
  </si>
  <si>
    <t>TRG 9 - Low</t>
  </si>
  <si>
    <t>TRG 9 - Mid</t>
  </si>
  <si>
    <t>TRG 9 - High</t>
  </si>
  <si>
    <t>TRG 10 - Low</t>
  </si>
  <si>
    <t>TRG 10 - Mid</t>
  </si>
  <si>
    <t>TRG 10 - High</t>
  </si>
  <si>
    <t>Technology</t>
    <phoneticPr fontId="8" type="noConversion"/>
  </si>
  <si>
    <t>Period</t>
    <phoneticPr fontId="8" type="noConversion"/>
  </si>
  <si>
    <t>Overnight Cost($/W)</t>
    <phoneticPr fontId="8" type="noConversion"/>
  </si>
  <si>
    <t>onshore wind</t>
    <phoneticPr fontId="8" type="noConversion"/>
  </si>
  <si>
    <t>offshore wind</t>
    <phoneticPr fontId="8" type="noConversion"/>
  </si>
  <si>
    <t>solar pv</t>
    <phoneticPr fontId="8" type="noConversion"/>
  </si>
  <si>
    <t>solar thermal</t>
    <phoneticPr fontId="8" type="noConversion"/>
  </si>
  <si>
    <t>BAU/BAU with Carbon Cap/IPCC Target</t>
    <phoneticPr fontId="8" type="noConversion"/>
  </si>
  <si>
    <t>Low Cost Renewables</t>
    <phoneticPr fontId="8" type="noConversion"/>
  </si>
  <si>
    <t>Onshore Wind</t>
    <phoneticPr fontId="8" type="noConversion"/>
  </si>
  <si>
    <t>Offshore Wind</t>
    <phoneticPr fontId="8" type="noConversion"/>
  </si>
  <si>
    <t>Central PV</t>
    <phoneticPr fontId="8" type="noConversion"/>
  </si>
  <si>
    <t>Commercial PV</t>
    <phoneticPr fontId="8" type="noConversion"/>
  </si>
  <si>
    <t>Residential PV</t>
    <phoneticPr fontId="8" type="noConversion"/>
  </si>
  <si>
    <t>CSP without Storage</t>
    <phoneticPr fontId="8" type="noConversion"/>
  </si>
  <si>
    <t>CSP with Storage</t>
    <phoneticPr fontId="8" type="noConversion"/>
  </si>
  <si>
    <t xml:space="preserve">construction </t>
  </si>
  <si>
    <t>billion HKD</t>
  </si>
  <si>
    <t>excahneg rate</t>
  </si>
  <si>
    <t xml:space="preserve">Operation </t>
  </si>
  <si>
    <t>billion HKD/year</t>
  </si>
  <si>
    <t>billion USD</t>
  </si>
  <si>
    <t xml:space="preserve">capacity </t>
  </si>
  <si>
    <t>MW</t>
  </si>
  <si>
    <t xml:space="preserve">cost </t>
  </si>
  <si>
    <t>Fixed O&amp;M ($/MW)</t>
  </si>
  <si>
    <t>preexisting nonretiring</t>
  </si>
  <si>
    <t>petroleum</t>
  </si>
  <si>
    <t>lignite</t>
  </si>
  <si>
    <t>crude oil</t>
  </si>
  <si>
    <t>heavy or residual fuel oil</t>
  </si>
  <si>
    <t>municipal solid waste</t>
  </si>
  <si>
    <t>Variable O&amp;M ($/MWh)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</si>
  <si>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</si>
  <si>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</si>
  <si>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</si>
  <si>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</si>
  <si>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</si>
  <si>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</si>
  <si>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</si>
  <si>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</si>
  <si>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</si>
  <si>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</si>
  <si>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</si>
  <si>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</si>
  <si>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</si>
  <si>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Overnight Capital Cost ($/kW)</t>
  </si>
  <si>
    <t>Fixed O&amp;M ($/kW-yr)</t>
  </si>
  <si>
    <t>Currency Year</t>
  </si>
  <si>
    <t>Source</t>
  </si>
  <si>
    <t>Notes</t>
  </si>
  <si>
    <t>AEO 2019</t>
  </si>
  <si>
    <t>Intentionally keeping older-year source for preexisting retiring plants</t>
  </si>
  <si>
    <t>AEO 2020</t>
  </si>
  <si>
    <t>Combined Cycle - Single Shaft</t>
  </si>
  <si>
    <t>Conbustion turbine - industrial frame</t>
  </si>
  <si>
    <t>Assumptions to Annual Energy Outlook 2015, 2019</t>
  </si>
  <si>
    <t>https://www.eia.gov/forecasts/aeo/assumptions/pdf/electricity.pdf</t>
  </si>
  <si>
    <t>Electricity Market Module, Table 2 (AEO 2015, 2019) or Table 3 (AEO 2020)</t>
  </si>
  <si>
    <t>2019, 2020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</si>
</sst>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"/>
    <numFmt numFmtId="165" formatCode="0.000"/>
    <numFmt numFmtId="166" formatCode="###0;###0"/>
    <numFmt numFmtId="167" formatCode="###0.0;###0.0"/>
    <numFmt numFmtId="168" formatCode="###0.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theme="1"/>
      <name val="Calibri"/>
      <family val="3"/>
      <charset val="134"/>
      <scheme val="minor"/>
    </font>
    <font>
      <b/>
      <sz val="12"/>
      <name val="Calibri"/>
      <family val="2"/>
    </font>
    <font>
      <b/>
      <sz val="12"/>
      <color rgb="FF1396D8"/>
      <name val="Calibri"/>
      <family val="2"/>
    </font>
    <font>
      <b/>
      <sz val="9"/>
      <name val="Calibri"/>
      <family val="2"/>
    </font>
    <font>
      <b/>
      <u/>
      <sz val="9"/>
      <name val="Calibri"/>
      <family val="2"/>
    </font>
    <font>
      <b/>
      <sz val="6"/>
      <name val="Calibri"/>
      <family val="2"/>
    </font>
    <font>
      <sz val="9"/>
      <name val="Calibri"/>
      <family val="2"/>
    </font>
    <font>
      <sz val="6"/>
      <name val="Calibri"/>
      <family val="2"/>
    </font>
    <font>
      <sz val="9"/>
      <color rgb="FF000000"/>
      <name val="Calibri"/>
      <family val="2"/>
    </font>
    <font>
      <sz val="9"/>
      <color rgb="FFAEAEAE"/>
      <name val="Calibri"/>
      <family val="2"/>
    </font>
    <font>
      <u/>
      <sz val="9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u/>
      <sz val="11"/>
      <color theme="10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rgb="FF0096D7"/>
      </bottom>
      <diagonal/>
    </border>
    <border>
      <left/>
      <right/>
      <top style="thin">
        <color rgb="FF0096D7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C0C0C0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0096D7"/>
      </bottom>
      <diagonal/>
    </border>
  </borders>
  <cellStyleXfs count="16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5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 vertical="center" wrapText="1"/>
    </xf>
    <xf numFmtId="1" fontId="10" fillId="0" borderId="0" xfId="0" applyNumberFormat="1" applyFont="1" applyFill="1" applyBorder="1"/>
    <xf numFmtId="0" fontId="11" fillId="0" borderId="0" xfId="0" applyFont="1"/>
    <xf numFmtId="0" fontId="0" fillId="0" borderId="0" xfId="0" applyAlignment="1">
      <alignment horizontal="center" wrapText="1"/>
    </xf>
    <xf numFmtId="0" fontId="0" fillId="3" borderId="0" xfId="0" applyFill="1"/>
    <xf numFmtId="0" fontId="1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166" fontId="19" fillId="0" borderId="10" xfId="0" applyNumberFormat="1" applyFont="1" applyBorder="1" applyAlignment="1">
      <alignment horizontal="left" vertical="top" wrapText="1"/>
    </xf>
    <xf numFmtId="167" fontId="19" fillId="0" borderId="10" xfId="0" applyNumberFormat="1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0" fontId="17" fillId="0" borderId="11" xfId="0" applyFont="1" applyBorder="1" applyAlignment="1">
      <alignment horizontal="left" vertical="top" wrapText="1"/>
    </xf>
    <xf numFmtId="166" fontId="19" fillId="0" borderId="11" xfId="0" applyNumberFormat="1" applyFont="1" applyBorder="1" applyAlignment="1">
      <alignment horizontal="left" vertical="top" wrapText="1"/>
    </xf>
    <xf numFmtId="167" fontId="19" fillId="0" borderId="11" xfId="0" applyNumberFormat="1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 wrapText="1"/>
    </xf>
    <xf numFmtId="166" fontId="19" fillId="0" borderId="12" xfId="0" applyNumberFormat="1" applyFont="1" applyBorder="1" applyAlignment="1">
      <alignment horizontal="left" vertical="top" wrapText="1"/>
    </xf>
    <xf numFmtId="167" fontId="19" fillId="0" borderId="12" xfId="0" applyNumberFormat="1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168" fontId="19" fillId="0" borderId="14" xfId="0" applyNumberFormat="1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7" fontId="19" fillId="0" borderId="15" xfId="0" applyNumberFormat="1" applyFont="1" applyBorder="1" applyAlignment="1">
      <alignment horizontal="left" vertical="top" wrapText="1"/>
    </xf>
    <xf numFmtId="168" fontId="19" fillId="0" borderId="15" xfId="0" applyNumberFormat="1" applyFont="1" applyBorder="1" applyAlignment="1">
      <alignment horizontal="left" vertical="top" wrapText="1"/>
    </xf>
    <xf numFmtId="167" fontId="19" fillId="0" borderId="14" xfId="0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167" fontId="19" fillId="0" borderId="16" xfId="0" applyNumberFormat="1" applyFont="1" applyBorder="1" applyAlignment="1">
      <alignment horizontal="left" vertical="top" wrapText="1"/>
    </xf>
    <xf numFmtId="0" fontId="17" fillId="0" borderId="16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9" fontId="0" fillId="0" borderId="0" xfId="14" applyFont="1" applyAlignment="1">
      <alignment wrapText="1"/>
    </xf>
    <xf numFmtId="0" fontId="23" fillId="0" borderId="0" xfId="0" applyFont="1"/>
    <xf numFmtId="0" fontId="23" fillId="0" borderId="0" xfId="0" applyFont="1" applyAlignment="1">
      <alignment horizontal="center" vertical="center" wrapText="1"/>
    </xf>
    <xf numFmtId="9" fontId="23" fillId="0" borderId="0" xfId="0" applyNumberFormat="1" applyFont="1"/>
    <xf numFmtId="9" fontId="0" fillId="0" borderId="0" xfId="0" applyNumberFormat="1"/>
    <xf numFmtId="0" fontId="10" fillId="0" borderId="0" xfId="0" applyFont="1" applyFill="1" applyBorder="1" applyAlignment="1"/>
    <xf numFmtId="0" fontId="1" fillId="0" borderId="0" xfId="0" applyFont="1" applyFill="1" applyAlignment="1">
      <alignment horizontal="right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4" fillId="2" borderId="0" xfId="0" applyFont="1" applyFill="1"/>
    <xf numFmtId="0" fontId="5" fillId="0" borderId="0" xfId="5" applyAlignment="1">
      <alignment wrapText="1"/>
    </xf>
    <xf numFmtId="0" fontId="26" fillId="0" borderId="0" xfId="5" applyFont="1" applyAlignment="1">
      <alignment wrapText="1"/>
    </xf>
    <xf numFmtId="1" fontId="0" fillId="4" borderId="0" xfId="0" applyNumberFormat="1" applyFill="1"/>
    <xf numFmtId="2" fontId="0" fillId="4" borderId="0" xfId="0" applyNumberFormat="1" applyFill="1"/>
    <xf numFmtId="0" fontId="0" fillId="4" borderId="0" xfId="0" applyFill="1" applyAlignment="1">
      <alignment horizontal="left"/>
    </xf>
    <xf numFmtId="0" fontId="25" fillId="4" borderId="0" xfId="5" applyFont="1" applyFill="1" applyAlignment="1">
      <alignment horizontal="left"/>
    </xf>
    <xf numFmtId="43" fontId="0" fillId="0" borderId="0" xfId="15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2" fontId="0" fillId="0" borderId="0" xfId="0" applyNumberFormat="1" applyFill="1"/>
    <xf numFmtId="0" fontId="0" fillId="0" borderId="0" xfId="0" applyAlignment="1">
      <alignment horizontal="center"/>
    </xf>
    <xf numFmtId="0" fontId="21" fillId="0" borderId="0" xfId="0" applyFont="1" applyAlignment="1">
      <alignment horizontal="left" vertical="top" wrapText="1"/>
    </xf>
    <xf numFmtId="0" fontId="0" fillId="0" borderId="0" xfId="0" applyAlignment="1">
      <alignment horizontal="center" wrapText="1"/>
    </xf>
  </cellXfs>
  <cellStyles count="16">
    <cellStyle name="Body: normal cell" xfId="4"/>
    <cellStyle name="Comma" xfId="15" builtinId="3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Percent" xfId="14" builtinId="5"/>
    <cellStyle name="Section Break" xfId="12"/>
    <cellStyle name="Section Break: parent row" xfId="13"/>
    <cellStyle name="Table title" xfId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284952</xdr:colOff>
      <xdr:row>27</xdr:row>
      <xdr:rowOff>56500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C2D00C-4DD7-4260-B5B0-08E8B7EEF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0952" cy="5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ena.org/publications/2018/Jan/Renewable-power-generation-costs-in-2017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outlooks/aeo/pdf/electricity_generation.pdf" TargetMode="External"/><Relationship Id="rId1" Type="http://schemas.openxmlformats.org/officeDocument/2006/relationships/hyperlink" Target="https://www.eia.gov/forecasts/aeo/assumptions/pdf/electricity.pdf" TargetMode="External"/><Relationship Id="rId6" Type="http://schemas.openxmlformats.org/officeDocument/2006/relationships/hyperlink" Target="https://www.eia.gov/forecasts/aeo/assumptions/pdf/electricity.pdf" TargetMode="External"/><Relationship Id="rId5" Type="http://schemas.openxmlformats.org/officeDocument/2006/relationships/hyperlink" Target="https://www.iea.org/statistics/?country=CHINA&amp;year=2016&amp;category=Electricity&amp;indicator=undefined&amp;mode=chart&amp;categoryBrowse=true&amp;dataTable=ELECTRICITYANDHEAT" TargetMode="External"/><Relationship Id="rId4" Type="http://schemas.openxmlformats.org/officeDocument/2006/relationships/hyperlink" Target="https://pubs.acs.org/doi/suppl/10.1021/acs.est.6b01345/suppl_file/es6b01345_si_001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topLeftCell="A49" workbookViewId="0">
      <selection activeCell="A61" sqref="A61:XFD64"/>
    </sheetView>
  </sheetViews>
  <sheetFormatPr defaultColWidth="9.1328125" defaultRowHeight="14.25"/>
  <cols>
    <col min="1" max="1" width="9.1328125" style="2"/>
    <col min="2" max="2" width="91.3984375" style="2" customWidth="1"/>
    <col min="3" max="3" width="7.3984375" style="2" customWidth="1"/>
    <col min="4" max="4" width="77.59765625" style="2" customWidth="1"/>
    <col min="5" max="5" width="10.73046875" style="2" customWidth="1"/>
    <col min="6" max="6" width="56.1328125" style="2" bestFit="1" customWidth="1"/>
    <col min="7" max="11" width="10.73046875" style="2" customWidth="1"/>
    <col min="12" max="16384" width="9.1328125" style="2"/>
  </cols>
  <sheetData>
    <row r="1" spans="1:4">
      <c r="A1" s="1" t="s">
        <v>0</v>
      </c>
    </row>
    <row r="2" spans="1:4">
      <c r="A2" s="1" t="s">
        <v>1</v>
      </c>
    </row>
    <row r="3" spans="1:4">
      <c r="A3" s="1" t="s">
        <v>2</v>
      </c>
    </row>
    <row r="5" spans="1:4">
      <c r="A5" s="5" t="s">
        <v>3</v>
      </c>
      <c r="B5" s="6" t="s">
        <v>4</v>
      </c>
      <c r="D5" s="64" t="s">
        <v>5</v>
      </c>
    </row>
    <row r="6" spans="1:4">
      <c r="B6" t="s">
        <v>7</v>
      </c>
      <c r="D6" t="s">
        <v>7</v>
      </c>
    </row>
    <row r="7" spans="1:4">
      <c r="B7" s="2" t="s">
        <v>361</v>
      </c>
      <c r="D7" s="2">
        <v>2015</v>
      </c>
    </row>
    <row r="8" spans="1:4">
      <c r="B8" t="s">
        <v>358</v>
      </c>
      <c r="D8" t="s">
        <v>8</v>
      </c>
    </row>
    <row r="9" spans="1:4">
      <c r="B9" s="3" t="s">
        <v>359</v>
      </c>
      <c r="D9" s="3" t="s">
        <v>9</v>
      </c>
    </row>
    <row r="10" spans="1:4">
      <c r="B10" t="s">
        <v>360</v>
      </c>
      <c r="D10" t="s">
        <v>10</v>
      </c>
    </row>
    <row r="11" spans="1:4">
      <c r="B11"/>
      <c r="D11" s="7"/>
    </row>
    <row r="12" spans="1:4">
      <c r="B12" s="6" t="s">
        <v>11</v>
      </c>
      <c r="D12" s="64" t="s">
        <v>12</v>
      </c>
    </row>
    <row r="13" spans="1:4">
      <c r="B13" t="s">
        <v>13</v>
      </c>
      <c r="D13" t="s">
        <v>7</v>
      </c>
    </row>
    <row r="14" spans="1:4">
      <c r="B14" s="2">
        <v>2018</v>
      </c>
      <c r="D14" s="2">
        <v>2016</v>
      </c>
    </row>
    <row r="15" spans="1:4" ht="28.5">
      <c r="B15" s="2" t="s">
        <v>14</v>
      </c>
      <c r="D15" s="52" t="s">
        <v>15</v>
      </c>
    </row>
    <row r="16" spans="1:4">
      <c r="B16" s="65" t="s">
        <v>16</v>
      </c>
      <c r="D16" s="3" t="s">
        <v>17</v>
      </c>
    </row>
    <row r="17" spans="1:4" ht="27.95" customHeight="1">
      <c r="B17" s="66" t="s">
        <v>18</v>
      </c>
      <c r="D17" t="s">
        <v>19</v>
      </c>
    </row>
    <row r="18" spans="1:4">
      <c r="B18" t="s">
        <v>20</v>
      </c>
    </row>
    <row r="19" spans="1:4">
      <c r="A19" s="5"/>
      <c r="C19"/>
    </row>
    <row r="20" spans="1:4">
      <c r="A20" s="5"/>
      <c r="B20" s="6" t="s">
        <v>21</v>
      </c>
      <c r="C20"/>
      <c r="D20" s="6" t="s">
        <v>22</v>
      </c>
    </row>
    <row r="21" spans="1:4">
      <c r="A21" s="5"/>
      <c r="B21" t="s">
        <v>6</v>
      </c>
      <c r="C21"/>
      <c r="D21" t="s">
        <v>23</v>
      </c>
    </row>
    <row r="22" spans="1:4">
      <c r="A22" s="5"/>
      <c r="B22" s="2">
        <v>2016</v>
      </c>
      <c r="C22"/>
      <c r="D22" s="2">
        <v>2013</v>
      </c>
    </row>
    <row r="23" spans="1:4">
      <c r="A23" s="5"/>
      <c r="B23" t="s">
        <v>24</v>
      </c>
      <c r="C23"/>
      <c r="D23" t="s">
        <v>25</v>
      </c>
    </row>
    <row r="24" spans="1:4" ht="28.5">
      <c r="A24" s="5"/>
      <c r="B24" s="3" t="s">
        <v>26</v>
      </c>
      <c r="C24"/>
      <c r="D24" s="65" t="s">
        <v>27</v>
      </c>
    </row>
    <row r="25" spans="1:4">
      <c r="A25" s="5"/>
      <c r="C25"/>
      <c r="D25" t="s">
        <v>28</v>
      </c>
    </row>
    <row r="26" spans="1:4">
      <c r="A26" s="5"/>
      <c r="B26" s="6" t="s">
        <v>29</v>
      </c>
    </row>
    <row r="27" spans="1:4">
      <c r="A27" s="5"/>
      <c r="B27" s="2" t="s">
        <v>30</v>
      </c>
    </row>
    <row r="28" spans="1:4">
      <c r="A28" s="5"/>
      <c r="B28" s="2">
        <v>2016</v>
      </c>
    </row>
    <row r="29" spans="1:4">
      <c r="A29" s="5"/>
      <c r="B29" s="2" t="s">
        <v>31</v>
      </c>
    </row>
    <row r="30" spans="1:4">
      <c r="A30" s="5"/>
      <c r="B30" s="3" t="s">
        <v>32</v>
      </c>
    </row>
    <row r="31" spans="1:4">
      <c r="A31" s="5"/>
      <c r="B31" t="s">
        <v>33</v>
      </c>
    </row>
    <row r="32" spans="1:4">
      <c r="A32" s="5"/>
      <c r="B32"/>
    </row>
    <row r="33" spans="1:11">
      <c r="A33" s="5"/>
      <c r="B33" s="64" t="s">
        <v>34</v>
      </c>
    </row>
    <row r="34" spans="1:11">
      <c r="A34" s="5"/>
      <c r="B34" t="s">
        <v>35</v>
      </c>
    </row>
    <row r="35" spans="1:11">
      <c r="A35" s="5"/>
      <c r="B35"/>
    </row>
    <row r="36" spans="1:11">
      <c r="A36" s="5" t="s">
        <v>36</v>
      </c>
      <c r="D36"/>
      <c r="E36" s="8"/>
      <c r="F36" s="8"/>
      <c r="G36" s="8"/>
      <c r="H36" s="8"/>
      <c r="I36" s="8"/>
      <c r="J36" s="8"/>
      <c r="K36" s="8"/>
    </row>
    <row r="37" spans="1:11">
      <c r="A37" s="2" t="s">
        <v>37</v>
      </c>
      <c r="D37" s="3"/>
      <c r="E37" s="8"/>
      <c r="F37" s="8"/>
      <c r="G37" s="8"/>
      <c r="H37" s="8"/>
      <c r="I37" s="8"/>
      <c r="J37" s="8"/>
      <c r="K37" s="8"/>
    </row>
    <row r="38" spans="1:11">
      <c r="A38" s="2" t="s">
        <v>38</v>
      </c>
      <c r="D38" s="5"/>
      <c r="E38" s="8"/>
      <c r="F38" s="8"/>
      <c r="G38" s="8"/>
      <c r="H38" s="8"/>
      <c r="I38" s="8"/>
      <c r="J38" s="8"/>
      <c r="K38" s="8"/>
    </row>
    <row r="39" spans="1:11">
      <c r="E39" s="8"/>
      <c r="F39" s="8"/>
      <c r="G39" s="8"/>
      <c r="H39" s="8"/>
      <c r="I39" s="8"/>
      <c r="J39" s="8"/>
      <c r="K39" s="8"/>
    </row>
    <row r="40" spans="1:11">
      <c r="A40" s="2" t="s">
        <v>39</v>
      </c>
      <c r="D40" s="5"/>
      <c r="E40" s="8"/>
      <c r="F40" s="8"/>
      <c r="G40" s="8"/>
      <c r="H40" s="8"/>
      <c r="I40" s="8"/>
      <c r="J40" s="8"/>
      <c r="K40" s="8"/>
    </row>
    <row r="41" spans="1:11">
      <c r="A41" s="2" t="s">
        <v>40</v>
      </c>
      <c r="D41" s="5"/>
      <c r="E41" s="8"/>
      <c r="F41" s="8"/>
      <c r="G41" s="8"/>
      <c r="H41" s="8"/>
      <c r="I41" s="8"/>
      <c r="J41" s="8"/>
      <c r="K41" s="8"/>
    </row>
    <row r="42" spans="1:11">
      <c r="A42" s="2" t="s">
        <v>41</v>
      </c>
      <c r="D42" s="5"/>
      <c r="E42" s="8"/>
      <c r="F42" s="8"/>
      <c r="G42" s="8"/>
      <c r="H42" s="8"/>
      <c r="I42" s="8"/>
      <c r="J42" s="8"/>
      <c r="K42" s="8"/>
    </row>
    <row r="43" spans="1:11">
      <c r="D43" s="5"/>
      <c r="E43" s="8"/>
      <c r="F43" s="8"/>
      <c r="G43" s="8"/>
      <c r="H43" s="8"/>
      <c r="I43" s="8"/>
      <c r="J43" s="8"/>
      <c r="K43" s="8"/>
    </row>
    <row r="44" spans="1:11">
      <c r="A44" s="2" t="s">
        <v>42</v>
      </c>
      <c r="D44"/>
      <c r="E44"/>
      <c r="F44"/>
      <c r="G44" s="8"/>
      <c r="H44" s="8"/>
      <c r="I44" s="8"/>
      <c r="J44" s="8"/>
      <c r="K44" s="8"/>
    </row>
    <row r="45" spans="1:11">
      <c r="A45" s="2" t="s">
        <v>43</v>
      </c>
      <c r="D45"/>
      <c r="E45"/>
      <c r="F45"/>
      <c r="G45" s="8"/>
      <c r="H45" s="8"/>
      <c r="I45" s="8"/>
      <c r="J45" s="8"/>
      <c r="K45" s="8"/>
    </row>
    <row r="46" spans="1:11">
      <c r="A46" s="2" t="s">
        <v>44</v>
      </c>
      <c r="D46"/>
      <c r="E46"/>
      <c r="F46"/>
      <c r="G46" s="8"/>
      <c r="H46" s="8"/>
      <c r="I46" s="8"/>
      <c r="J46" s="8"/>
      <c r="K46" s="8"/>
    </row>
    <row r="47" spans="1:11">
      <c r="D47"/>
      <c r="E47"/>
      <c r="F47"/>
      <c r="G47" s="8"/>
      <c r="H47" s="8"/>
      <c r="I47" s="8"/>
      <c r="J47" s="8"/>
      <c r="K47" s="8"/>
    </row>
    <row r="48" spans="1:11">
      <c r="A48" s="2" t="s">
        <v>45</v>
      </c>
      <c r="D48"/>
      <c r="E48"/>
      <c r="F48"/>
      <c r="G48" s="8"/>
      <c r="H48" s="8"/>
      <c r="I48" s="8"/>
      <c r="J48" s="8"/>
      <c r="K48" s="8"/>
    </row>
    <row r="49" spans="1:11">
      <c r="A49" s="69" t="s">
        <v>46</v>
      </c>
      <c r="D49"/>
      <c r="E49"/>
      <c r="F49"/>
      <c r="G49" s="8"/>
      <c r="H49" s="8"/>
      <c r="I49" s="8"/>
      <c r="J49" s="8"/>
      <c r="K49" s="8"/>
    </row>
    <row r="50" spans="1:11">
      <c r="A50" s="69" t="s">
        <v>47</v>
      </c>
      <c r="D50"/>
      <c r="E50"/>
      <c r="F50"/>
      <c r="G50" s="8"/>
      <c r="H50" s="8"/>
      <c r="I50" s="8"/>
      <c r="J50" s="8"/>
      <c r="K50" s="8"/>
    </row>
    <row r="51" spans="1:11">
      <c r="A51" s="69" t="s">
        <v>48</v>
      </c>
      <c r="D51"/>
      <c r="E51"/>
      <c r="F51"/>
      <c r="G51" s="8"/>
      <c r="H51" s="8"/>
      <c r="I51" s="8"/>
      <c r="J51" s="8"/>
      <c r="K51" s="8"/>
    </row>
    <row r="52" spans="1:11">
      <c r="A52" s="70" t="s">
        <v>49</v>
      </c>
      <c r="D52"/>
      <c r="E52"/>
      <c r="F52"/>
      <c r="G52" s="8"/>
      <c r="H52" s="8"/>
      <c r="I52" s="8"/>
      <c r="J52" s="8"/>
      <c r="K52" s="8"/>
    </row>
    <row r="53" spans="1:11">
      <c r="A53" s="69" t="s">
        <v>50</v>
      </c>
      <c r="D53"/>
      <c r="E53"/>
      <c r="F53"/>
      <c r="G53" s="8"/>
      <c r="H53" s="8"/>
      <c r="I53" s="8"/>
      <c r="J53" s="8"/>
      <c r="K53" s="8"/>
    </row>
    <row r="54" spans="1:11">
      <c r="D54"/>
      <c r="E54"/>
      <c r="F54"/>
      <c r="G54" s="8"/>
      <c r="H54" s="8"/>
      <c r="I54" s="8"/>
      <c r="J54" s="8"/>
      <c r="K54" s="8"/>
    </row>
    <row r="55" spans="1:11">
      <c r="D55" s="5"/>
      <c r="E55" s="8"/>
      <c r="F55" s="8"/>
      <c r="G55" s="8"/>
      <c r="H55" s="8"/>
      <c r="I55" s="8"/>
      <c r="J55" s="8"/>
      <c r="K55" s="8"/>
    </row>
    <row r="56" spans="1:11">
      <c r="A56" s="5" t="s">
        <v>51</v>
      </c>
      <c r="D56" s="5"/>
      <c r="E56" s="8"/>
      <c r="F56" s="8"/>
      <c r="G56" s="8"/>
      <c r="H56" s="8"/>
      <c r="I56" s="8"/>
      <c r="J56" s="8"/>
      <c r="K56" s="8"/>
    </row>
    <row r="57" spans="1:11">
      <c r="A57" t="s">
        <v>52</v>
      </c>
      <c r="B57" s="7"/>
      <c r="D57" s="5"/>
      <c r="E57" s="8"/>
      <c r="F57" s="8"/>
      <c r="G57" s="8"/>
      <c r="H57" s="8"/>
      <c r="I57" s="8"/>
      <c r="J57" s="8"/>
      <c r="K57" s="8"/>
    </row>
    <row r="58" spans="1:11">
      <c r="A58">
        <v>0.95299999999999996</v>
      </c>
      <c r="B58" s="7"/>
      <c r="D58" s="5"/>
      <c r="E58" s="8"/>
      <c r="F58" s="8"/>
      <c r="G58" s="8"/>
      <c r="H58" s="8"/>
      <c r="I58" s="8"/>
      <c r="J58" s="8"/>
      <c r="K58" s="8"/>
    </row>
    <row r="59" spans="1:11">
      <c r="A59" t="s">
        <v>53</v>
      </c>
      <c r="B59" s="7"/>
      <c r="D59" s="5"/>
      <c r="E59" s="8"/>
      <c r="F59" s="8"/>
      <c r="G59" s="8"/>
      <c r="H59" s="8"/>
      <c r="I59" s="8"/>
      <c r="J59" s="8"/>
      <c r="K59" s="8"/>
    </row>
    <row r="60" spans="1:11">
      <c r="A60" s="11">
        <v>0.97099999999999997</v>
      </c>
      <c r="B60" s="7"/>
      <c r="D60" s="5"/>
      <c r="E60" s="8"/>
      <c r="F60" s="8"/>
      <c r="G60" s="8"/>
      <c r="H60" s="8"/>
      <c r="I60" s="8"/>
      <c r="J60" s="8"/>
      <c r="K60" s="8"/>
    </row>
    <row r="61" spans="1:11">
      <c r="A61"/>
      <c r="B61" s="7"/>
      <c r="D61" s="5"/>
      <c r="E61" s="8"/>
      <c r="F61" s="8"/>
      <c r="G61" s="8"/>
      <c r="H61" s="8"/>
      <c r="I61" s="8"/>
      <c r="J61" s="8"/>
      <c r="K61" s="8"/>
    </row>
    <row r="62" spans="1:11">
      <c r="A62" t="s">
        <v>54</v>
      </c>
      <c r="B62" s="7"/>
      <c r="D62" s="5"/>
      <c r="E62" s="8"/>
      <c r="F62" s="8"/>
      <c r="G62" s="8"/>
      <c r="H62" s="8"/>
      <c r="I62" s="8"/>
      <c r="J62" s="8"/>
      <c r="K62" s="8"/>
    </row>
    <row r="63" spans="1:11">
      <c r="B63" s="7"/>
      <c r="D63" s="5"/>
      <c r="E63" s="8"/>
      <c r="F63" s="8"/>
      <c r="G63" s="8"/>
      <c r="H63" s="8"/>
      <c r="I63" s="8"/>
      <c r="J63" s="8"/>
      <c r="K63" s="8"/>
    </row>
    <row r="64" spans="1:11">
      <c r="D64" s="5"/>
      <c r="E64" s="8"/>
      <c r="F64" s="8"/>
      <c r="G64" s="8"/>
      <c r="H64" s="8"/>
      <c r="I64" s="8"/>
      <c r="J64" s="8"/>
      <c r="K64" s="8"/>
    </row>
    <row r="65" spans="2:11">
      <c r="B65" s="7"/>
      <c r="D65" s="5"/>
      <c r="E65" s="8"/>
      <c r="F65" s="8"/>
      <c r="G65" s="8"/>
      <c r="H65" s="8"/>
      <c r="I65" s="8"/>
      <c r="J65" s="8"/>
      <c r="K65" s="8"/>
    </row>
    <row r="66" spans="2:11">
      <c r="B66" s="7"/>
      <c r="D66" s="5"/>
      <c r="E66" s="8"/>
      <c r="F66" s="8"/>
      <c r="G66" s="8"/>
      <c r="H66" s="8"/>
      <c r="I66" s="8"/>
      <c r="J66" s="8"/>
      <c r="K66" s="8"/>
    </row>
    <row r="67" spans="2:11">
      <c r="B67" s="7"/>
      <c r="D67" s="5"/>
      <c r="E67" s="8"/>
      <c r="F67" s="8"/>
      <c r="G67" s="8"/>
      <c r="H67" s="8"/>
      <c r="I67" s="8"/>
      <c r="J67" s="8"/>
      <c r="K67" s="8"/>
    </row>
    <row r="68" spans="2:11">
      <c r="B68" s="7"/>
      <c r="D68" s="5"/>
      <c r="E68" s="8"/>
      <c r="F68" s="8"/>
      <c r="G68" s="8"/>
      <c r="H68" s="8"/>
      <c r="I68" s="8"/>
      <c r="J68" s="8"/>
      <c r="K68" s="8"/>
    </row>
    <row r="69" spans="2:11">
      <c r="B69" s="7"/>
      <c r="D69" s="5"/>
      <c r="E69" s="8"/>
      <c r="F69" s="8"/>
      <c r="G69" s="8"/>
      <c r="H69" s="8"/>
      <c r="I69" s="8"/>
      <c r="J69" s="8"/>
      <c r="K69" s="8"/>
    </row>
    <row r="70" spans="2:11">
      <c r="B70" s="7"/>
      <c r="D70" s="5"/>
      <c r="E70" s="8"/>
      <c r="F70" s="8"/>
      <c r="G70" s="8"/>
      <c r="H70" s="8"/>
      <c r="I70" s="8"/>
      <c r="J70" s="8"/>
      <c r="K70" s="8"/>
    </row>
    <row r="71" spans="2:11">
      <c r="B71" s="7"/>
      <c r="D71" s="5"/>
      <c r="E71" s="8"/>
      <c r="F71" s="8"/>
      <c r="G71" s="8"/>
      <c r="H71" s="8"/>
      <c r="I71" s="8"/>
      <c r="J71" s="8"/>
      <c r="K71" s="8"/>
    </row>
    <row r="72" spans="2:11">
      <c r="B72" s="7"/>
      <c r="D72" s="5"/>
      <c r="E72" s="8"/>
      <c r="F72" s="8"/>
      <c r="G72" s="8"/>
      <c r="H72" s="8"/>
      <c r="I72" s="8"/>
      <c r="J72" s="8"/>
      <c r="K72" s="8"/>
    </row>
    <row r="73" spans="2:11">
      <c r="B73" s="7"/>
      <c r="D73" s="5"/>
      <c r="E73" s="8"/>
      <c r="F73" s="8"/>
      <c r="G73" s="8"/>
      <c r="H73" s="8"/>
      <c r="I73" s="8"/>
      <c r="J73" s="8"/>
      <c r="K73" s="8"/>
    </row>
    <row r="74" spans="2:11">
      <c r="B74" s="7"/>
      <c r="D74" s="5"/>
      <c r="E74" s="8"/>
      <c r="F74" s="8"/>
      <c r="G74" s="8"/>
      <c r="H74" s="8"/>
      <c r="I74" s="8"/>
      <c r="J74" s="8"/>
      <c r="K74" s="8"/>
    </row>
    <row r="75" spans="2:11">
      <c r="B75" s="7"/>
      <c r="D75" s="5"/>
      <c r="E75" s="8"/>
      <c r="F75" s="8"/>
      <c r="G75" s="8"/>
      <c r="H75" s="8"/>
      <c r="I75" s="8"/>
      <c r="J75" s="8"/>
      <c r="K75" s="8"/>
    </row>
    <row r="76" spans="2:11">
      <c r="B76" s="7"/>
      <c r="D76" s="5"/>
      <c r="E76" s="8"/>
      <c r="F76" s="8"/>
      <c r="G76" s="8"/>
      <c r="H76" s="8"/>
      <c r="I76" s="8"/>
      <c r="J76" s="8"/>
      <c r="K76" s="8"/>
    </row>
    <row r="77" spans="2:11">
      <c r="B77" s="7"/>
    </row>
    <row r="78" spans="2:11">
      <c r="B78" s="7"/>
      <c r="D78" s="5"/>
      <c r="E78" s="8"/>
      <c r="F78" s="8"/>
      <c r="G78" s="8"/>
      <c r="H78" s="8"/>
      <c r="I78" s="8"/>
      <c r="J78" s="8"/>
      <c r="K78" s="8"/>
    </row>
    <row r="79" spans="2:11">
      <c r="B79" s="7"/>
      <c r="D79" s="5"/>
      <c r="E79" s="8"/>
      <c r="F79" s="8"/>
      <c r="G79" s="8"/>
      <c r="H79" s="8"/>
      <c r="I79" s="8"/>
      <c r="J79" s="8"/>
      <c r="K79" s="8"/>
    </row>
    <row r="80" spans="2:11">
      <c r="B80" s="7"/>
      <c r="D80" s="5"/>
      <c r="E80" s="8"/>
      <c r="F80" s="8"/>
      <c r="G80" s="8"/>
      <c r="H80" s="8"/>
      <c r="I80" s="8"/>
      <c r="J80" s="8"/>
      <c r="K80" s="8"/>
    </row>
    <row r="81" spans="1:11">
      <c r="B81" s="7"/>
      <c r="D81" s="5"/>
      <c r="E81" s="8"/>
      <c r="F81" s="8"/>
      <c r="G81" s="8"/>
      <c r="H81" s="8"/>
      <c r="I81" s="8"/>
      <c r="J81" s="8"/>
      <c r="K81" s="8"/>
    </row>
    <row r="82" spans="1:11">
      <c r="A82" s="5"/>
      <c r="B82" s="7"/>
      <c r="D82" s="5"/>
      <c r="E82" s="8"/>
      <c r="F82" s="8"/>
      <c r="G82" s="8"/>
      <c r="H82" s="8"/>
      <c r="I82" s="8"/>
      <c r="J82" s="8"/>
      <c r="K82" s="8"/>
    </row>
    <row r="83" spans="1:11">
      <c r="B83" s="7"/>
      <c r="D83" s="5"/>
      <c r="E83" s="8"/>
      <c r="F83" s="8"/>
      <c r="G83" s="8"/>
      <c r="H83" s="8"/>
      <c r="I83" s="8"/>
      <c r="J83" s="8"/>
      <c r="K83" s="8"/>
    </row>
    <row r="84" spans="1:11">
      <c r="B84" s="7"/>
      <c r="D84" s="5"/>
      <c r="E84" s="8"/>
      <c r="F84" s="8"/>
      <c r="G84" s="8"/>
      <c r="H84" s="8"/>
      <c r="I84" s="8"/>
      <c r="J84" s="8"/>
      <c r="K84" s="8"/>
    </row>
    <row r="85" spans="1:11">
      <c r="B85" s="7"/>
      <c r="D85" s="5"/>
      <c r="E85" s="8"/>
      <c r="F85" s="8"/>
      <c r="G85" s="8"/>
      <c r="H85" s="8"/>
      <c r="I85" s="8"/>
      <c r="J85" s="8"/>
      <c r="K85" s="8"/>
    </row>
    <row r="86" spans="1:11">
      <c r="D86" s="5"/>
      <c r="E86" s="8"/>
      <c r="F86" s="8"/>
      <c r="G86" s="8"/>
      <c r="H86" s="8"/>
      <c r="I86" s="8"/>
      <c r="J86" s="8"/>
      <c r="K86" s="8"/>
    </row>
    <row r="87" spans="1:11">
      <c r="D87" s="5"/>
      <c r="E87" s="8"/>
      <c r="F87" s="8"/>
      <c r="G87" s="8"/>
      <c r="H87" s="8"/>
      <c r="I87" s="8"/>
      <c r="J87" s="8"/>
      <c r="K87" s="8"/>
    </row>
    <row r="88" spans="1:11">
      <c r="D88" s="5"/>
      <c r="E88" s="8"/>
      <c r="F88" s="8"/>
      <c r="G88" s="8"/>
      <c r="H88" s="8"/>
      <c r="I88" s="8"/>
      <c r="J88" s="8"/>
      <c r="K88" s="8"/>
    </row>
    <row r="89" spans="1:11">
      <c r="D89" s="5"/>
      <c r="E89" s="8"/>
      <c r="F89" s="8"/>
      <c r="G89" s="8"/>
      <c r="H89" s="8"/>
      <c r="I89" s="8"/>
      <c r="J89" s="8"/>
      <c r="K89" s="8"/>
    </row>
    <row r="90" spans="1:11">
      <c r="D90" s="5"/>
      <c r="E90" s="8"/>
      <c r="F90" s="8"/>
      <c r="G90" s="8"/>
      <c r="H90" s="8"/>
      <c r="I90" s="8"/>
      <c r="J90" s="8"/>
      <c r="K90" s="8"/>
    </row>
    <row r="91" spans="1:11">
      <c r="D91" s="5"/>
      <c r="E91" s="8"/>
      <c r="F91" s="8"/>
      <c r="G91" s="8"/>
      <c r="H91" s="8"/>
      <c r="I91" s="8"/>
      <c r="J91" s="8"/>
      <c r="K91" s="8"/>
    </row>
    <row r="92" spans="1:11">
      <c r="D92" s="5"/>
      <c r="E92" s="8"/>
      <c r="F92" s="8"/>
      <c r="G92" s="8"/>
      <c r="H92" s="8"/>
      <c r="I92" s="8"/>
      <c r="J92" s="8"/>
      <c r="K92" s="8"/>
    </row>
    <row r="93" spans="1:11">
      <c r="D93" s="5"/>
      <c r="E93" s="8"/>
      <c r="F93" s="8"/>
      <c r="G93" s="8"/>
      <c r="H93" s="8"/>
      <c r="I93" s="8"/>
      <c r="J93" s="8"/>
      <c r="K93" s="8"/>
    </row>
    <row r="94" spans="1:11">
      <c r="D94" s="5"/>
      <c r="E94" s="8"/>
      <c r="F94" s="8"/>
      <c r="G94" s="8"/>
      <c r="H94" s="8"/>
      <c r="I94" s="8"/>
      <c r="J94" s="8"/>
      <c r="K94" s="8"/>
    </row>
    <row r="95" spans="1:11">
      <c r="D95" s="5"/>
      <c r="E95" s="8"/>
      <c r="F95" s="8"/>
      <c r="G95" s="8"/>
      <c r="H95" s="8"/>
      <c r="I95" s="8"/>
      <c r="J95" s="8"/>
      <c r="K95" s="8"/>
    </row>
    <row r="96" spans="1:11">
      <c r="D96" s="5"/>
      <c r="E96" s="8"/>
      <c r="F96" s="8"/>
      <c r="G96" s="8"/>
      <c r="H96" s="8"/>
      <c r="I96" s="8"/>
      <c r="J96" s="8"/>
      <c r="K96" s="8"/>
    </row>
    <row r="97" spans="4:11">
      <c r="D97" s="5"/>
      <c r="E97" s="8"/>
      <c r="F97" s="8"/>
      <c r="G97" s="8"/>
      <c r="H97" s="8"/>
      <c r="I97" s="8"/>
      <c r="J97" s="8"/>
      <c r="K97" s="8"/>
    </row>
    <row r="98" spans="4:11">
      <c r="D98" s="5"/>
      <c r="E98" s="8"/>
      <c r="F98" s="8"/>
      <c r="G98" s="8"/>
      <c r="H98" s="8"/>
      <c r="I98" s="8"/>
      <c r="J98" s="8"/>
      <c r="K98" s="8"/>
    </row>
  </sheetData>
  <phoneticPr fontId="8" type="noConversion"/>
  <hyperlinks>
    <hyperlink ref="D9" r:id="rId1"/>
    <hyperlink ref="D16" r:id="rId2"/>
    <hyperlink ref="B17" r:id="rId3" display="http://www.irena.org/publications/2018/Jan/Renewable-power-generation-costs-in-2017"/>
    <hyperlink ref="B30" r:id="rId4"/>
    <hyperlink ref="A52" r:id="rId5" display="https://www.iea.org/statistics/?country=CHINA&amp;year=2016&amp;category=Electricity&amp;indicator=undefined&amp;mode=chart&amp;categoryBrowse=true&amp;dataTable=ELECTRICITYANDHEAT"/>
    <hyperlink ref="B9" r:id="rId6"/>
  </hyperlinks>
  <pageMargins left="0.7" right="0.7" top="0.75" bottom="0.75" header="0.3" footer="0.3"/>
  <pageSetup orientation="portrait" horizontalDpi="1200" verticalDpi="12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B17" sqref="B17"/>
    </sheetView>
  </sheetViews>
  <sheetFormatPr defaultRowHeight="14.25"/>
  <cols>
    <col min="1" max="1" width="33.265625" customWidth="1"/>
    <col min="2" max="2" width="23.1328125" customWidth="1"/>
    <col min="3" max="3" width="28.59765625" customWidth="1"/>
    <col min="4" max="4" width="23.1328125" customWidth="1"/>
  </cols>
  <sheetData>
    <row r="1" spans="1:4">
      <c r="A1" s="5" t="s">
        <v>327</v>
      </c>
      <c r="B1" s="10" t="s">
        <v>120</v>
      </c>
      <c r="C1" s="10" t="s">
        <v>328</v>
      </c>
      <c r="D1" s="10" t="s">
        <v>121</v>
      </c>
    </row>
    <row r="2" spans="1:4">
      <c r="A2" t="s">
        <v>119</v>
      </c>
      <c r="B2" s="4">
        <f>EDO!E7*About!A60*1000</f>
        <v>28508.559999999998</v>
      </c>
      <c r="C2" s="4">
        <f>$B2</f>
        <v>28508.559999999998</v>
      </c>
      <c r="D2" s="4">
        <f>$B2</f>
        <v>28508.559999999998</v>
      </c>
    </row>
    <row r="3" spans="1:4">
      <c r="A3" t="s">
        <v>122</v>
      </c>
      <c r="B3" s="4">
        <f>EDO!E6*About!A60*1000</f>
        <v>7156.27</v>
      </c>
      <c r="C3" s="4">
        <f t="shared" ref="C3:D10" si="0">$B3</f>
        <v>7156.27</v>
      </c>
      <c r="D3" s="4">
        <f t="shared" si="0"/>
        <v>7156.27</v>
      </c>
    </row>
    <row r="4" spans="1:4">
      <c r="A4" t="s">
        <v>126</v>
      </c>
      <c r="B4" s="4">
        <f>EDO!E9*About!A60*1000</f>
        <v>129298.36</v>
      </c>
      <c r="C4" s="4">
        <f t="shared" si="0"/>
        <v>129298.36</v>
      </c>
      <c r="D4" s="4">
        <f t="shared" si="0"/>
        <v>129298.36</v>
      </c>
    </row>
    <row r="5" spans="1:4">
      <c r="A5" t="s">
        <v>131</v>
      </c>
      <c r="B5" s="4">
        <f>'Hydro and Geothermal'!C2*(1-'O&amp;M Share'!R2)*About!A58*1000</f>
        <v>32591.091587517967</v>
      </c>
      <c r="C5" s="4">
        <f t="shared" si="0"/>
        <v>32591.091587517967</v>
      </c>
      <c r="D5" s="4">
        <f t="shared" si="0"/>
        <v>32591.091587517967</v>
      </c>
    </row>
    <row r="6" spans="1:4">
      <c r="A6" t="s">
        <v>133</v>
      </c>
      <c r="B6" s="4">
        <f>EDO!E3*About!A60*1000</f>
        <v>10564.48</v>
      </c>
      <c r="C6" s="4">
        <f t="shared" si="0"/>
        <v>10564.48</v>
      </c>
      <c r="D6" s="4">
        <f t="shared" si="0"/>
        <v>10564.48</v>
      </c>
    </row>
    <row r="7" spans="1:4">
      <c r="A7" t="s">
        <v>137</v>
      </c>
      <c r="B7" s="4">
        <f>EDO!E5*About!A60*1000</f>
        <v>26013.089999999997</v>
      </c>
      <c r="C7" s="4">
        <f t="shared" si="0"/>
        <v>26013.089999999997</v>
      </c>
      <c r="D7" s="4">
        <f t="shared" si="0"/>
        <v>26013.089999999997</v>
      </c>
    </row>
    <row r="8" spans="1:4">
      <c r="A8" t="s">
        <v>135</v>
      </c>
      <c r="B8" s="4">
        <f>'Solar thermal'!C3*(1-'O&amp;M Share'!R3)</f>
        <v>44500</v>
      </c>
      <c r="C8" s="4">
        <f t="shared" si="0"/>
        <v>44500</v>
      </c>
      <c r="D8" s="4">
        <f t="shared" si="0"/>
        <v>44500</v>
      </c>
    </row>
    <row r="9" spans="1:4">
      <c r="A9" t="s">
        <v>128</v>
      </c>
      <c r="B9" s="4">
        <f>EDO!E8*About!A60*1000</f>
        <v>29071.74</v>
      </c>
      <c r="C9" s="4">
        <f t="shared" si="0"/>
        <v>29071.74</v>
      </c>
      <c r="D9" s="4">
        <f t="shared" si="0"/>
        <v>29071.74</v>
      </c>
    </row>
    <row r="10" spans="1:4">
      <c r="A10" t="s">
        <v>129</v>
      </c>
      <c r="B10" s="4">
        <f>'Hydro and Geothermal'!C3*(1-'O&amp;M Share'!R4)*About!A58*1000</f>
        <v>96919.177656757136</v>
      </c>
      <c r="C10" s="4">
        <f t="shared" si="0"/>
        <v>96919.177656757136</v>
      </c>
      <c r="D10" s="4">
        <f t="shared" si="0"/>
        <v>96919.177656757136</v>
      </c>
    </row>
    <row r="11" spans="1:4">
      <c r="A11" t="s">
        <v>329</v>
      </c>
      <c r="B11" s="4">
        <v>7340</v>
      </c>
      <c r="C11" s="4">
        <v>0</v>
      </c>
      <c r="D11" s="4">
        <v>7040</v>
      </c>
    </row>
    <row r="12" spans="1:4">
      <c r="A12" t="s">
        <v>124</v>
      </c>
      <c r="B12" s="4">
        <f>B3*('EIA Costs'!$F$5/'EIA Costs'!$F$3)</f>
        <v>3552.6497079772084</v>
      </c>
      <c r="C12" s="4">
        <f>C3*('EIA Costs'!$F$5/'EIA Costs'!$F$3)</f>
        <v>3552.6497079772084</v>
      </c>
      <c r="D12" s="4">
        <f>D3*('EIA Costs'!$F$5/'EIA Costs'!$F$3)</f>
        <v>3552.6497079772084</v>
      </c>
    </row>
    <row r="13" spans="1:4">
      <c r="A13" t="s">
        <v>330</v>
      </c>
      <c r="B13" s="4">
        <f>B2</f>
        <v>28508.559999999998</v>
      </c>
      <c r="C13" s="4">
        <f t="shared" ref="C13:D13" si="1">C2</f>
        <v>28508.559999999998</v>
      </c>
      <c r="D13" s="4">
        <f t="shared" si="1"/>
        <v>28508.559999999998</v>
      </c>
    </row>
    <row r="14" spans="1:4">
      <c r="A14" t="s">
        <v>134</v>
      </c>
      <c r="B14" s="4">
        <f>EDO!E4*About!A60*1000</f>
        <v>16905.11</v>
      </c>
      <c r="C14" s="4">
        <f>$B14</f>
        <v>16905.11</v>
      </c>
      <c r="D14" s="4">
        <f>$B14</f>
        <v>16905.11</v>
      </c>
    </row>
    <row r="15" spans="1:4">
      <c r="A15" t="s">
        <v>331</v>
      </c>
      <c r="B15" s="4">
        <f>B11</f>
        <v>7340</v>
      </c>
      <c r="C15">
        <v>0</v>
      </c>
      <c r="D15" s="4">
        <f>D11</f>
        <v>7040</v>
      </c>
    </row>
    <row r="16" spans="1:4">
      <c r="A16" t="s">
        <v>332</v>
      </c>
      <c r="B16" s="4">
        <f>B11</f>
        <v>7340</v>
      </c>
      <c r="C16">
        <v>0</v>
      </c>
      <c r="D16" s="4">
        <f>D11</f>
        <v>7040</v>
      </c>
    </row>
    <row r="17" spans="1:4">
      <c r="A17" t="s">
        <v>333</v>
      </c>
      <c r="B17" s="4">
        <f>'MSW HK'!N9</f>
        <v>14962453.333333334</v>
      </c>
      <c r="C17">
        <v>0</v>
      </c>
      <c r="D17" s="4">
        <f>B17</f>
        <v>14962453.333333334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A8" sqref="A8"/>
    </sheetView>
  </sheetViews>
  <sheetFormatPr defaultRowHeight="14.25"/>
  <cols>
    <col min="1" max="1" width="33.265625" customWidth="1"/>
    <col min="2" max="4" width="24" customWidth="1"/>
  </cols>
  <sheetData>
    <row r="1" spans="1:4">
      <c r="A1" s="5" t="s">
        <v>334</v>
      </c>
      <c r="B1" s="10" t="s">
        <v>120</v>
      </c>
      <c r="C1" s="10" t="s">
        <v>328</v>
      </c>
      <c r="D1" s="10" t="s">
        <v>121</v>
      </c>
    </row>
    <row r="2" spans="1:4">
      <c r="A2" t="s">
        <v>189</v>
      </c>
      <c r="B2" s="9">
        <f>EDO!G7*About!A60</f>
        <v>3.5927000000000002</v>
      </c>
      <c r="C2" s="9">
        <f>$B2</f>
        <v>3.5927000000000002</v>
      </c>
      <c r="D2" s="9">
        <f>$B2</f>
        <v>3.5927000000000002</v>
      </c>
    </row>
    <row r="3" spans="1:4">
      <c r="A3" t="s">
        <v>122</v>
      </c>
      <c r="B3" s="9">
        <f>EDO!G6*About!A60</f>
        <v>5.8259999999999999E-2</v>
      </c>
      <c r="C3" s="9">
        <f t="shared" ref="C3:D10" si="0">$B3</f>
        <v>5.8259999999999999E-2</v>
      </c>
      <c r="D3" s="9">
        <f t="shared" si="0"/>
        <v>5.8259999999999999E-2</v>
      </c>
    </row>
    <row r="4" spans="1:4">
      <c r="A4" t="s">
        <v>126</v>
      </c>
      <c r="B4" s="9">
        <f>EDO!G9*About!A60</f>
        <v>4.57341</v>
      </c>
      <c r="C4" s="9">
        <f t="shared" si="0"/>
        <v>4.57341</v>
      </c>
      <c r="D4" s="9">
        <f t="shared" si="0"/>
        <v>4.57341</v>
      </c>
    </row>
    <row r="5" spans="1:4">
      <c r="A5" t="s">
        <v>131</v>
      </c>
      <c r="B5" s="9">
        <f>('Hydro and Geothermal'!C2*'O&amp;M Share'!R2)/(8760*'Hydro and Geothermal'!D2)*About!A58*1000</f>
        <v>1.3741984204311355</v>
      </c>
      <c r="C5" s="9">
        <f t="shared" si="0"/>
        <v>1.3741984204311355</v>
      </c>
      <c r="D5" s="9">
        <f t="shared" si="0"/>
        <v>1.3741984204311355</v>
      </c>
    </row>
    <row r="6" spans="1:4">
      <c r="A6" t="s">
        <v>133</v>
      </c>
      <c r="B6" s="4">
        <f>EDO!G3*About!A60</f>
        <v>0</v>
      </c>
      <c r="C6" s="9">
        <f t="shared" si="0"/>
        <v>0</v>
      </c>
      <c r="D6" s="9">
        <f t="shared" si="0"/>
        <v>0</v>
      </c>
    </row>
    <row r="7" spans="1:4">
      <c r="A7" t="s">
        <v>137</v>
      </c>
      <c r="B7" s="4">
        <f>EDO!G5*About!A60</f>
        <v>0</v>
      </c>
      <c r="C7" s="9">
        <f t="shared" si="0"/>
        <v>0</v>
      </c>
      <c r="D7" s="9">
        <f t="shared" si="0"/>
        <v>0</v>
      </c>
    </row>
    <row r="8" spans="1:4">
      <c r="A8" t="s">
        <v>135</v>
      </c>
      <c r="B8" s="4">
        <v>0</v>
      </c>
      <c r="C8" s="9">
        <f t="shared" si="0"/>
        <v>0</v>
      </c>
      <c r="D8" s="9">
        <f t="shared" si="0"/>
        <v>0</v>
      </c>
    </row>
    <row r="9" spans="1:4">
      <c r="A9" t="s">
        <v>128</v>
      </c>
      <c r="B9" s="9">
        <f>EDO!G8*About!A60</f>
        <v>2.6022799999999999</v>
      </c>
      <c r="C9" s="9">
        <f t="shared" si="0"/>
        <v>2.6022799999999999</v>
      </c>
      <c r="D9" s="9">
        <f t="shared" si="0"/>
        <v>2.6022799999999999</v>
      </c>
    </row>
    <row r="10" spans="1:4">
      <c r="A10" t="s">
        <v>129</v>
      </c>
      <c r="B10" s="4">
        <f>('Hydro and Geothermal'!C3*'O&amp;M Share'!R4)/(8760*'Hydro and Geothermal'!D3)*About!A58*1000</f>
        <v>1.2222461033311733</v>
      </c>
      <c r="C10" s="9">
        <f t="shared" si="0"/>
        <v>1.2222461033311733</v>
      </c>
      <c r="D10" s="9">
        <f t="shared" si="0"/>
        <v>1.2222461033311733</v>
      </c>
    </row>
    <row r="11" spans="1:4">
      <c r="A11" t="s">
        <v>329</v>
      </c>
      <c r="B11" s="68">
        <v>15.44</v>
      </c>
      <c r="C11" s="68">
        <v>0</v>
      </c>
      <c r="D11" s="68">
        <v>10.37</v>
      </c>
    </row>
    <row r="12" spans="1:4">
      <c r="A12" t="s">
        <v>124</v>
      </c>
      <c r="B12" s="68">
        <f>B3*('EIA Costs'!$E$5/'EIA Costs'!$E$3)</f>
        <v>0.10275779527559056</v>
      </c>
      <c r="C12" s="68">
        <f>C3*('EIA Costs'!$E$5/'EIA Costs'!$E$3)</f>
        <v>0.10275779527559056</v>
      </c>
      <c r="D12" s="68">
        <f>D3*('EIA Costs'!$E$5/'EIA Costs'!$E$3)</f>
        <v>0.10275779527559056</v>
      </c>
    </row>
    <row r="13" spans="1:4">
      <c r="A13" t="s">
        <v>330</v>
      </c>
      <c r="B13" s="68">
        <f>B2</f>
        <v>3.5927000000000002</v>
      </c>
      <c r="C13" s="68">
        <f t="shared" ref="C13:D13" si="1">C2</f>
        <v>3.5927000000000002</v>
      </c>
      <c r="D13" s="68">
        <f t="shared" si="1"/>
        <v>3.5927000000000002</v>
      </c>
    </row>
    <row r="14" spans="1:4">
      <c r="A14" t="s">
        <v>134</v>
      </c>
      <c r="B14">
        <f>EDO!G4*About!A60</f>
        <v>0</v>
      </c>
      <c r="C14">
        <f>$B14</f>
        <v>0</v>
      </c>
      <c r="D14">
        <f>$B14</f>
        <v>0</v>
      </c>
    </row>
    <row r="15" spans="1:4">
      <c r="A15" t="s">
        <v>331</v>
      </c>
      <c r="B15" s="9">
        <f>B11</f>
        <v>15.44</v>
      </c>
      <c r="C15" s="9">
        <f t="shared" ref="C15:D16" si="2">C11</f>
        <v>0</v>
      </c>
      <c r="D15" s="9">
        <f t="shared" si="2"/>
        <v>10.37</v>
      </c>
    </row>
    <row r="16" spans="1:4">
      <c r="A16" t="s">
        <v>332</v>
      </c>
      <c r="B16" s="9">
        <f>B12</f>
        <v>0.10275779527559056</v>
      </c>
      <c r="C16" s="9">
        <f t="shared" si="2"/>
        <v>0.10275779527559056</v>
      </c>
      <c r="D16" s="9">
        <f t="shared" si="2"/>
        <v>0.10275779527559056</v>
      </c>
    </row>
    <row r="17" spans="1:4">
      <c r="A17" t="s">
        <v>333</v>
      </c>
      <c r="B17">
        <v>8.49</v>
      </c>
      <c r="C17">
        <v>0</v>
      </c>
      <c r="D17">
        <v>8.49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9"/>
  <sheetViews>
    <sheetView topLeftCell="K1" workbookViewId="0">
      <selection activeCell="Q8" sqref="Q8"/>
    </sheetView>
  </sheetViews>
  <sheetFormatPr defaultColWidth="8.73046875" defaultRowHeight="14.25"/>
  <cols>
    <col min="1" max="1" width="6" style="60" customWidth="1"/>
    <col min="2" max="2" width="17.265625" style="60" customWidth="1"/>
    <col min="3" max="3" width="31" style="60" customWidth="1"/>
    <col min="4" max="5" width="17.265625" style="60" customWidth="1"/>
    <col min="6" max="6" width="23.1328125" style="60" customWidth="1"/>
    <col min="7" max="7" width="17.265625" style="60" customWidth="1"/>
    <col min="8" max="8" width="22.59765625" style="60" customWidth="1"/>
    <col min="9" max="9" width="17.265625" style="60" customWidth="1"/>
    <col min="10" max="10" width="22.3984375" style="60" customWidth="1"/>
    <col min="11" max="11" width="20.86328125" style="60" customWidth="1"/>
    <col min="12" max="12" width="28.1328125" style="60" customWidth="1"/>
    <col min="13" max="13" width="19.1328125" style="60" bestFit="1" customWidth="1"/>
    <col min="14" max="17" width="22.1328125" style="60" bestFit="1" customWidth="1"/>
    <col min="18" max="16384" width="8.73046875" style="60"/>
  </cols>
  <sheetData>
    <row r="1" spans="1:17">
      <c r="A1" s="59" t="s">
        <v>82</v>
      </c>
      <c r="B1" s="59" t="s">
        <v>335</v>
      </c>
      <c r="C1" s="59" t="s">
        <v>336</v>
      </c>
      <c r="D1" s="59" t="s">
        <v>337</v>
      </c>
      <c r="E1" s="59" t="s">
        <v>338</v>
      </c>
      <c r="F1" s="59" t="s">
        <v>339</v>
      </c>
      <c r="G1" s="59" t="s">
        <v>340</v>
      </c>
      <c r="H1" s="59" t="s">
        <v>341</v>
      </c>
      <c r="I1" s="59" t="s">
        <v>342</v>
      </c>
      <c r="J1" s="59" t="s">
        <v>343</v>
      </c>
      <c r="K1" s="59" t="s">
        <v>344</v>
      </c>
      <c r="L1" s="59" t="s">
        <v>345</v>
      </c>
      <c r="M1" s="59" t="s">
        <v>346</v>
      </c>
      <c r="N1" s="59" t="s">
        <v>347</v>
      </c>
      <c r="O1" s="59" t="s">
        <v>331</v>
      </c>
      <c r="P1" s="59" t="s">
        <v>332</v>
      </c>
      <c r="Q1" s="59" t="s">
        <v>333</v>
      </c>
    </row>
    <row r="2" spans="1:17">
      <c r="A2" s="61">
        <v>2016</v>
      </c>
      <c r="B2" s="62">
        <f>EDO!$C$7*INDEX('Cost Improvement (other)'!$B$118:$AL$124,MATCH("coal",'Cost Improvement (other)'!$A$118:$A$124,0),MATCH('CCaMC-BCCpUC'!$A2,'Cost Improvement (other)'!$B$117:$AL$117,0))*1000*About!$A$60</f>
        <v>1229917.1499999999</v>
      </c>
      <c r="C2" s="62">
        <f>EDO!$C$6*INDEX('Cost Improvement (other)'!$B$118:$AL$124,MATCH("natural gas nonpeaker",'Cost Improvement (other)'!$A$118:$A$124,0),MATCH('CCaMC-BCCpUC'!$A2,'Cost Improvement (other)'!$B$117:$AL$117,0))*1000*About!$A$60</f>
        <v>346899.45999999996</v>
      </c>
      <c r="D2" s="62">
        <f>EDO!$C$9*INDEX('Cost Improvement (other)'!$B$118:$AL$124,MATCH("nuclear",'Cost Improvement (other)'!$A$118:$A$124,0),MATCH('CCaMC-BCCpUC'!$A2,'Cost Improvement (other)'!$B$117:$AL$117,0))*1000*About!$A$58</f>
        <v>2002567.49</v>
      </c>
      <c r="E2" s="62">
        <f>'Hydro and Geothermal'!$B$2*INDEX('Cost Improvement (other)'!$B$118:$AL$124,MATCH("hydro",'Cost Improvement (other)'!$A$118:$A$124,0),MATCH('CCaMC-BCCpUC'!$A2,'Cost Improvement (other)'!$B$117:$AL$117,0))*1000*About!$A$58</f>
        <v>1606503.8220084156</v>
      </c>
      <c r="F2" s="62">
        <f>EDO!$C$3*INDEX('Cost Improvement (wind&amp;solar)'!$I$2:$L$42,MATCH('CCaMC-BCCpUC'!$A2,'Cost Improvement (wind&amp;solar)'!$H$2:$H$42,0),MATCH("onshore wind",'Cost Improvement (wind&amp;solar)'!$I$1:$L$1,0))*1000*About!$A$60</f>
        <v>1308317.1465000003</v>
      </c>
      <c r="G2" s="62">
        <f>EDO!$C$5*INDEX('Cost Improvement (wind&amp;solar)'!$I$2:$L$42,MATCH('CCaMC-BCCpUC'!$A2,'Cost Improvement (wind&amp;solar)'!$H$2:$H$42,0),MATCH("solar pv",'Cost Improvement (wind&amp;solar)'!$I$1:$L$1,0))*1000*About!$A$60</f>
        <v>1022434.7898947368</v>
      </c>
      <c r="H2" s="62">
        <f>'Solar thermal'!$B$3*INDEX('Cost Improvement (wind&amp;solar)'!$I$2:$L$42,MATCH('CCaMC-BCCpUC'!$A2,'Cost Improvement (wind&amp;solar)'!$H$2:$H$42,0),MATCH("solar thermal",'Cost Improvement (wind&amp;solar)'!$I$1:$L$1,0))*10^6</f>
        <v>3377104.3478260874</v>
      </c>
      <c r="I2" s="62">
        <f>EDO!$C$8*INDEX('Cost Improvement (other)'!$B$118:$AL$124,MATCH("biomass",'Cost Improvement (other)'!$A$118:$A$124,0),MATCH('CCaMC-BCCpUC'!$A2,'Cost Improvement (other)'!$B$117:$AL$117,0))*1000*About!$A$60</f>
        <v>1637981.773106884</v>
      </c>
      <c r="J2" s="62">
        <f>'Hydro and Geothermal'!$B$3*INDEX('Cost Improvement (other)'!$B$118:$AL$124,MATCH("geothermal",'Cost Improvement (other)'!$A$118:$A$124,0),MATCH('CCaMC-BCCpUC'!$A2,'Cost Improvement (other)'!$B$117:$AL$117,0))*1000*About!$A$58</f>
        <v>3373821.2998349592</v>
      </c>
      <c r="K2" s="67">
        <v>654224.44741861895</v>
      </c>
      <c r="L2" s="67">
        <f>EDO!$C$6*('EIA Costs'!$D$5/'EIA Costs'!$D$3)*INDEX('Cost Improvement (other)'!$B$118:$AL$124,MATCH("natural gas peaker",'Cost Improvement (other)'!$A$118:$A$124,0),MATCH('CCaMC-BCCpUC'!$A2,'Cost Improvement (other)'!$B$117:$AL$117,0))*1000*About!$A$60</f>
        <v>228265.63169601481</v>
      </c>
      <c r="M2" s="67">
        <f>B2</f>
        <v>1229917.1499999999</v>
      </c>
      <c r="N2" s="62">
        <f>EDO!$C$4*INDEX('Cost Improvement (wind&amp;solar)'!$I$2:$L$42,MATCH('CCaMC-BCCpUC'!$A2,'Cost Improvement (wind&amp;solar)'!$H$2:$H$42,0),MATCH("offshore wind",'Cost Improvement (wind&amp;solar)'!$I$1:$L$1,0))*1000*About!$A$60</f>
        <v>1934034.4014999997</v>
      </c>
      <c r="O2" s="62">
        <f>K2</f>
        <v>654224.44741861895</v>
      </c>
      <c r="P2" s="62">
        <f>K2</f>
        <v>654224.44741861895</v>
      </c>
      <c r="Q2" s="62">
        <v>7982156.7055278737</v>
      </c>
    </row>
    <row r="3" spans="1:17">
      <c r="A3" s="61">
        <v>2017</v>
      </c>
      <c r="B3" s="62">
        <f>EDO!$C$7*INDEX('Cost Improvement (other)'!$B$118:$AL$124,MATCH("coal",'Cost Improvement (other)'!$A$118:$A$124,0),MATCH('CCaMC-BCCpUC'!$A3,'Cost Improvement (other)'!$B$117:$AL$117,0))*1000*About!$A$60</f>
        <v>1229917.1499999999</v>
      </c>
      <c r="C3" s="62">
        <f>EDO!$C$6*INDEX('Cost Improvement (other)'!$B$118:$AL$124,MATCH("natural gas nonpeaker",'Cost Improvement (other)'!$A$118:$A$124,0),MATCH('CCaMC-BCCpUC'!$A3,'Cost Improvement (other)'!$B$117:$AL$117,0))*1000*About!$A$60</f>
        <v>342682.07174305804</v>
      </c>
      <c r="D3" s="62">
        <f>EDO!$C$9*INDEX('Cost Improvement (other)'!$B$118:$AL$124,MATCH("nuclear",'Cost Improvement (other)'!$A$118:$A$124,0),MATCH('CCaMC-BCCpUC'!$A3,'Cost Improvement (other)'!$B$117:$AL$117,0))*1000*About!$A$58</f>
        <v>2002567.49</v>
      </c>
      <c r="E3" s="62">
        <f>'Hydro and Geothermal'!$B$2*INDEX('Cost Improvement (other)'!$B$118:$AL$124,MATCH("hydro",'Cost Improvement (other)'!$A$118:$A$124,0),MATCH('CCaMC-BCCpUC'!$A3,'Cost Improvement (other)'!$B$117:$AL$117,0))*1000*About!$A$58</f>
        <v>1597887.3114966715</v>
      </c>
      <c r="F3" s="62">
        <f>EDO!$C$3*INDEX('Cost Improvement (wind&amp;solar)'!$I$2:$L$42,MATCH('CCaMC-BCCpUC'!$A3,'Cost Improvement (wind&amp;solar)'!$H$2:$H$42,0),MATCH("onshore wind",'Cost Improvement (wind&amp;solar)'!$I$1:$L$1,0))*1000*About!$A$60</f>
        <v>1302726.0475833334</v>
      </c>
      <c r="G3" s="62">
        <f>EDO!$C$5*INDEX('Cost Improvement (wind&amp;solar)'!$I$2:$L$42,MATCH('CCaMC-BCCpUC'!$A3,'Cost Improvement (wind&amp;solar)'!$H$2:$H$42,0),MATCH("solar pv",'Cost Improvement (wind&amp;solar)'!$I$1:$L$1,0))*1000*About!$A$60</f>
        <v>982599.66821052635</v>
      </c>
      <c r="H3" s="62">
        <f>'Solar thermal'!$B$3*INDEX('Cost Improvement (wind&amp;solar)'!$I$2:$L$42,MATCH('CCaMC-BCCpUC'!$A3,'Cost Improvement (wind&amp;solar)'!$H$2:$H$42,0),MATCH("solar thermal",'Cost Improvement (wind&amp;solar)'!$I$1:$L$1,0))*10^6</f>
        <v>3304121.7391304355</v>
      </c>
      <c r="I3" s="62">
        <f>EDO!$C$8*INDEX('Cost Improvement (other)'!$B$118:$AL$124,MATCH("biomass",'Cost Improvement (other)'!$A$118:$A$124,0),MATCH('CCaMC-BCCpUC'!$A3,'Cost Improvement (other)'!$B$117:$AL$117,0))*1000*About!$A$60</f>
        <v>1618162.4020950196</v>
      </c>
      <c r="J3" s="62">
        <f>'Hydro and Geothermal'!$B$3*INDEX('Cost Improvement (other)'!$B$118:$AL$124,MATCH("geothermal",'Cost Improvement (other)'!$A$118:$A$124,0),MATCH('CCaMC-BCCpUC'!$A3,'Cost Improvement (other)'!$B$117:$AL$117,0))*1000*About!$A$58</f>
        <v>3368188.8769637821</v>
      </c>
      <c r="K3" s="67">
        <v>654225.44741861895</v>
      </c>
      <c r="L3" s="67">
        <f>EDO!$C$6*('EIA Costs'!$D$5/'EIA Costs'!$D$3)*INDEX('Cost Improvement (other)'!$B$118:$AL$124,MATCH("natural gas peaker",'Cost Improvement (other)'!$A$118:$A$124,0),MATCH('CCaMC-BCCpUC'!$A3,'Cost Improvement (other)'!$B$117:$AL$117,0))*1000*About!$A$60</f>
        <v>225490.51986799933</v>
      </c>
      <c r="M3" s="67">
        <f>B3</f>
        <v>1229917.1499999999</v>
      </c>
      <c r="N3" s="62">
        <f>EDO!$C$4*INDEX('Cost Improvement (wind&amp;solar)'!$I$2:$L$42,MATCH('CCaMC-BCCpUC'!$A3,'Cost Improvement (wind&amp;solar)'!$H$2:$H$42,0),MATCH("offshore wind",'Cost Improvement (wind&amp;solar)'!$I$1:$L$1,0))*1000*About!$A$60</f>
        <v>1877151.0367499995</v>
      </c>
      <c r="O3" s="62">
        <f t="shared" ref="O3:O36" si="0">K3</f>
        <v>654225.44741861895</v>
      </c>
      <c r="P3" s="62">
        <f t="shared" ref="P3:P36" si="1">K3</f>
        <v>654225.44741861895</v>
      </c>
      <c r="Q3" s="62">
        <v>7971502.811055745</v>
      </c>
    </row>
    <row r="4" spans="1:17">
      <c r="A4" s="61">
        <v>2018</v>
      </c>
      <c r="B4" s="62">
        <f>EDO!$C$7*INDEX('Cost Improvement (other)'!$B$118:$AL$124,MATCH("coal",'Cost Improvement (other)'!$A$118:$A$124,0),MATCH('CCaMC-BCCpUC'!$A4,'Cost Improvement (other)'!$B$117:$AL$117,0))*1000*About!$A$60</f>
        <v>1213965.8323629345</v>
      </c>
      <c r="C4" s="62">
        <f>EDO!$C$6*INDEX('Cost Improvement (other)'!$B$118:$AL$124,MATCH("natural gas nonpeaker",'Cost Improvement (other)'!$A$118:$A$124,0),MATCH('CCaMC-BCCpUC'!$A4,'Cost Improvement (other)'!$B$117:$AL$117,0))*1000*About!$A$60</f>
        <v>341729.43537225318</v>
      </c>
      <c r="D4" s="62">
        <f>EDO!$C$9*INDEX('Cost Improvement (other)'!$B$118:$AL$124,MATCH("nuclear",'Cost Improvement (other)'!$A$118:$A$124,0),MATCH('CCaMC-BCCpUC'!$A4,'Cost Improvement (other)'!$B$117:$AL$117,0))*1000*About!$A$58</f>
        <v>2002567.49</v>
      </c>
      <c r="E4" s="62">
        <f>'Hydro and Geothermal'!$B$2*INDEX('Cost Improvement (other)'!$B$118:$AL$124,MATCH("hydro",'Cost Improvement (other)'!$A$118:$A$124,0),MATCH('CCaMC-BCCpUC'!$A4,'Cost Improvement (other)'!$B$117:$AL$117,0))*1000*About!$A$58</f>
        <v>1589270.8009849265</v>
      </c>
      <c r="F4" s="62">
        <f>EDO!$C$3*INDEX('Cost Improvement (wind&amp;solar)'!$I$2:$L$42,MATCH('CCaMC-BCCpUC'!$A4,'Cost Improvement (wind&amp;solar)'!$H$2:$H$42,0),MATCH("onshore wind",'Cost Improvement (wind&amp;solar)'!$I$1:$L$1,0))*1000*About!$A$60</f>
        <v>1297134.9486666671</v>
      </c>
      <c r="G4" s="62">
        <f>EDO!$C$5*INDEX('Cost Improvement (wind&amp;solar)'!$I$2:$L$42,MATCH('CCaMC-BCCpUC'!$A4,'Cost Improvement (wind&amp;solar)'!$H$2:$H$42,0),MATCH("solar pv",'Cost Improvement (wind&amp;solar)'!$I$1:$L$1,0))*1000*About!$A$60</f>
        <v>942764.54652631585</v>
      </c>
      <c r="H4" s="62">
        <f>'Solar thermal'!$B$3*INDEX('Cost Improvement (wind&amp;solar)'!$I$2:$L$42,MATCH('CCaMC-BCCpUC'!$A4,'Cost Improvement (wind&amp;solar)'!$H$2:$H$42,0),MATCH("solar thermal",'Cost Improvement (wind&amp;solar)'!$I$1:$L$1,0))*10^6</f>
        <v>3231139.1304347832</v>
      </c>
      <c r="I4" s="62">
        <f>EDO!$C$8*INDEX('Cost Improvement (other)'!$B$118:$AL$124,MATCH("biomass",'Cost Improvement (other)'!$A$118:$A$124,0),MATCH('CCaMC-BCCpUC'!$A4,'Cost Improvement (other)'!$B$117:$AL$117,0))*1000*About!$A$60</f>
        <v>1612963.8015331032</v>
      </c>
      <c r="J4" s="62">
        <f>'Hydro and Geothermal'!$B$3*INDEX('Cost Improvement (other)'!$B$118:$AL$124,MATCH("geothermal",'Cost Improvement (other)'!$A$118:$A$124,0),MATCH('CCaMC-BCCpUC'!$A4,'Cost Improvement (other)'!$B$117:$AL$117,0))*1000*About!$A$58</f>
        <v>3362556.454092606</v>
      </c>
      <c r="K4" s="67">
        <v>652272.3387205411</v>
      </c>
      <c r="L4" s="67">
        <f>EDO!$C$6*('EIA Costs'!$D$5/'EIA Costs'!$D$3)*INDEX('Cost Improvement (other)'!$B$118:$AL$124,MATCH("natural gas peaker",'Cost Improvement (other)'!$A$118:$A$124,0),MATCH('CCaMC-BCCpUC'!$A4,'Cost Improvement (other)'!$B$117:$AL$117,0))*1000*About!$A$60</f>
        <v>224817.34596835048</v>
      </c>
      <c r="M4" s="67">
        <f t="shared" ref="M4:M36" si="2">B4</f>
        <v>1213965.8323629345</v>
      </c>
      <c r="N4" s="62">
        <f>EDO!$C$4*INDEX('Cost Improvement (wind&amp;solar)'!$I$2:$L$42,MATCH('CCaMC-BCCpUC'!$A4,'Cost Improvement (wind&amp;solar)'!$H$2:$H$42,0),MATCH("offshore wind",'Cost Improvement (wind&amp;solar)'!$I$1:$L$1,0))*1000*About!$A$60</f>
        <v>1820267.6719999996</v>
      </c>
      <c r="O4" s="62">
        <f t="shared" si="0"/>
        <v>652272.3387205411</v>
      </c>
      <c r="P4" s="62">
        <f t="shared" si="1"/>
        <v>652272.3387205411</v>
      </c>
      <c r="Q4" s="62">
        <v>7982156.7055278737</v>
      </c>
    </row>
    <row r="5" spans="1:17">
      <c r="A5" s="61">
        <v>2019</v>
      </c>
      <c r="B5" s="62">
        <f>EDO!$C$7*INDEX('Cost Improvement (other)'!$B$118:$AL$124,MATCH("coal",'Cost Improvement (other)'!$A$118:$A$124,0),MATCH('CCaMC-BCCpUC'!$A5,'Cost Improvement (other)'!$B$117:$AL$117,0))*1000*About!$A$60</f>
        <v>1195434.1595754204</v>
      </c>
      <c r="C5" s="62">
        <f>EDO!$C$6*INDEX('Cost Improvement (other)'!$B$118:$AL$124,MATCH("natural gas nonpeaker",'Cost Improvement (other)'!$A$118:$A$124,0),MATCH('CCaMC-BCCpUC'!$A5,'Cost Improvement (other)'!$B$117:$AL$117,0))*1000*About!$A$60</f>
        <v>340511.43503082631</v>
      </c>
      <c r="D5" s="62">
        <f>EDO!$C$9*INDEX('Cost Improvement (other)'!$B$118:$AL$124,MATCH("nuclear",'Cost Improvement (other)'!$A$118:$A$124,0),MATCH('CCaMC-BCCpUC'!$A5,'Cost Improvement (other)'!$B$117:$AL$117,0))*1000*About!$A$58</f>
        <v>2002567.49</v>
      </c>
      <c r="E5" s="62">
        <f>'Hydro and Geothermal'!$B$2*INDEX('Cost Improvement (other)'!$B$118:$AL$124,MATCH("hydro",'Cost Improvement (other)'!$A$118:$A$124,0),MATCH('CCaMC-BCCpUC'!$A5,'Cost Improvement (other)'!$B$117:$AL$117,0))*1000*About!$A$58</f>
        <v>1580658.2673021799</v>
      </c>
      <c r="F5" s="62">
        <f>EDO!$C$3*INDEX('Cost Improvement (wind&amp;solar)'!$I$2:$L$42,MATCH('CCaMC-BCCpUC'!$A5,'Cost Improvement (wind&amp;solar)'!$H$2:$H$42,0),MATCH("onshore wind",'Cost Improvement (wind&amp;solar)'!$I$1:$L$1,0))*1000*About!$A$60</f>
        <v>1291543.8497500003</v>
      </c>
      <c r="G5" s="62">
        <f>EDO!$C$5*INDEX('Cost Improvement (wind&amp;solar)'!$I$2:$L$42,MATCH('CCaMC-BCCpUC'!$A5,'Cost Improvement (wind&amp;solar)'!$H$2:$H$42,0),MATCH("solar pv",'Cost Improvement (wind&amp;solar)'!$I$1:$L$1,0))*1000*About!$A$60</f>
        <v>902929.42484210536</v>
      </c>
      <c r="H5" s="62">
        <f>'Solar thermal'!$B$3*INDEX('Cost Improvement (wind&amp;solar)'!$I$2:$L$42,MATCH('CCaMC-BCCpUC'!$A5,'Cost Improvement (wind&amp;solar)'!$H$2:$H$42,0),MATCH("solar thermal",'Cost Improvement (wind&amp;solar)'!$I$1:$L$1,0))*10^6</f>
        <v>3158156.5217391308</v>
      </c>
      <c r="I5" s="62">
        <f>EDO!$C$8*INDEX('Cost Improvement (other)'!$B$118:$AL$124,MATCH("biomass",'Cost Improvement (other)'!$A$118:$A$124,0),MATCH('CCaMC-BCCpUC'!$A5,'Cost Improvement (other)'!$B$117:$AL$117,0))*1000*About!$A$60</f>
        <v>1616311.4585139707</v>
      </c>
      <c r="J5" s="62">
        <f>'Hydro and Geothermal'!$B$3*INDEX('Cost Improvement (other)'!$B$118:$AL$124,MATCH("geothermal",'Cost Improvement (other)'!$A$118:$A$124,0),MATCH('CCaMC-BCCpUC'!$A5,'Cost Improvement (other)'!$B$117:$AL$117,0))*1000*About!$A$58</f>
        <v>3356924.0312214294</v>
      </c>
      <c r="K5" s="67">
        <v>649811.88595093053</v>
      </c>
      <c r="L5" s="67">
        <f>EDO!$C$6*('EIA Costs'!$D$5/'EIA Costs'!$D$3)*INDEX('Cost Improvement (other)'!$B$118:$AL$124,MATCH("natural gas peaker",'Cost Improvement (other)'!$A$118:$A$124,0),MATCH('CCaMC-BCCpUC'!$A5,'Cost Improvement (other)'!$B$117:$AL$117,0))*1000*About!$A$60</f>
        <v>223969.30684618052</v>
      </c>
      <c r="M5" s="67">
        <f t="shared" si="2"/>
        <v>1195434.1595754204</v>
      </c>
      <c r="N5" s="62">
        <f>EDO!$C$4*INDEX('Cost Improvement (wind&amp;solar)'!$I$2:$L$42,MATCH('CCaMC-BCCpUC'!$A5,'Cost Improvement (wind&amp;solar)'!$H$2:$H$42,0),MATCH("offshore wind",'Cost Improvement (wind&amp;solar)'!$I$1:$L$1,0))*1000*About!$A$60</f>
        <v>1763384.3072499996</v>
      </c>
      <c r="O5" s="62">
        <f t="shared" si="0"/>
        <v>649811.88595093053</v>
      </c>
      <c r="P5" s="62">
        <f t="shared" si="1"/>
        <v>649811.88595093053</v>
      </c>
      <c r="Q5" s="62">
        <v>7971502.811055745</v>
      </c>
    </row>
    <row r="6" spans="1:17">
      <c r="A6" s="61">
        <v>2020</v>
      </c>
      <c r="B6" s="62">
        <f>EDO!$C$7*INDEX('Cost Improvement (other)'!$B$118:$AL$124,MATCH("coal",'Cost Improvement (other)'!$A$118:$A$124,0),MATCH('CCaMC-BCCpUC'!$A6,'Cost Improvement (other)'!$B$117:$AL$117,0))*1000*About!$A$60</f>
        <v>1175523.329296258</v>
      </c>
      <c r="C6" s="62">
        <f>EDO!$C$6*INDEX('Cost Improvement (other)'!$B$118:$AL$124,MATCH("natural gas nonpeaker",'Cost Improvement (other)'!$A$118:$A$124,0),MATCH('CCaMC-BCCpUC'!$A6,'Cost Improvement (other)'!$B$117:$AL$117,0))*1000*About!$A$60</f>
        <v>338436.04969544261</v>
      </c>
      <c r="D6" s="62">
        <f>EDO!$C$9*INDEX('Cost Improvement (other)'!$B$118:$AL$124,MATCH("nuclear",'Cost Improvement (other)'!$A$118:$A$124,0),MATCH('CCaMC-BCCpUC'!$A6,'Cost Improvement (other)'!$B$117:$AL$117,0))*1000*About!$A$58</f>
        <v>2002567.49</v>
      </c>
      <c r="E6" s="62">
        <f>'Hydro and Geothermal'!$B$2*INDEX('Cost Improvement (other)'!$B$118:$AL$124,MATCH("hydro",'Cost Improvement (other)'!$A$118:$A$124,0),MATCH('CCaMC-BCCpUC'!$A6,'Cost Improvement (other)'!$B$117:$AL$117,0))*1000*About!$A$58</f>
        <v>1572045.7336194331</v>
      </c>
      <c r="F6" s="62">
        <f>EDO!$C$3*INDEX('Cost Improvement (wind&amp;solar)'!$I$2:$L$42,MATCH('CCaMC-BCCpUC'!$A6,'Cost Improvement (wind&amp;solar)'!$H$2:$H$42,0),MATCH("onshore wind",'Cost Improvement (wind&amp;solar)'!$I$1:$L$1,0))*1000*About!$A$60</f>
        <v>1285952.7508333332</v>
      </c>
      <c r="G6" s="62">
        <f>EDO!$C$5*INDEX('Cost Improvement (wind&amp;solar)'!$I$2:$L$42,MATCH('CCaMC-BCCpUC'!$A6,'Cost Improvement (wind&amp;solar)'!$H$2:$H$42,0),MATCH("solar pv",'Cost Improvement (wind&amp;solar)'!$I$1:$L$1,0))*1000*About!$A$60</f>
        <v>863094.30315789464</v>
      </c>
      <c r="H6" s="62">
        <f>'Solar thermal'!$B$3*INDEX('Cost Improvement (wind&amp;solar)'!$I$2:$L$42,MATCH('CCaMC-BCCpUC'!$A6,'Cost Improvement (wind&amp;solar)'!$H$2:$H$42,0),MATCH("solar thermal",'Cost Improvement (wind&amp;solar)'!$I$1:$L$1,0))*10^6</f>
        <v>3085173.913043479</v>
      </c>
      <c r="I6" s="62">
        <f>EDO!$C$8*INDEX('Cost Improvement (other)'!$B$118:$AL$124,MATCH("biomass",'Cost Improvement (other)'!$A$118:$A$124,0),MATCH('CCaMC-BCCpUC'!$A6,'Cost Improvement (other)'!$B$117:$AL$117,0))*1000*About!$A$60</f>
        <v>1611775.357854045</v>
      </c>
      <c r="J6" s="62">
        <f>'Hydro and Geothermal'!$B$3*INDEX('Cost Improvement (other)'!$B$118:$AL$124,MATCH("geothermal",'Cost Improvement (other)'!$A$118:$A$124,0),MATCH('CCaMC-BCCpUC'!$A6,'Cost Improvement (other)'!$B$117:$AL$117,0))*1000*About!$A$58</f>
        <v>3351291.6083502518</v>
      </c>
      <c r="K6" s="67">
        <v>645390.95246922853</v>
      </c>
      <c r="L6" s="67">
        <f>EDO!$C$6*('EIA Costs'!$D$5/'EIA Costs'!$D$3)*INDEX('Cost Improvement (other)'!$B$118:$AL$124,MATCH("natural gas peaker",'Cost Improvement (other)'!$A$118:$A$124,0),MATCH('CCaMC-BCCpUC'!$A6,'Cost Improvement (other)'!$B$117:$AL$117,0))*1000*About!$A$60</f>
        <v>222445.55292767394</v>
      </c>
      <c r="M6" s="67">
        <f t="shared" si="2"/>
        <v>1175523.329296258</v>
      </c>
      <c r="N6" s="62">
        <f>EDO!$C$4*INDEX('Cost Improvement (wind&amp;solar)'!$I$2:$L$42,MATCH('CCaMC-BCCpUC'!$A6,'Cost Improvement (wind&amp;solar)'!$H$2:$H$42,0),MATCH("offshore wind",'Cost Improvement (wind&amp;solar)'!$I$1:$L$1,0))*1000*About!$A$60</f>
        <v>1706500.9424999999</v>
      </c>
      <c r="O6" s="62">
        <f t="shared" si="0"/>
        <v>645390.95246922853</v>
      </c>
      <c r="P6" s="62">
        <f t="shared" si="1"/>
        <v>645390.95246922853</v>
      </c>
      <c r="Q6" s="62">
        <v>7958626.596631432</v>
      </c>
    </row>
    <row r="7" spans="1:17">
      <c r="A7" s="61">
        <v>2021</v>
      </c>
      <c r="B7" s="62">
        <f>EDO!$C$7*INDEX('Cost Improvement (other)'!$B$118:$AL$124,MATCH("coal",'Cost Improvement (other)'!$A$118:$A$124,0),MATCH('CCaMC-BCCpUC'!$A7,'Cost Improvement (other)'!$B$117:$AL$117,0))*1000*About!$A$60</f>
        <v>1168582.0971421334</v>
      </c>
      <c r="C7" s="62">
        <f>EDO!$C$6*INDEX('Cost Improvement (other)'!$B$118:$AL$124,MATCH("natural gas nonpeaker",'Cost Improvement (other)'!$A$118:$A$124,0),MATCH('CCaMC-BCCpUC'!$A7,'Cost Improvement (other)'!$B$117:$AL$117,0))*1000*About!$A$60</f>
        <v>337439.92275621911</v>
      </c>
      <c r="D7" s="62">
        <f>EDO!$C$9*INDEX('Cost Improvement (other)'!$B$118:$AL$124,MATCH("nuclear",'Cost Improvement (other)'!$A$118:$A$124,0),MATCH('CCaMC-BCCpUC'!$A7,'Cost Improvement (other)'!$B$117:$AL$117,0))*1000*About!$A$58</f>
        <v>2002567.49</v>
      </c>
      <c r="E7" s="62">
        <f>'Hydro and Geothermal'!$B$2*INDEX('Cost Improvement (other)'!$B$118:$AL$124,MATCH("hydro",'Cost Improvement (other)'!$A$118:$A$124,0),MATCH('CCaMC-BCCpUC'!$A7,'Cost Improvement (other)'!$B$117:$AL$117,0))*1000*About!$A$58</f>
        <v>1563437.1600051026</v>
      </c>
      <c r="F7" s="62">
        <f>EDO!$C$3*INDEX('Cost Improvement (wind&amp;solar)'!$I$2:$L$42,MATCH('CCaMC-BCCpUC'!$A7,'Cost Improvement (wind&amp;solar)'!$H$2:$H$42,0),MATCH("onshore wind",'Cost Improvement (wind&amp;solar)'!$I$1:$L$1,0))*1000*About!$A$60</f>
        <v>1280361.6519166667</v>
      </c>
      <c r="G7" s="62">
        <f>EDO!$C$5*INDEX('Cost Improvement (wind&amp;solar)'!$I$2:$L$42,MATCH('CCaMC-BCCpUC'!$A7,'Cost Improvement (wind&amp;solar)'!$H$2:$H$42,0),MATCH("solar pv",'Cost Improvement (wind&amp;solar)'!$I$1:$L$1,0))*1000*About!$A$60</f>
        <v>859774.70968421048</v>
      </c>
      <c r="H7" s="62">
        <f>'Solar thermal'!$B$3*INDEX('Cost Improvement (wind&amp;solar)'!$I$2:$L$42,MATCH('CCaMC-BCCpUC'!$A7,'Cost Improvement (wind&amp;solar)'!$H$2:$H$42,0),MATCH("solar thermal",'Cost Improvement (wind&amp;solar)'!$I$1:$L$1,0))*10^6</f>
        <v>3042047.826086957</v>
      </c>
      <c r="I7" s="62">
        <f>EDO!$C$8*INDEX('Cost Improvement (other)'!$B$118:$AL$124,MATCH("biomass",'Cost Improvement (other)'!$A$118:$A$124,0),MATCH('CCaMC-BCCpUC'!$A7,'Cost Improvement (other)'!$B$117:$AL$117,0))*1000*About!$A$60</f>
        <v>1607238.2072028082</v>
      </c>
      <c r="J7" s="62">
        <f>'Hydro and Geothermal'!$B$3*INDEX('Cost Improvement (other)'!$B$118:$AL$124,MATCH("geothermal",'Cost Improvement (other)'!$A$118:$A$124,0),MATCH('CCaMC-BCCpUC'!$A7,'Cost Improvement (other)'!$B$117:$AL$117,0))*1000*About!$A$58</f>
        <v>3345659.1854790738</v>
      </c>
      <c r="K7" s="67">
        <v>643437.69417805946</v>
      </c>
      <c r="L7" s="67">
        <f>EDO!$C$6*('EIA Costs'!$D$5/'EIA Costs'!$D$3)*INDEX('Cost Improvement (other)'!$B$118:$AL$124,MATCH("natural gas peaker",'Cost Improvement (other)'!$A$118:$A$124,0),MATCH('CCaMC-BCCpUC'!$A7,'Cost Improvement (other)'!$B$117:$AL$117,0))*1000*About!$A$60</f>
        <v>221772.32746808653</v>
      </c>
      <c r="M7" s="67">
        <f t="shared" si="2"/>
        <v>1168582.0971421334</v>
      </c>
      <c r="N7" s="62">
        <f>EDO!$C$4*INDEX('Cost Improvement (wind&amp;solar)'!$I$2:$L$42,MATCH('CCaMC-BCCpUC'!$A7,'Cost Improvement (wind&amp;solar)'!$H$2:$H$42,0),MATCH("offshore wind",'Cost Improvement (wind&amp;solar)'!$I$1:$L$1,0))*1000*About!$A$60</f>
        <v>1698916.4938666665</v>
      </c>
      <c r="O7" s="62">
        <f t="shared" si="0"/>
        <v>643437.69417805946</v>
      </c>
      <c r="P7" s="62">
        <f t="shared" si="1"/>
        <v>643437.69417805946</v>
      </c>
      <c r="Q7" s="62">
        <v>8047515.0385973537</v>
      </c>
    </row>
    <row r="8" spans="1:17">
      <c r="A8" s="61">
        <v>2022</v>
      </c>
      <c r="B8" s="62">
        <f>EDO!$C$7*INDEX('Cost Improvement (other)'!$B$118:$AL$124,MATCH("coal",'Cost Improvement (other)'!$A$118:$A$124,0),MATCH('CCaMC-BCCpUC'!$A8,'Cost Improvement (other)'!$B$117:$AL$117,0))*1000*About!$A$60</f>
        <v>1162627.4636984007</v>
      </c>
      <c r="C8" s="62">
        <f>EDO!$C$6*INDEX('Cost Improvement (other)'!$B$118:$AL$124,MATCH("natural gas nonpeaker",'Cost Improvement (other)'!$A$118:$A$124,0),MATCH('CCaMC-BCCpUC'!$A8,'Cost Improvement (other)'!$B$117:$AL$117,0))*1000*About!$A$60</f>
        <v>336425.5179343276</v>
      </c>
      <c r="D8" s="62">
        <f>EDO!$C$9*INDEX('Cost Improvement (other)'!$B$118:$AL$124,MATCH("nuclear",'Cost Improvement (other)'!$A$118:$A$124,0),MATCH('CCaMC-BCCpUC'!$A8,'Cost Improvement (other)'!$B$117:$AL$117,0))*1000*About!$A$58</f>
        <v>2002567.49</v>
      </c>
      <c r="E8" s="62">
        <f>'Hydro and Geothermal'!$B$2*INDEX('Cost Improvement (other)'!$B$118:$AL$124,MATCH("hydro",'Cost Improvement (other)'!$A$118:$A$124,0),MATCH('CCaMC-BCCpUC'!$A8,'Cost Improvement (other)'!$B$117:$AL$117,0))*1000*About!$A$58</f>
        <v>1554828.5863907719</v>
      </c>
      <c r="F8" s="62">
        <f>EDO!$C$3*INDEX('Cost Improvement (wind&amp;solar)'!$I$2:$L$42,MATCH('CCaMC-BCCpUC'!$A8,'Cost Improvement (wind&amp;solar)'!$H$2:$H$42,0),MATCH("onshore wind",'Cost Improvement (wind&amp;solar)'!$I$1:$L$1,0))*1000*About!$A$60</f>
        <v>1274770.5530000001</v>
      </c>
      <c r="G8" s="62">
        <f>EDO!$C$5*INDEX('Cost Improvement (wind&amp;solar)'!$I$2:$L$42,MATCH('CCaMC-BCCpUC'!$A8,'Cost Improvement (wind&amp;solar)'!$H$2:$H$42,0),MATCH("solar pv",'Cost Improvement (wind&amp;solar)'!$I$1:$L$1,0))*1000*About!$A$60</f>
        <v>856455.11621052632</v>
      </c>
      <c r="H8" s="62">
        <f>'Solar thermal'!$B$3*INDEX('Cost Improvement (wind&amp;solar)'!$I$2:$L$42,MATCH('CCaMC-BCCpUC'!$A8,'Cost Improvement (wind&amp;solar)'!$H$2:$H$42,0),MATCH("solar thermal",'Cost Improvement (wind&amp;solar)'!$I$1:$L$1,0))*10^6</f>
        <v>2998921.739130435</v>
      </c>
      <c r="I8" s="62">
        <f>EDO!$C$8*INDEX('Cost Improvement (other)'!$B$118:$AL$124,MATCH("biomass",'Cost Improvement (other)'!$A$118:$A$124,0),MATCH('CCaMC-BCCpUC'!$A8,'Cost Improvement (other)'!$B$117:$AL$117,0))*1000*About!$A$60</f>
        <v>1602701.2444883008</v>
      </c>
      <c r="J8" s="62">
        <f>'Hydro and Geothermal'!$B$3*INDEX('Cost Improvement (other)'!$B$118:$AL$124,MATCH("geothermal",'Cost Improvement (other)'!$A$118:$A$124,0),MATCH('CCaMC-BCCpUC'!$A8,'Cost Improvement (other)'!$B$117:$AL$117,0))*1000*About!$A$58</f>
        <v>3340026.7626078976</v>
      </c>
      <c r="K8" s="67">
        <v>641442.67327765853</v>
      </c>
      <c r="L8" s="67">
        <f>EDO!$C$6*('EIA Costs'!$D$5/'EIA Costs'!$D$3)*INDEX('Cost Improvement (other)'!$B$118:$AL$124,MATCH("natural gas peaker",'Cost Improvement (other)'!$A$118:$A$124,0),MATCH('CCaMC-BCCpUC'!$A8,'Cost Improvement (other)'!$B$117:$AL$117,0))*1000*About!$A$60</f>
        <v>221084.70777711619</v>
      </c>
      <c r="M8" s="67">
        <f t="shared" si="2"/>
        <v>1162627.4636984007</v>
      </c>
      <c r="N8" s="62">
        <f>EDO!$C$4*INDEX('Cost Improvement (wind&amp;solar)'!$I$2:$L$42,MATCH('CCaMC-BCCpUC'!$A8,'Cost Improvement (wind&amp;solar)'!$H$2:$H$42,0),MATCH("offshore wind",'Cost Improvement (wind&amp;solar)'!$I$1:$L$1,0))*1000*About!$A$60</f>
        <v>1691332.0452333335</v>
      </c>
      <c r="O8" s="62">
        <f t="shared" si="0"/>
        <v>641442.67327765853</v>
      </c>
      <c r="P8" s="62">
        <f t="shared" si="1"/>
        <v>641442.67327765853</v>
      </c>
      <c r="Q8" s="62">
        <v>7840906.0539358519</v>
      </c>
    </row>
    <row r="9" spans="1:17">
      <c r="A9" s="61">
        <v>2023</v>
      </c>
      <c r="B9" s="62">
        <f>EDO!$C$7*INDEX('Cost Improvement (other)'!$B$118:$AL$124,MATCH("coal",'Cost Improvement (other)'!$A$118:$A$124,0),MATCH('CCaMC-BCCpUC'!$A9,'Cost Improvement (other)'!$B$117:$AL$117,0))*1000*About!$A$60</f>
        <v>1156673.0407020953</v>
      </c>
      <c r="C9" s="62">
        <f>EDO!$C$6*INDEX('Cost Improvement (other)'!$B$118:$AL$124,MATCH("natural gas nonpeaker",'Cost Improvement (other)'!$A$118:$A$124,0),MATCH('CCaMC-BCCpUC'!$A9,'Cost Improvement (other)'!$B$117:$AL$117,0))*1000*About!$A$60</f>
        <v>335429.25091063028</v>
      </c>
      <c r="D9" s="62">
        <f>EDO!$C$9*INDEX('Cost Improvement (other)'!$B$118:$AL$124,MATCH("nuclear",'Cost Improvement (other)'!$A$118:$A$124,0),MATCH('CCaMC-BCCpUC'!$A9,'Cost Improvement (other)'!$B$117:$AL$117,0))*1000*About!$A$58</f>
        <v>1991933.010644441</v>
      </c>
      <c r="E9" s="62">
        <f>'Hydro and Geothermal'!$B$2*INDEX('Cost Improvement (other)'!$B$118:$AL$124,MATCH("hydro",'Cost Improvement (other)'!$A$118:$A$124,0),MATCH('CCaMC-BCCpUC'!$A9,'Cost Improvement (other)'!$B$117:$AL$117,0))*1000*About!$A$58</f>
        <v>1546223.948465829</v>
      </c>
      <c r="F9" s="62">
        <f>EDO!$C$3*INDEX('Cost Improvement (wind&amp;solar)'!$I$2:$L$42,MATCH('CCaMC-BCCpUC'!$A9,'Cost Improvement (wind&amp;solar)'!$H$2:$H$42,0),MATCH("onshore wind",'Cost Improvement (wind&amp;solar)'!$I$1:$L$1,0))*1000*About!$A$60</f>
        <v>1269179.4540833335</v>
      </c>
      <c r="G9" s="62">
        <f>EDO!$C$5*INDEX('Cost Improvement (wind&amp;solar)'!$I$2:$L$42,MATCH('CCaMC-BCCpUC'!$A9,'Cost Improvement (wind&amp;solar)'!$H$2:$H$42,0),MATCH("solar pv",'Cost Improvement (wind&amp;solar)'!$I$1:$L$1,0))*1000*About!$A$60</f>
        <v>853135.52273684193</v>
      </c>
      <c r="H9" s="62">
        <f>'Solar thermal'!$B$3*INDEX('Cost Improvement (wind&amp;solar)'!$I$2:$L$42,MATCH('CCaMC-BCCpUC'!$A9,'Cost Improvement (wind&amp;solar)'!$H$2:$H$42,0),MATCH("solar thermal",'Cost Improvement (wind&amp;solar)'!$I$1:$L$1,0))*10^6</f>
        <v>2955795.6521739131</v>
      </c>
      <c r="I9" s="62">
        <f>EDO!$C$8*INDEX('Cost Improvement (other)'!$B$118:$AL$124,MATCH("biomass",'Cost Improvement (other)'!$A$118:$A$124,0),MATCH('CCaMC-BCCpUC'!$A9,'Cost Improvement (other)'!$B$117:$AL$117,0))*1000*About!$A$60</f>
        <v>1598163.3193232408</v>
      </c>
      <c r="J9" s="62">
        <f>'Hydro and Geothermal'!$B$3*INDEX('Cost Improvement (other)'!$B$118:$AL$124,MATCH("geothermal",'Cost Improvement (other)'!$A$118:$A$124,0),MATCH('CCaMC-BCCpUC'!$A9,'Cost Improvement (other)'!$B$117:$AL$117,0))*1000*About!$A$58</f>
        <v>3334394.339736721</v>
      </c>
      <c r="K9" s="67">
        <v>639489.166581125</v>
      </c>
      <c r="L9" s="67">
        <f>EDO!$C$6*('EIA Costs'!$D$5/'EIA Costs'!$D$3)*INDEX('Cost Improvement (other)'!$B$118:$AL$124,MATCH("natural gas peaker",'Cost Improvement (other)'!$A$118:$A$124,0),MATCH('CCaMC-BCCpUC'!$A9,'Cost Improvement (other)'!$B$117:$AL$117,0))*1000*About!$A$60</f>
        <v>220411.39670017012</v>
      </c>
      <c r="M9" s="67">
        <f t="shared" si="2"/>
        <v>1156673.0407020953</v>
      </c>
      <c r="N9" s="62">
        <f>EDO!$C$4*INDEX('Cost Improvement (wind&amp;solar)'!$I$2:$L$42,MATCH('CCaMC-BCCpUC'!$A9,'Cost Improvement (wind&amp;solar)'!$H$2:$H$42,0),MATCH("offshore wind",'Cost Improvement (wind&amp;solar)'!$I$1:$L$1,0))*1000*About!$A$60</f>
        <v>1683747.5966</v>
      </c>
      <c r="O9" s="62">
        <f t="shared" si="0"/>
        <v>639489.166581125</v>
      </c>
      <c r="P9" s="62">
        <f t="shared" si="1"/>
        <v>639489.166581125</v>
      </c>
      <c r="Q9" s="62">
        <v>7803020.8428130085</v>
      </c>
    </row>
    <row r="10" spans="1:17">
      <c r="A10" s="61">
        <v>2024</v>
      </c>
      <c r="B10" s="62">
        <f>EDO!$C$7*INDEX('Cost Improvement (other)'!$B$118:$AL$124,MATCH("coal",'Cost Improvement (other)'!$A$118:$A$124,0),MATCH('CCaMC-BCCpUC'!$A10,'Cost Improvement (other)'!$B$117:$AL$117,0))*1000*About!$A$60</f>
        <v>1149424.5086344723</v>
      </c>
      <c r="C10" s="62">
        <f>EDO!$C$6*INDEX('Cost Improvement (other)'!$B$118:$AL$124,MATCH("natural gas nonpeaker",'Cost Improvement (other)'!$A$118:$A$124,0),MATCH('CCaMC-BCCpUC'!$A10,'Cost Improvement (other)'!$B$117:$AL$117,0))*1000*About!$A$60</f>
        <v>334433.44132409262</v>
      </c>
      <c r="D10" s="62">
        <f>EDO!$C$9*INDEX('Cost Improvement (other)'!$B$118:$AL$124,MATCH("nuclear",'Cost Improvement (other)'!$A$118:$A$124,0),MATCH('CCaMC-BCCpUC'!$A10,'Cost Improvement (other)'!$B$117:$AL$117,0))*1000*About!$A$58</f>
        <v>1981300.7468790866</v>
      </c>
      <c r="E10" s="62">
        <f>'Hydro and Geothermal'!$B$2*INDEX('Cost Improvement (other)'!$B$118:$AL$124,MATCH("hydro",'Cost Improvement (other)'!$A$118:$A$124,0),MATCH('CCaMC-BCCpUC'!$A10,'Cost Improvement (other)'!$B$117:$AL$117,0))*1000*About!$A$58</f>
        <v>1537619.3105408861</v>
      </c>
      <c r="F10" s="62">
        <f>EDO!$C$3*INDEX('Cost Improvement (wind&amp;solar)'!$I$2:$L$42,MATCH('CCaMC-BCCpUC'!$A10,'Cost Improvement (wind&amp;solar)'!$H$2:$H$42,0),MATCH("onshore wind",'Cost Improvement (wind&amp;solar)'!$I$1:$L$1,0))*1000*About!$A$60</f>
        <v>1263588.3551666664</v>
      </c>
      <c r="G10" s="62">
        <f>EDO!$C$5*INDEX('Cost Improvement (wind&amp;solar)'!$I$2:$L$42,MATCH('CCaMC-BCCpUC'!$A10,'Cost Improvement (wind&amp;solar)'!$H$2:$H$42,0),MATCH("solar pv",'Cost Improvement (wind&amp;solar)'!$I$1:$L$1,0))*1000*About!$A$60</f>
        <v>849815.92926315777</v>
      </c>
      <c r="H10" s="62">
        <f>'Solar thermal'!$B$3*INDEX('Cost Improvement (wind&amp;solar)'!$I$2:$L$42,MATCH('CCaMC-BCCpUC'!$A10,'Cost Improvement (wind&amp;solar)'!$H$2:$H$42,0),MATCH("solar thermal",'Cost Improvement (wind&amp;solar)'!$I$1:$L$1,0))*10^6</f>
        <v>2912669.5652173907</v>
      </c>
      <c r="I10" s="62">
        <f>EDO!$C$8*INDEX('Cost Improvement (other)'!$B$118:$AL$124,MATCH("biomass",'Cost Improvement (other)'!$A$118:$A$124,0),MATCH('CCaMC-BCCpUC'!$A10,'Cost Improvement (other)'!$B$117:$AL$117,0))*1000*About!$A$60</f>
        <v>1593627.329592125</v>
      </c>
      <c r="J10" s="62">
        <f>'Hydro and Geothermal'!$B$3*INDEX('Cost Improvement (other)'!$B$118:$AL$124,MATCH("geothermal",'Cost Improvement (other)'!$A$118:$A$124,0),MATCH('CCaMC-BCCpUC'!$A10,'Cost Improvement (other)'!$B$117:$AL$117,0))*1000*About!$A$58</f>
        <v>3328761.9168655449</v>
      </c>
      <c r="K10" s="67">
        <v>637536.40933158563</v>
      </c>
      <c r="L10" s="67">
        <f>EDO!$C$6*('EIA Costs'!$D$5/'EIA Costs'!$D$3)*INDEX('Cost Improvement (other)'!$B$118:$AL$124,MATCH("natural gas peaker",'Cost Improvement (other)'!$A$118:$A$124,0),MATCH('CCaMC-BCCpUC'!$A10,'Cost Improvement (other)'!$B$117:$AL$117,0))*1000*About!$A$60</f>
        <v>219738.34393355568</v>
      </c>
      <c r="M10" s="67">
        <f t="shared" si="2"/>
        <v>1149424.5086344723</v>
      </c>
      <c r="N10" s="62">
        <f>EDO!$C$4*INDEX('Cost Improvement (wind&amp;solar)'!$I$2:$L$42,MATCH('CCaMC-BCCpUC'!$A10,'Cost Improvement (wind&amp;solar)'!$H$2:$H$42,0),MATCH("offshore wind",'Cost Improvement (wind&amp;solar)'!$I$1:$L$1,0))*1000*About!$A$60</f>
        <v>1676163.1479666671</v>
      </c>
      <c r="O10" s="62">
        <f t="shared" si="0"/>
        <v>637536.40933158563</v>
      </c>
      <c r="P10" s="62">
        <f t="shared" si="1"/>
        <v>637536.40933158563</v>
      </c>
      <c r="Q10" s="62">
        <v>7768616.5588959409</v>
      </c>
    </row>
    <row r="11" spans="1:17">
      <c r="A11" s="61">
        <v>2025</v>
      </c>
      <c r="B11" s="62">
        <f>EDO!$C$7*INDEX('Cost Improvement (other)'!$B$118:$AL$124,MATCH("coal",'Cost Improvement (other)'!$A$118:$A$124,0),MATCH('CCaMC-BCCpUC'!$A11,'Cost Improvement (other)'!$B$117:$AL$117,0))*1000*About!$A$60</f>
        <v>1143177.0393741301</v>
      </c>
      <c r="C11" s="62">
        <f>EDO!$C$6*INDEX('Cost Improvement (other)'!$B$118:$AL$124,MATCH("natural gas nonpeaker",'Cost Improvement (other)'!$A$118:$A$124,0),MATCH('CCaMC-BCCpUC'!$A11,'Cost Improvement (other)'!$B$117:$AL$117,0))*1000*About!$A$60</f>
        <v>333393.37731615809</v>
      </c>
      <c r="D11" s="62">
        <f>EDO!$C$9*INDEX('Cost Improvement (other)'!$B$118:$AL$124,MATCH("nuclear",'Cost Improvement (other)'!$A$118:$A$124,0),MATCH('CCaMC-BCCpUC'!$A11,'Cost Improvement (other)'!$B$117:$AL$117,0))*1000*About!$A$58</f>
        <v>1970666.5488141098</v>
      </c>
      <c r="E11" s="62">
        <f>'Hydro and Geothermal'!$B$2*INDEX('Cost Improvement (other)'!$B$118:$AL$124,MATCH("hydro",'Cost Improvement (other)'!$A$118:$A$124,0),MATCH('CCaMC-BCCpUC'!$A11,'Cost Improvement (other)'!$B$117:$AL$117,0))*1000*About!$A$58</f>
        <v>1529018.5900210594</v>
      </c>
      <c r="F11" s="62">
        <f>EDO!$C$3*INDEX('Cost Improvement (wind&amp;solar)'!$I$2:$L$42,MATCH('CCaMC-BCCpUC'!$A11,'Cost Improvement (wind&amp;solar)'!$H$2:$H$42,0),MATCH("onshore wind",'Cost Improvement (wind&amp;solar)'!$I$1:$L$1,0))*1000*About!$A$60</f>
        <v>1257997.2562500001</v>
      </c>
      <c r="G11" s="62">
        <f>EDO!$C$5*INDEX('Cost Improvement (wind&amp;solar)'!$I$2:$L$42,MATCH('CCaMC-BCCpUC'!$A11,'Cost Improvement (wind&amp;solar)'!$H$2:$H$42,0),MATCH("solar pv",'Cost Improvement (wind&amp;solar)'!$I$1:$L$1,0))*1000*About!$A$60</f>
        <v>846496.33578947361</v>
      </c>
      <c r="H11" s="62">
        <f>'Solar thermal'!$B$3*INDEX('Cost Improvement (wind&amp;solar)'!$I$2:$L$42,MATCH('CCaMC-BCCpUC'!$A11,'Cost Improvement (wind&amp;solar)'!$H$2:$H$42,0),MATCH("solar thermal",'Cost Improvement (wind&amp;solar)'!$I$1:$L$1,0))*10^6</f>
        <v>2869543.4782608687</v>
      </c>
      <c r="I11" s="62">
        <f>EDO!$C$8*INDEX('Cost Improvement (other)'!$B$118:$AL$124,MATCH("biomass",'Cost Improvement (other)'!$A$118:$A$124,0),MATCH('CCaMC-BCCpUC'!$A11,'Cost Improvement (other)'!$B$117:$AL$117,0))*1000*About!$A$60</f>
        <v>1589089.5518099195</v>
      </c>
      <c r="J11" s="62">
        <f>'Hydro and Geothermal'!$B$3*INDEX('Cost Improvement (other)'!$B$118:$AL$124,MATCH("geothermal",'Cost Improvement (other)'!$A$118:$A$124,0),MATCH('CCaMC-BCCpUC'!$A11,'Cost Improvement (other)'!$B$117:$AL$117,0))*1000*About!$A$58</f>
        <v>3323129.4939943673</v>
      </c>
      <c r="K11" s="67">
        <v>635482.86120436469</v>
      </c>
      <c r="L11" s="67">
        <f>EDO!$C$6*('EIA Costs'!$D$5/'EIA Costs'!$D$3)*INDEX('Cost Improvement (other)'!$B$118:$AL$124,MATCH("natural gas peaker",'Cost Improvement (other)'!$A$118:$A$124,0),MATCH('CCaMC-BCCpUC'!$A11,'Cost Improvement (other)'!$B$117:$AL$117,0))*1000*About!$A$60</f>
        <v>219030.55178543902</v>
      </c>
      <c r="M11" s="67">
        <f t="shared" si="2"/>
        <v>1143177.0393741301</v>
      </c>
      <c r="N11" s="62">
        <f>EDO!$C$4*INDEX('Cost Improvement (wind&amp;solar)'!$I$2:$L$42,MATCH('CCaMC-BCCpUC'!$A11,'Cost Improvement (wind&amp;solar)'!$H$2:$H$42,0),MATCH("offshore wind",'Cost Improvement (wind&amp;solar)'!$I$1:$L$1,0))*1000*About!$A$60</f>
        <v>1668578.6993333336</v>
      </c>
      <c r="O11" s="62">
        <f t="shared" si="0"/>
        <v>635482.86120436469</v>
      </c>
      <c r="P11" s="62">
        <f t="shared" si="1"/>
        <v>635482.86120436469</v>
      </c>
      <c r="Q11" s="62">
        <v>7764569.8125896389</v>
      </c>
    </row>
    <row r="12" spans="1:17">
      <c r="A12" s="61">
        <v>2026</v>
      </c>
      <c r="B12" s="62">
        <f>EDO!$C$7*INDEX('Cost Improvement (other)'!$B$118:$AL$124,MATCH("coal",'Cost Improvement (other)'!$A$118:$A$124,0),MATCH('CCaMC-BCCpUC'!$A12,'Cost Improvement (other)'!$B$117:$AL$117,0))*1000*About!$A$60</f>
        <v>1135699.7247412449</v>
      </c>
      <c r="C12" s="62">
        <f>EDO!$C$6*INDEX('Cost Improvement (other)'!$B$118:$AL$124,MATCH("natural gas nonpeaker",'Cost Improvement (other)'!$A$118:$A$124,0),MATCH('CCaMC-BCCpUC'!$A12,'Cost Improvement (other)'!$B$117:$AL$117,0))*1000*About!$A$60</f>
        <v>330422.50757165963</v>
      </c>
      <c r="D12" s="62">
        <f>EDO!$C$9*INDEX('Cost Improvement (other)'!$B$118:$AL$124,MATCH("nuclear",'Cost Improvement (other)'!$A$118:$A$124,0),MATCH('CCaMC-BCCpUC'!$A12,'Cost Improvement (other)'!$B$117:$AL$117,0))*1000*About!$A$58</f>
        <v>1960034.0792698357</v>
      </c>
      <c r="E12" s="62">
        <f>'Hydro and Geothermal'!$B$2*INDEX('Cost Improvement (other)'!$B$118:$AL$124,MATCH("hydro",'Cost Improvement (other)'!$A$118:$A$124,0),MATCH('CCaMC-BCCpUC'!$A12,'Cost Improvement (other)'!$B$117:$AL$117,0))*1000*About!$A$58</f>
        <v>1520417.8695012329</v>
      </c>
      <c r="F12" s="62">
        <f>EDO!$C$3*INDEX('Cost Improvement (wind&amp;solar)'!$I$2:$L$42,MATCH('CCaMC-BCCpUC'!$A12,'Cost Improvement (wind&amp;solar)'!$H$2:$H$42,0),MATCH("onshore wind",'Cost Improvement (wind&amp;solar)'!$I$1:$L$1,0))*1000*About!$A$60</f>
        <v>1252406.1573333333</v>
      </c>
      <c r="G12" s="62">
        <f>EDO!$C$5*INDEX('Cost Improvement (wind&amp;solar)'!$I$2:$L$42,MATCH('CCaMC-BCCpUC'!$A12,'Cost Improvement (wind&amp;solar)'!$H$2:$H$42,0),MATCH("solar pv",'Cost Improvement (wind&amp;solar)'!$I$1:$L$1,0))*1000*About!$A$60</f>
        <v>843176.74231578934</v>
      </c>
      <c r="H12" s="62">
        <f>'Solar thermal'!$B$3*INDEX('Cost Improvement (wind&amp;solar)'!$I$2:$L$42,MATCH('CCaMC-BCCpUC'!$A12,'Cost Improvement (wind&amp;solar)'!$H$2:$H$42,0),MATCH("solar thermal",'Cost Improvement (wind&amp;solar)'!$I$1:$L$1,0))*10^6</f>
        <v>2826417.3913043467</v>
      </c>
      <c r="I12" s="62">
        <f>EDO!$C$8*INDEX('Cost Improvement (other)'!$B$118:$AL$124,MATCH("biomass",'Cost Improvement (other)'!$A$118:$A$124,0),MATCH('CCaMC-BCCpUC'!$A12,'Cost Improvement (other)'!$B$117:$AL$117,0))*1000*About!$A$60</f>
        <v>1584553.518351408</v>
      </c>
      <c r="J12" s="62">
        <f>'Hydro and Geothermal'!$B$3*INDEX('Cost Improvement (other)'!$B$118:$AL$124,MATCH("geothermal",'Cost Improvement (other)'!$A$118:$A$124,0),MATCH('CCaMC-BCCpUC'!$A12,'Cost Improvement (other)'!$B$117:$AL$117,0))*1000*About!$A$58</f>
        <v>3317497.0711231898</v>
      </c>
      <c r="K12" s="67">
        <v>629014.61231266905</v>
      </c>
      <c r="L12" s="67">
        <f>EDO!$C$6*('EIA Costs'!$D$5/'EIA Costs'!$D$3)*INDEX('Cost Improvement (other)'!$B$118:$AL$124,MATCH("natural gas peaker",'Cost Improvement (other)'!$A$118:$A$124,0),MATCH('CCaMC-BCCpUC'!$A12,'Cost Improvement (other)'!$B$117:$AL$117,0))*1000*About!$A$60</f>
        <v>216801.15393645747</v>
      </c>
      <c r="M12" s="67">
        <f t="shared" si="2"/>
        <v>1135699.7247412449</v>
      </c>
      <c r="N12" s="62">
        <f>EDO!$C$4*INDEX('Cost Improvement (wind&amp;solar)'!$I$2:$L$42,MATCH('CCaMC-BCCpUC'!$A12,'Cost Improvement (wind&amp;solar)'!$H$2:$H$42,0),MATCH("offshore wind",'Cost Improvement (wind&amp;solar)'!$I$1:$L$1,0))*1000*About!$A$60</f>
        <v>1660994.2507000004</v>
      </c>
      <c r="O12" s="62">
        <f t="shared" si="0"/>
        <v>629014.61231266905</v>
      </c>
      <c r="P12" s="62">
        <f t="shared" si="1"/>
        <v>629014.61231266905</v>
      </c>
      <c r="Q12" s="62">
        <v>7757634.4939132584</v>
      </c>
    </row>
    <row r="13" spans="1:17">
      <c r="A13" s="61">
        <v>2027</v>
      </c>
      <c r="B13" s="62">
        <f>EDO!$C$7*INDEX('Cost Improvement (other)'!$B$118:$AL$124,MATCH("coal",'Cost Improvement (other)'!$A$118:$A$124,0),MATCH('CCaMC-BCCpUC'!$A13,'Cost Improvement (other)'!$B$117:$AL$117,0))*1000*About!$A$60</f>
        <v>1126525.2248683956</v>
      </c>
      <c r="C13" s="62">
        <f>EDO!$C$6*INDEX('Cost Improvement (other)'!$B$118:$AL$124,MATCH("natural gas nonpeaker",'Cost Improvement (other)'!$A$118:$A$124,0),MATCH('CCaMC-BCCpUC'!$A13,'Cost Improvement (other)'!$B$117:$AL$117,0))*1000*About!$A$60</f>
        <v>328133.17731616512</v>
      </c>
      <c r="D13" s="62">
        <f>EDO!$C$9*INDEX('Cost Improvement (other)'!$B$118:$AL$124,MATCH("nuclear",'Cost Improvement (other)'!$A$118:$A$124,0),MATCH('CCaMC-BCCpUC'!$A13,'Cost Improvement (other)'!$B$117:$AL$117,0))*1000*About!$A$58</f>
        <v>1949400.6498105121</v>
      </c>
      <c r="E13" s="62">
        <f>'Hydro and Geothermal'!$B$2*INDEX('Cost Improvement (other)'!$B$118:$AL$124,MATCH("hydro",'Cost Improvement (other)'!$A$118:$A$124,0),MATCH('CCaMC-BCCpUC'!$A13,'Cost Improvement (other)'!$B$117:$AL$117,0))*1000*About!$A$58</f>
        <v>1511821.0465785621</v>
      </c>
      <c r="F13" s="62">
        <f>EDO!$C$3*INDEX('Cost Improvement (wind&amp;solar)'!$I$2:$L$42,MATCH('CCaMC-BCCpUC'!$A13,'Cost Improvement (wind&amp;solar)'!$H$2:$H$42,0),MATCH("onshore wind",'Cost Improvement (wind&amp;solar)'!$I$1:$L$1,0))*1000*About!$A$60</f>
        <v>1246815.0584166665</v>
      </c>
      <c r="G13" s="62">
        <f>EDO!$C$5*INDEX('Cost Improvement (wind&amp;solar)'!$I$2:$L$42,MATCH('CCaMC-BCCpUC'!$A13,'Cost Improvement (wind&amp;solar)'!$H$2:$H$42,0),MATCH("solar pv",'Cost Improvement (wind&amp;solar)'!$I$1:$L$1,0))*1000*About!$A$60</f>
        <v>839857.14884210518</v>
      </c>
      <c r="H13" s="62">
        <f>'Solar thermal'!$B$3*INDEX('Cost Improvement (wind&amp;solar)'!$I$2:$L$42,MATCH('CCaMC-BCCpUC'!$A13,'Cost Improvement (wind&amp;solar)'!$H$2:$H$42,0),MATCH("solar thermal",'Cost Improvement (wind&amp;solar)'!$I$1:$L$1,0))*10^6</f>
        <v>2783291.3043478248</v>
      </c>
      <c r="I13" s="62">
        <f>EDO!$C$8*INDEX('Cost Improvement (other)'!$B$118:$AL$124,MATCH("biomass",'Cost Improvement (other)'!$A$118:$A$124,0),MATCH('CCaMC-BCCpUC'!$A13,'Cost Improvement (other)'!$B$117:$AL$117,0))*1000*About!$A$60</f>
        <v>1580016.3114936564</v>
      </c>
      <c r="J13" s="62">
        <f>'Hydro and Geothermal'!$B$3*INDEX('Cost Improvement (other)'!$B$118:$AL$124,MATCH("geothermal",'Cost Improvement (other)'!$A$118:$A$124,0),MATCH('CCaMC-BCCpUC'!$A13,'Cost Improvement (other)'!$B$117:$AL$117,0))*1000*About!$A$58</f>
        <v>3311864.6482520131</v>
      </c>
      <c r="K13" s="67">
        <v>624104.63841106219</v>
      </c>
      <c r="L13" s="67">
        <f>EDO!$C$6*('EIA Costs'!$D$5/'EIA Costs'!$D$3)*INDEX('Cost Improvement (other)'!$B$118:$AL$124,MATCH("natural gas peaker",'Cost Improvement (other)'!$A$118:$A$124,0),MATCH('CCaMC-BCCpUC'!$A13,'Cost Improvement (other)'!$B$117:$AL$117,0))*1000*About!$A$60</f>
        <v>215108.84347684434</v>
      </c>
      <c r="M13" s="67">
        <f t="shared" si="2"/>
        <v>1126525.2248683956</v>
      </c>
      <c r="N13" s="62">
        <f>EDO!$C$4*INDEX('Cost Improvement (wind&amp;solar)'!$I$2:$L$42,MATCH('CCaMC-BCCpUC'!$A13,'Cost Improvement (wind&amp;solar)'!$H$2:$H$42,0),MATCH("offshore wind",'Cost Improvement (wind&amp;solar)'!$I$1:$L$1,0))*1000*About!$A$60</f>
        <v>1653409.8020666672</v>
      </c>
      <c r="O13" s="62">
        <f t="shared" si="0"/>
        <v>624104.63841106219</v>
      </c>
      <c r="P13" s="62">
        <f t="shared" si="1"/>
        <v>624104.63841106219</v>
      </c>
      <c r="Q13" s="62">
        <v>7746868.1516131693</v>
      </c>
    </row>
    <row r="14" spans="1:17">
      <c r="A14" s="61">
        <v>2028</v>
      </c>
      <c r="B14" s="62">
        <f>EDO!$C$7*INDEX('Cost Improvement (other)'!$B$118:$AL$124,MATCH("coal",'Cost Improvement (other)'!$A$118:$A$124,0),MATCH('CCaMC-BCCpUC'!$A14,'Cost Improvement (other)'!$B$117:$AL$117,0))*1000*About!$A$60</f>
        <v>1120315.2626683728</v>
      </c>
      <c r="C14" s="62">
        <f>EDO!$C$6*INDEX('Cost Improvement (other)'!$B$118:$AL$124,MATCH("natural gas nonpeaker",'Cost Improvement (other)'!$A$118:$A$124,0),MATCH('CCaMC-BCCpUC'!$A14,'Cost Improvement (other)'!$B$117:$AL$117,0))*1000*About!$A$60</f>
        <v>326010.52151854715</v>
      </c>
      <c r="D14" s="62">
        <f>EDO!$C$9*INDEX('Cost Improvement (other)'!$B$118:$AL$124,MATCH("nuclear",'Cost Improvement (other)'!$A$118:$A$124,0),MATCH('CCaMC-BCCpUC'!$A14,'Cost Improvement (other)'!$B$117:$AL$117,0))*1000*About!$A$58</f>
        <v>1938766.7993300706</v>
      </c>
      <c r="E14" s="62">
        <f>'Hydro and Geothermal'!$B$2*INDEX('Cost Improvement (other)'!$B$118:$AL$124,MATCH("hydro",'Cost Improvement (other)'!$A$118:$A$124,0),MATCH('CCaMC-BCCpUC'!$A14,'Cost Improvement (other)'!$B$117:$AL$117,0))*1000*About!$A$58</f>
        <v>1503224.2236558914</v>
      </c>
      <c r="F14" s="62">
        <f>EDO!$C$3*INDEX('Cost Improvement (wind&amp;solar)'!$I$2:$L$42,MATCH('CCaMC-BCCpUC'!$A14,'Cost Improvement (wind&amp;solar)'!$H$2:$H$42,0),MATCH("onshore wind",'Cost Improvement (wind&amp;solar)'!$I$1:$L$1,0))*1000*About!$A$60</f>
        <v>1241223.9595000001</v>
      </c>
      <c r="G14" s="62">
        <f>EDO!$C$5*INDEX('Cost Improvement (wind&amp;solar)'!$I$2:$L$42,MATCH('CCaMC-BCCpUC'!$A14,'Cost Improvement (wind&amp;solar)'!$H$2:$H$42,0),MATCH("solar pv",'Cost Improvement (wind&amp;solar)'!$I$1:$L$1,0))*1000*About!$A$60</f>
        <v>836537.5553684209</v>
      </c>
      <c r="H14" s="62">
        <f>'Solar thermal'!$B$3*INDEX('Cost Improvement (wind&amp;solar)'!$I$2:$L$42,MATCH('CCaMC-BCCpUC'!$A14,'Cost Improvement (wind&amp;solar)'!$H$2:$H$42,0),MATCH("solar thermal",'Cost Improvement (wind&amp;solar)'!$I$1:$L$1,0))*10^6</f>
        <v>2740165.2173913028</v>
      </c>
      <c r="I14" s="62">
        <f>EDO!$C$8*INDEX('Cost Improvement (other)'!$B$118:$AL$124,MATCH("biomass",'Cost Improvement (other)'!$A$118:$A$124,0),MATCH('CCaMC-BCCpUC'!$A14,'Cost Improvement (other)'!$B$117:$AL$117,0))*1000*About!$A$60</f>
        <v>1575478.9905935009</v>
      </c>
      <c r="J14" s="62">
        <f>'Hydro and Geothermal'!$B$3*INDEX('Cost Improvement (other)'!$B$118:$AL$124,MATCH("geothermal",'Cost Improvement (other)'!$A$118:$A$124,0),MATCH('CCaMC-BCCpUC'!$A14,'Cost Improvement (other)'!$B$117:$AL$117,0))*1000*About!$A$58</f>
        <v>3306232.2253808356</v>
      </c>
      <c r="K14" s="67">
        <v>619575.81905558321</v>
      </c>
      <c r="L14" s="67">
        <f>EDO!$C$6*('EIA Costs'!$D$5/'EIA Costs'!$D$3)*INDEX('Cost Improvement (other)'!$B$118:$AL$124,MATCH("natural gas peaker",'Cost Improvement (other)'!$A$118:$A$124,0),MATCH('CCaMC-BCCpUC'!$A14,'Cost Improvement (other)'!$B$117:$AL$117,0))*1000*About!$A$60</f>
        <v>213547.90475933556</v>
      </c>
      <c r="M14" s="67">
        <f t="shared" si="2"/>
        <v>1120315.2626683728</v>
      </c>
      <c r="N14" s="62">
        <f>EDO!$C$4*INDEX('Cost Improvement (wind&amp;solar)'!$I$2:$L$42,MATCH('CCaMC-BCCpUC'!$A14,'Cost Improvement (wind&amp;solar)'!$H$2:$H$42,0),MATCH("offshore wind",'Cost Improvement (wind&amp;solar)'!$I$1:$L$1,0))*1000*About!$A$60</f>
        <v>1645825.3534333338</v>
      </c>
      <c r="O14" s="62">
        <f t="shared" si="0"/>
        <v>619575.81905558321</v>
      </c>
      <c r="P14" s="62">
        <f t="shared" si="1"/>
        <v>619575.81905558321</v>
      </c>
      <c r="Q14" s="62">
        <v>7728499.6649701986</v>
      </c>
    </row>
    <row r="15" spans="1:17">
      <c r="A15" s="61">
        <v>2029</v>
      </c>
      <c r="B15" s="62">
        <f>EDO!$C$7*INDEX('Cost Improvement (other)'!$B$118:$AL$124,MATCH("coal",'Cost Improvement (other)'!$A$118:$A$124,0),MATCH('CCaMC-BCCpUC'!$A15,'Cost Improvement (other)'!$B$117:$AL$117,0))*1000*About!$A$60</f>
        <v>1112826.9219266754</v>
      </c>
      <c r="C15" s="62">
        <f>EDO!$C$6*INDEX('Cost Improvement (other)'!$B$118:$AL$124,MATCH("natural gas nonpeaker",'Cost Improvement (other)'!$A$118:$A$124,0),MATCH('CCaMC-BCCpUC'!$A15,'Cost Improvement (other)'!$B$117:$AL$117,0))*1000*About!$A$60</f>
        <v>324500.88686250959</v>
      </c>
      <c r="D15" s="62">
        <f>EDO!$C$9*INDEX('Cost Improvement (other)'!$B$118:$AL$124,MATCH("nuclear",'Cost Improvement (other)'!$A$118:$A$124,0),MATCH('CCaMC-BCCpUC'!$A15,'Cost Improvement (other)'!$B$117:$AL$117,0))*1000*About!$A$58</f>
        <v>1928134.643042353</v>
      </c>
      <c r="E15" s="62">
        <f>'Hydro and Geothermal'!$B$2*INDEX('Cost Improvement (other)'!$B$118:$AL$124,MATCH("hydro",'Cost Improvement (other)'!$A$118:$A$124,0),MATCH('CCaMC-BCCpUC'!$A15,'Cost Improvement (other)'!$B$117:$AL$117,0))*1000*About!$A$58</f>
        <v>1494631.2785224163</v>
      </c>
      <c r="F15" s="62">
        <f>EDO!$C$3*INDEX('Cost Improvement (wind&amp;solar)'!$I$2:$L$42,MATCH('CCaMC-BCCpUC'!$A15,'Cost Improvement (wind&amp;solar)'!$H$2:$H$42,0),MATCH("onshore wind",'Cost Improvement (wind&amp;solar)'!$I$1:$L$1,0))*1000*About!$A$60</f>
        <v>1235632.8605833333</v>
      </c>
      <c r="G15" s="62">
        <f>EDO!$C$5*INDEX('Cost Improvement (wind&amp;solar)'!$I$2:$L$42,MATCH('CCaMC-BCCpUC'!$A15,'Cost Improvement (wind&amp;solar)'!$H$2:$H$42,0),MATCH("solar pv",'Cost Improvement (wind&amp;solar)'!$I$1:$L$1,0))*1000*About!$A$60</f>
        <v>833217.96189473663</v>
      </c>
      <c r="H15" s="62">
        <f>'Solar thermal'!$B$3*INDEX('Cost Improvement (wind&amp;solar)'!$I$2:$L$42,MATCH('CCaMC-BCCpUC'!$A15,'Cost Improvement (wind&amp;solar)'!$H$2:$H$42,0),MATCH("solar thermal",'Cost Improvement (wind&amp;solar)'!$I$1:$L$1,0))*10^6</f>
        <v>2697039.1304347808</v>
      </c>
      <c r="I15" s="62">
        <f>EDO!$C$8*INDEX('Cost Improvement (other)'!$B$118:$AL$124,MATCH("biomass",'Cost Improvement (other)'!$A$118:$A$124,0),MATCH('CCaMC-BCCpUC'!$A15,'Cost Improvement (other)'!$B$117:$AL$117,0))*1000*About!$A$60</f>
        <v>1570943.0756195402</v>
      </c>
      <c r="J15" s="62">
        <f>'Hydro and Geothermal'!$B$3*INDEX('Cost Improvement (other)'!$B$118:$AL$124,MATCH("geothermal",'Cost Improvement (other)'!$A$118:$A$124,0),MATCH('CCaMC-BCCpUC'!$A15,'Cost Improvement (other)'!$B$117:$AL$117,0))*1000*About!$A$58</f>
        <v>3300599.8025096604</v>
      </c>
      <c r="K15" s="67">
        <v>616448.38075626816</v>
      </c>
      <c r="L15" s="67">
        <f>EDO!$C$6*('EIA Costs'!$D$5/'EIA Costs'!$D$3)*INDEX('Cost Improvement (other)'!$B$118:$AL$124,MATCH("natural gas peaker",'Cost Improvement (other)'!$A$118:$A$124,0),MATCH('CCaMC-BCCpUC'!$A15,'Cost Improvement (other)'!$B$117:$AL$117,0))*1000*About!$A$60</f>
        <v>212469.97712636107</v>
      </c>
      <c r="M15" s="67">
        <f t="shared" si="2"/>
        <v>1112826.9219266754</v>
      </c>
      <c r="N15" s="62">
        <f>EDO!$C$4*INDEX('Cost Improvement (wind&amp;solar)'!$I$2:$L$42,MATCH('CCaMC-BCCpUC'!$A15,'Cost Improvement (wind&amp;solar)'!$H$2:$H$42,0),MATCH("offshore wind",'Cost Improvement (wind&amp;solar)'!$I$1:$L$1,0))*1000*About!$A$60</f>
        <v>1638240.9048000004</v>
      </c>
      <c r="O15" s="62">
        <f t="shared" si="0"/>
        <v>616448.38075626816</v>
      </c>
      <c r="P15" s="62">
        <f t="shared" si="1"/>
        <v>616448.38075626816</v>
      </c>
      <c r="Q15" s="62">
        <v>7694951.9782399936</v>
      </c>
    </row>
    <row r="16" spans="1:17">
      <c r="A16" s="61">
        <v>2030</v>
      </c>
      <c r="B16" s="62">
        <f>EDO!$C$7*INDEX('Cost Improvement (other)'!$B$118:$AL$124,MATCH("coal",'Cost Improvement (other)'!$A$118:$A$124,0),MATCH('CCaMC-BCCpUC'!$A16,'Cost Improvement (other)'!$B$117:$AL$117,0))*1000*About!$A$60</f>
        <v>1104540.3071350553</v>
      </c>
      <c r="C16" s="62">
        <f>EDO!$C$6*INDEX('Cost Improvement (other)'!$B$118:$AL$124,MATCH("natural gas nonpeaker",'Cost Improvement (other)'!$A$118:$A$124,0),MATCH('CCaMC-BCCpUC'!$A16,'Cost Improvement (other)'!$B$117:$AL$117,0))*1000*About!$A$60</f>
        <v>322896.27734623209</v>
      </c>
      <c r="D16" s="62">
        <f>EDO!$C$9*INDEX('Cost Improvement (other)'!$B$118:$AL$124,MATCH("nuclear",'Cost Improvement (other)'!$A$118:$A$124,0),MATCH('CCaMC-BCCpUC'!$A16,'Cost Improvement (other)'!$B$117:$AL$117,0))*1000*About!$A$58</f>
        <v>1917500.8147068652</v>
      </c>
      <c r="E16" s="62">
        <f>'Hydro and Geothermal'!$B$2*INDEX('Cost Improvement (other)'!$B$118:$AL$124,MATCH("hydro",'Cost Improvement (other)'!$A$118:$A$124,0),MATCH('CCaMC-BCCpUC'!$A16,'Cost Improvement (other)'!$B$117:$AL$117,0))*1000*About!$A$58</f>
        <v>1486038.3333889404</v>
      </c>
      <c r="F16" s="62">
        <f>EDO!$C$3*INDEX('Cost Improvement (wind&amp;solar)'!$I$2:$L$42,MATCH('CCaMC-BCCpUC'!$A16,'Cost Improvement (wind&amp;solar)'!$H$2:$H$42,0),MATCH("onshore wind",'Cost Improvement (wind&amp;solar)'!$I$1:$L$1,0))*1000*About!$A$60</f>
        <v>1230041.7616666667</v>
      </c>
      <c r="G16" s="62">
        <f>EDO!$C$5*INDEX('Cost Improvement (wind&amp;solar)'!$I$2:$L$42,MATCH('CCaMC-BCCpUC'!$A16,'Cost Improvement (wind&amp;solar)'!$H$2:$H$42,0),MATCH("solar pv",'Cost Improvement (wind&amp;solar)'!$I$1:$L$1,0))*1000*About!$A$60</f>
        <v>829898.36842105258</v>
      </c>
      <c r="H16" s="62">
        <f>'Solar thermal'!$B$3*INDEX('Cost Improvement (wind&amp;solar)'!$I$2:$L$42,MATCH('CCaMC-BCCpUC'!$A16,'Cost Improvement (wind&amp;solar)'!$H$2:$H$42,0),MATCH("solar thermal",'Cost Improvement (wind&amp;solar)'!$I$1:$L$1,0))*10^6</f>
        <v>2653913.0434782607</v>
      </c>
      <c r="I16" s="62">
        <f>EDO!$C$8*INDEX('Cost Improvement (other)'!$B$118:$AL$124,MATCH("biomass",'Cost Improvement (other)'!$A$118:$A$124,0),MATCH('CCaMC-BCCpUC'!$A16,'Cost Improvement (other)'!$B$117:$AL$117,0))*1000*About!$A$60</f>
        <v>1566405.7913178615</v>
      </c>
      <c r="J16" s="62">
        <f>'Hydro and Geothermal'!$B$3*INDEX('Cost Improvement (other)'!$B$118:$AL$124,MATCH("geothermal",'Cost Improvement (other)'!$A$118:$A$124,0),MATCH('CCaMC-BCCpUC'!$A16,'Cost Improvement (other)'!$B$117:$AL$117,0))*1000*About!$A$58</f>
        <v>3294967.3796384828</v>
      </c>
      <c r="K16" s="67">
        <v>613103.989995774</v>
      </c>
      <c r="L16" s="67">
        <f>EDO!$C$6*('EIA Costs'!$D$5/'EIA Costs'!$D$3)*INDEX('Cost Improvement (other)'!$B$118:$AL$124,MATCH("natural gas peaker",'Cost Improvement (other)'!$A$118:$A$124,0),MATCH('CCaMC-BCCpUC'!$A16,'Cost Improvement (other)'!$B$117:$AL$117,0))*1000*About!$A$60</f>
        <v>211317.27294128062</v>
      </c>
      <c r="M16" s="67">
        <f t="shared" si="2"/>
        <v>1104540.3071350553</v>
      </c>
      <c r="N16" s="62">
        <f>EDO!$C$4*INDEX('Cost Improvement (wind&amp;solar)'!$I$2:$L$42,MATCH('CCaMC-BCCpUC'!$A16,'Cost Improvement (wind&amp;solar)'!$H$2:$H$42,0),MATCH("offshore wind",'Cost Improvement (wind&amp;solar)'!$I$1:$L$1,0))*1000*About!$A$60</f>
        <v>1630656.4561666665</v>
      </c>
      <c r="O16" s="62">
        <f t="shared" si="0"/>
        <v>613103.989995774</v>
      </c>
      <c r="P16" s="62">
        <f t="shared" si="1"/>
        <v>613103.989995774</v>
      </c>
      <c r="Q16" s="62">
        <v>7673261.2195788976</v>
      </c>
    </row>
    <row r="17" spans="1:17">
      <c r="A17" s="61">
        <v>2031</v>
      </c>
      <c r="B17" s="62">
        <f>EDO!$C$7*INDEX('Cost Improvement (other)'!$B$118:$AL$124,MATCH("coal",'Cost Improvement (other)'!$A$118:$A$124,0),MATCH('CCaMC-BCCpUC'!$A17,'Cost Improvement (other)'!$B$117:$AL$117,0))*1000*About!$A$60</f>
        <v>1097110.6825091708</v>
      </c>
      <c r="C17" s="62">
        <f>EDO!$C$6*INDEX('Cost Improvement (other)'!$B$118:$AL$124,MATCH("natural gas nonpeaker",'Cost Improvement (other)'!$A$118:$A$124,0),MATCH('CCaMC-BCCpUC'!$A17,'Cost Improvement (other)'!$B$117:$AL$117,0))*1000*About!$A$60</f>
        <v>321440.87928331137</v>
      </c>
      <c r="D17" s="62">
        <f>EDO!$C$9*INDEX('Cost Improvement (other)'!$B$118:$AL$124,MATCH("nuclear",'Cost Improvement (other)'!$A$118:$A$124,0),MATCH('CCaMC-BCCpUC'!$A17,'Cost Improvement (other)'!$B$117:$AL$117,0))*1000*About!$A$58</f>
        <v>1906866.1098854635</v>
      </c>
      <c r="E17" s="62">
        <f>'Hydro and Geothermal'!$B$2*INDEX('Cost Improvement (other)'!$B$118:$AL$124,MATCH("hydro",'Cost Improvement (other)'!$A$118:$A$124,0),MATCH('CCaMC-BCCpUC'!$A17,'Cost Improvement (other)'!$B$117:$AL$117,0))*1000*About!$A$58</f>
        <v>1477449.2462366999</v>
      </c>
      <c r="F17" s="62">
        <f>EDO!$C$3*INDEX('Cost Improvement (wind&amp;solar)'!$I$2:$L$42,MATCH('CCaMC-BCCpUC'!$A17,'Cost Improvement (wind&amp;solar)'!$H$2:$H$42,0),MATCH("onshore wind",'Cost Improvement (wind&amp;solar)'!$I$1:$L$1,0))*1000*About!$A$60</f>
        <v>1224450.6627500001</v>
      </c>
      <c r="G17" s="62">
        <f>EDO!$C$5*INDEX('Cost Improvement (wind&amp;solar)'!$I$2:$L$42,MATCH('CCaMC-BCCpUC'!$A17,'Cost Improvement (wind&amp;solar)'!$H$2:$H$42,0),MATCH("solar pv",'Cost Improvement (wind&amp;solar)'!$I$1:$L$1,0))*1000*About!$A$60</f>
        <v>828238.57168421044</v>
      </c>
      <c r="H17" s="62">
        <f>'Solar thermal'!$B$3*INDEX('Cost Improvement (wind&amp;solar)'!$I$2:$L$42,MATCH('CCaMC-BCCpUC'!$A17,'Cost Improvement (wind&amp;solar)'!$H$2:$H$42,0),MATCH("solar thermal",'Cost Improvement (wind&amp;solar)'!$I$1:$L$1,0))*10^6</f>
        <v>2638984.7826086958</v>
      </c>
      <c r="I17" s="62">
        <f>EDO!$C$8*INDEX('Cost Improvement (other)'!$B$118:$AL$124,MATCH("biomass",'Cost Improvement (other)'!$A$118:$A$124,0),MATCH('CCaMC-BCCpUC'!$A17,'Cost Improvement (other)'!$B$117:$AL$117,0))*1000*About!$A$60</f>
        <v>1561867.703554997</v>
      </c>
      <c r="J17" s="62">
        <f>'Hydro and Geothermal'!$B$3*INDEX('Cost Improvement (other)'!$B$118:$AL$124,MATCH("geothermal",'Cost Improvement (other)'!$A$118:$A$124,0),MATCH('CCaMC-BCCpUC'!$A17,'Cost Improvement (other)'!$B$117:$AL$117,0))*1000*About!$A$58</f>
        <v>3289334.9567673057</v>
      </c>
      <c r="K17" s="67">
        <v>610100.70335621736</v>
      </c>
      <c r="L17" s="67">
        <f>EDO!$C$6*('EIA Costs'!$D$5/'EIA Costs'!$D$3)*INDEX('Cost Improvement (other)'!$B$118:$AL$124,MATCH("natural gas peaker",'Cost Improvement (other)'!$A$118:$A$124,0),MATCH('CCaMC-BCCpUC'!$A17,'Cost Improvement (other)'!$B$117:$AL$117,0))*1000*About!$A$60</f>
        <v>210282.1364018227</v>
      </c>
      <c r="M17" s="67">
        <f t="shared" si="2"/>
        <v>1097110.6825091708</v>
      </c>
      <c r="N17" s="62">
        <f>EDO!$C$4*INDEX('Cost Improvement (wind&amp;solar)'!$I$2:$L$42,MATCH('CCaMC-BCCpUC'!$A17,'Cost Improvement (wind&amp;solar)'!$H$2:$H$42,0),MATCH("offshore wind",'Cost Improvement (wind&amp;solar)'!$I$1:$L$1,0))*1000*About!$A$60</f>
        <v>1624968.1196916667</v>
      </c>
      <c r="O17" s="62">
        <f t="shared" si="0"/>
        <v>610100.70335621736</v>
      </c>
      <c r="P17" s="62">
        <f t="shared" si="1"/>
        <v>610100.70335621736</v>
      </c>
      <c r="Q17" s="62">
        <v>7651766.5026455559</v>
      </c>
    </row>
    <row r="18" spans="1:17">
      <c r="A18" s="61">
        <v>2032</v>
      </c>
      <c r="B18" s="62">
        <f>EDO!$C$7*INDEX('Cost Improvement (other)'!$B$118:$AL$124,MATCH("coal",'Cost Improvement (other)'!$A$118:$A$124,0),MATCH('CCaMC-BCCpUC'!$A18,'Cost Improvement (other)'!$B$117:$AL$117,0))*1000*About!$A$60</f>
        <v>1090789.4111003743</v>
      </c>
      <c r="C18" s="62">
        <f>EDO!$C$6*INDEX('Cost Improvement (other)'!$B$118:$AL$124,MATCH("natural gas nonpeaker",'Cost Improvement (other)'!$A$118:$A$124,0),MATCH('CCaMC-BCCpUC'!$A18,'Cost Improvement (other)'!$B$117:$AL$117,0))*1000*About!$A$60</f>
        <v>320282.85046349978</v>
      </c>
      <c r="D18" s="62">
        <f>EDO!$C$9*INDEX('Cost Improvement (other)'!$B$118:$AL$124,MATCH("nuclear",'Cost Improvement (other)'!$A$118:$A$124,0),MATCH('CCaMC-BCCpUC'!$A18,'Cost Improvement (other)'!$B$117:$AL$117,0))*1000*About!$A$58</f>
        <v>1896233.6584308264</v>
      </c>
      <c r="E18" s="62">
        <f>'Hydro and Geothermal'!$B$2*INDEX('Cost Improvement (other)'!$B$118:$AL$124,MATCH("hydro",'Cost Improvement (other)'!$A$118:$A$124,0),MATCH('CCaMC-BCCpUC'!$A18,'Cost Improvement (other)'!$B$117:$AL$117,0))*1000*About!$A$58</f>
        <v>1468860.1590844595</v>
      </c>
      <c r="F18" s="62">
        <f>EDO!$C$3*INDEX('Cost Improvement (wind&amp;solar)'!$I$2:$L$42,MATCH('CCaMC-BCCpUC'!$A18,'Cost Improvement (wind&amp;solar)'!$H$2:$H$42,0),MATCH("onshore wind",'Cost Improvement (wind&amp;solar)'!$I$1:$L$1,0))*1000*About!$A$60</f>
        <v>1218859.5638333336</v>
      </c>
      <c r="G18" s="62">
        <f>EDO!$C$5*INDEX('Cost Improvement (wind&amp;solar)'!$I$2:$L$42,MATCH('CCaMC-BCCpUC'!$A18,'Cost Improvement (wind&amp;solar)'!$H$2:$H$42,0),MATCH("solar pv",'Cost Improvement (wind&amp;solar)'!$I$1:$L$1,0))*1000*About!$A$60</f>
        <v>826578.77494736854</v>
      </c>
      <c r="H18" s="62">
        <f>'Solar thermal'!$B$3*INDEX('Cost Improvement (wind&amp;solar)'!$I$2:$L$42,MATCH('CCaMC-BCCpUC'!$A18,'Cost Improvement (wind&amp;solar)'!$H$2:$H$42,0),MATCH("solar thermal",'Cost Improvement (wind&amp;solar)'!$I$1:$L$1,0))*10^6</f>
        <v>2624056.5217391304</v>
      </c>
      <c r="I18" s="62">
        <f>EDO!$C$8*INDEX('Cost Improvement (other)'!$B$118:$AL$124,MATCH("biomass",'Cost Improvement (other)'!$A$118:$A$124,0),MATCH('CCaMC-BCCpUC'!$A18,'Cost Improvement (other)'!$B$117:$AL$117,0))*1000*About!$A$60</f>
        <v>1557331.4364178861</v>
      </c>
      <c r="J18" s="62">
        <f>'Hydro and Geothermal'!$B$3*INDEX('Cost Improvement (other)'!$B$118:$AL$124,MATCH("geothermal",'Cost Improvement (other)'!$A$118:$A$124,0),MATCH('CCaMC-BCCpUC'!$A18,'Cost Improvement (other)'!$B$117:$AL$117,0))*1000*About!$A$58</f>
        <v>3283702.5338961286</v>
      </c>
      <c r="K18" s="67">
        <v>607777.3086571634</v>
      </c>
      <c r="L18" s="67">
        <f>EDO!$C$6*('EIA Costs'!$D$5/'EIA Costs'!$D$3)*INDEX('Cost Improvement (other)'!$B$118:$AL$124,MATCH("natural gas peaker",'Cost Improvement (other)'!$A$118:$A$124,0),MATCH('CCaMC-BCCpUC'!$A18,'Cost Improvement (other)'!$B$117:$AL$117,0))*1000*About!$A$60</f>
        <v>209481.33679884876</v>
      </c>
      <c r="M18" s="67">
        <f t="shared" si="2"/>
        <v>1090789.4111003743</v>
      </c>
      <c r="N18" s="62">
        <f>EDO!$C$4*INDEX('Cost Improvement (wind&amp;solar)'!$I$2:$L$42,MATCH('CCaMC-BCCpUC'!$A18,'Cost Improvement (wind&amp;solar)'!$H$2:$H$42,0),MATCH("offshore wind",'Cost Improvement (wind&amp;solar)'!$I$1:$L$1,0))*1000*About!$A$60</f>
        <v>1619279.7832166667</v>
      </c>
      <c r="O18" s="62">
        <f t="shared" si="0"/>
        <v>607777.3086571634</v>
      </c>
      <c r="P18" s="62">
        <f t="shared" si="1"/>
        <v>607777.3086571634</v>
      </c>
      <c r="Q18" s="62">
        <v>7626303.7360194027</v>
      </c>
    </row>
    <row r="19" spans="1:17">
      <c r="A19" s="61">
        <v>2033</v>
      </c>
      <c r="B19" s="62">
        <f>EDO!$C$7*INDEX('Cost Improvement (other)'!$B$118:$AL$124,MATCH("coal",'Cost Improvement (other)'!$A$118:$A$124,0),MATCH('CCaMC-BCCpUC'!$A19,'Cost Improvement (other)'!$B$117:$AL$117,0))*1000*About!$A$60</f>
        <v>1082999.338611092</v>
      </c>
      <c r="C19" s="62">
        <f>EDO!$C$6*INDEX('Cost Improvement (other)'!$B$118:$AL$124,MATCH("natural gas nonpeaker",'Cost Improvement (other)'!$A$118:$A$124,0),MATCH('CCaMC-BCCpUC'!$A19,'Cost Improvement (other)'!$B$117:$AL$117,0))*1000*About!$A$60</f>
        <v>319253.55184906052</v>
      </c>
      <c r="D19" s="62">
        <f>EDO!$C$9*INDEX('Cost Improvement (other)'!$B$118:$AL$124,MATCH("nuclear",'Cost Improvement (other)'!$A$118:$A$124,0),MATCH('CCaMC-BCCpUC'!$A19,'Cost Improvement (other)'!$B$117:$AL$117,0))*1000*About!$A$58</f>
        <v>1885600.7174743121</v>
      </c>
      <c r="E19" s="62">
        <f>'Hydro and Geothermal'!$B$2*INDEX('Cost Improvement (other)'!$B$118:$AL$124,MATCH("hydro",'Cost Improvement (other)'!$A$118:$A$124,0),MATCH('CCaMC-BCCpUC'!$A19,'Cost Improvement (other)'!$B$117:$AL$117,0))*1000*About!$A$58</f>
        <v>1460274.9085818043</v>
      </c>
      <c r="F19" s="62">
        <f>EDO!$C$3*INDEX('Cost Improvement (wind&amp;solar)'!$I$2:$L$42,MATCH('CCaMC-BCCpUC'!$A19,'Cost Improvement (wind&amp;solar)'!$H$2:$H$42,0),MATCH("onshore wind",'Cost Improvement (wind&amp;solar)'!$I$1:$L$1,0))*1000*About!$A$60</f>
        <v>1213268.4649166667</v>
      </c>
      <c r="G19" s="62">
        <f>EDO!$C$5*INDEX('Cost Improvement (wind&amp;solar)'!$I$2:$L$42,MATCH('CCaMC-BCCpUC'!$A19,'Cost Improvement (wind&amp;solar)'!$H$2:$H$42,0),MATCH("solar pv",'Cost Improvement (wind&amp;solar)'!$I$1:$L$1,0))*1000*About!$A$60</f>
        <v>824918.97821052652</v>
      </c>
      <c r="H19" s="62">
        <f>'Solar thermal'!$B$3*INDEX('Cost Improvement (wind&amp;solar)'!$I$2:$L$42,MATCH('CCaMC-BCCpUC'!$A19,'Cost Improvement (wind&amp;solar)'!$H$2:$H$42,0),MATCH("solar thermal",'Cost Improvement (wind&amp;solar)'!$I$1:$L$1,0))*10^6</f>
        <v>2609128.2608695654</v>
      </c>
      <c r="I19" s="62">
        <f>EDO!$C$8*INDEX('Cost Improvement (other)'!$B$118:$AL$124,MATCH("biomass",'Cost Improvement (other)'!$A$118:$A$124,0),MATCH('CCaMC-BCCpUC'!$A19,'Cost Improvement (other)'!$B$117:$AL$117,0))*1000*About!$A$60</f>
        <v>1552795.0285874589</v>
      </c>
      <c r="J19" s="62">
        <f>'Hydro and Geothermal'!$B$3*INDEX('Cost Improvement (other)'!$B$118:$AL$124,MATCH("geothermal",'Cost Improvement (other)'!$A$118:$A$124,0),MATCH('CCaMC-BCCpUC'!$A19,'Cost Improvement (other)'!$B$117:$AL$117,0))*1000*About!$A$58</f>
        <v>3278070.1110249525</v>
      </c>
      <c r="K19" s="67">
        <v>605748.1000457817</v>
      </c>
      <c r="L19" s="67">
        <f>EDO!$C$6*('EIA Costs'!$D$5/'EIA Costs'!$D$3)*INDEX('Cost Improvement (other)'!$B$118:$AL$124,MATCH("natural gas peaker",'Cost Improvement (other)'!$A$118:$A$124,0),MATCH('CCaMC-BCCpUC'!$A19,'Cost Improvement (other)'!$B$117:$AL$117,0))*1000*About!$A$60</f>
        <v>208781.93370087008</v>
      </c>
      <c r="M19" s="67">
        <f t="shared" si="2"/>
        <v>1082999.338611092</v>
      </c>
      <c r="N19" s="62">
        <f>EDO!$C$4*INDEX('Cost Improvement (wind&amp;solar)'!$I$2:$L$42,MATCH('CCaMC-BCCpUC'!$A19,'Cost Improvement (wind&amp;solar)'!$H$2:$H$42,0),MATCH("offshore wind",'Cost Improvement (wind&amp;solar)'!$I$1:$L$1,0))*1000*About!$A$60</f>
        <v>1613591.4467416666</v>
      </c>
      <c r="O19" s="62">
        <f t="shared" si="0"/>
        <v>605748.1000457817</v>
      </c>
      <c r="P19" s="62">
        <f t="shared" si="1"/>
        <v>605748.1000457817</v>
      </c>
      <c r="Q19" s="62">
        <v>7603867.4320185054</v>
      </c>
    </row>
    <row r="20" spans="1:17">
      <c r="A20" s="61">
        <v>2034</v>
      </c>
      <c r="B20" s="62">
        <f>EDO!$C$7*INDEX('Cost Improvement (other)'!$B$118:$AL$124,MATCH("coal",'Cost Improvement (other)'!$A$118:$A$124,0),MATCH('CCaMC-BCCpUC'!$A20,'Cost Improvement (other)'!$B$117:$AL$117,0))*1000*About!$A$60</f>
        <v>1076122.5030056713</v>
      </c>
      <c r="C20" s="62">
        <f>EDO!$C$6*INDEX('Cost Improvement (other)'!$B$118:$AL$124,MATCH("natural gas nonpeaker",'Cost Improvement (other)'!$A$118:$A$124,0),MATCH('CCaMC-BCCpUC'!$A20,'Cost Improvement (other)'!$B$117:$AL$117,0))*1000*About!$A$60</f>
        <v>318209.30712534173</v>
      </c>
      <c r="D20" s="62">
        <f>EDO!$C$9*INDEX('Cost Improvement (other)'!$B$118:$AL$124,MATCH("nuclear",'Cost Improvement (other)'!$A$118:$A$124,0),MATCH('CCaMC-BCCpUC'!$A20,'Cost Improvement (other)'!$B$117:$AL$117,0))*1000*About!$A$58</f>
        <v>1874967.3679339977</v>
      </c>
      <c r="E20" s="62">
        <f>'Hydro and Geothermal'!$B$2*INDEX('Cost Improvement (other)'!$B$118:$AL$124,MATCH("hydro",'Cost Improvement (other)'!$A$118:$A$124,0),MATCH('CCaMC-BCCpUC'!$A20,'Cost Improvement (other)'!$B$117:$AL$117,0))*1000*About!$A$58</f>
        <v>1451689.6580791483</v>
      </c>
      <c r="F20" s="62">
        <f>EDO!$C$3*INDEX('Cost Improvement (wind&amp;solar)'!$I$2:$L$42,MATCH('CCaMC-BCCpUC'!$A20,'Cost Improvement (wind&amp;solar)'!$H$2:$H$42,0),MATCH("onshore wind",'Cost Improvement (wind&amp;solar)'!$I$1:$L$1,0))*1000*About!$A$60</f>
        <v>1207677.3660000002</v>
      </c>
      <c r="G20" s="62">
        <f>EDO!$C$5*INDEX('Cost Improvement (wind&amp;solar)'!$I$2:$L$42,MATCH('CCaMC-BCCpUC'!$A20,'Cost Improvement (wind&amp;solar)'!$H$2:$H$42,0),MATCH("solar pv",'Cost Improvement (wind&amp;solar)'!$I$1:$L$1,0))*1000*About!$A$60</f>
        <v>823259.18147368438</v>
      </c>
      <c r="H20" s="62">
        <f>'Solar thermal'!$B$3*INDEX('Cost Improvement (wind&amp;solar)'!$I$2:$L$42,MATCH('CCaMC-BCCpUC'!$A20,'Cost Improvement (wind&amp;solar)'!$H$2:$H$42,0),MATCH("solar thermal",'Cost Improvement (wind&amp;solar)'!$I$1:$L$1,0))*10^6</f>
        <v>2594200.0000000009</v>
      </c>
      <c r="I20" s="62">
        <f>EDO!$C$8*INDEX('Cost Improvement (other)'!$B$118:$AL$124,MATCH("biomass",'Cost Improvement (other)'!$A$118:$A$124,0),MATCH('CCaMC-BCCpUC'!$A20,'Cost Improvement (other)'!$B$117:$AL$117,0))*1000*About!$A$60</f>
        <v>1548257.9318575985</v>
      </c>
      <c r="J20" s="62">
        <f>'Hydro and Geothermal'!$B$3*INDEX('Cost Improvement (other)'!$B$118:$AL$124,MATCH("geothermal",'Cost Improvement (other)'!$A$118:$A$124,0),MATCH('CCaMC-BCCpUC'!$A20,'Cost Improvement (other)'!$B$117:$AL$117,0))*1000*About!$A$58</f>
        <v>3272437.6881537759</v>
      </c>
      <c r="K20" s="67">
        <v>603684.81012468517</v>
      </c>
      <c r="L20" s="67">
        <f>EDO!$C$6*('EIA Costs'!$D$5/'EIA Costs'!$D$3)*INDEX('Cost Improvement (other)'!$B$118:$AL$124,MATCH("natural gas peaker",'Cost Improvement (other)'!$A$118:$A$124,0),MATCH('CCaMC-BCCpUC'!$A20,'Cost Improvement (other)'!$B$117:$AL$117,0))*1000*About!$A$60</f>
        <v>208070.78386898537</v>
      </c>
      <c r="M20" s="67">
        <f t="shared" si="2"/>
        <v>1076122.5030056713</v>
      </c>
      <c r="N20" s="62">
        <f>EDO!$C$4*INDEX('Cost Improvement (wind&amp;solar)'!$I$2:$L$42,MATCH('CCaMC-BCCpUC'!$A20,'Cost Improvement (wind&amp;solar)'!$H$2:$H$42,0),MATCH("offshore wind",'Cost Improvement (wind&amp;solar)'!$I$1:$L$1,0))*1000*About!$A$60</f>
        <v>1607903.1102666666</v>
      </c>
      <c r="O20" s="62">
        <f t="shared" si="0"/>
        <v>603684.81012468517</v>
      </c>
      <c r="P20" s="62">
        <f t="shared" si="1"/>
        <v>603684.81012468517</v>
      </c>
      <c r="Q20" s="62">
        <v>7587101.1716198716</v>
      </c>
    </row>
    <row r="21" spans="1:17">
      <c r="A21" s="61">
        <v>2035</v>
      </c>
      <c r="B21" s="62">
        <f>EDO!$C$7*INDEX('Cost Improvement (other)'!$B$118:$AL$124,MATCH("coal",'Cost Improvement (other)'!$A$118:$A$124,0),MATCH('CCaMC-BCCpUC'!$A21,'Cost Improvement (other)'!$B$117:$AL$117,0))*1000*About!$A$60</f>
        <v>1069554.6979027926</v>
      </c>
      <c r="C21" s="62">
        <f>EDO!$C$6*INDEX('Cost Improvement (other)'!$B$118:$AL$124,MATCH("natural gas nonpeaker",'Cost Improvement (other)'!$A$118:$A$124,0),MATCH('CCaMC-BCCpUC'!$A21,'Cost Improvement (other)'!$B$117:$AL$117,0))*1000*About!$A$60</f>
        <v>317037.71931219369</v>
      </c>
      <c r="D21" s="62">
        <f>EDO!$C$9*INDEX('Cost Improvement (other)'!$B$118:$AL$124,MATCH("nuclear",'Cost Improvement (other)'!$A$118:$A$124,0),MATCH('CCaMC-BCCpUC'!$A21,'Cost Improvement (other)'!$B$117:$AL$117,0))*1000*About!$A$58</f>
        <v>1864333.7748661737</v>
      </c>
      <c r="E21" s="62">
        <f>'Hydro and Geothermal'!$B$2*INDEX('Cost Improvement (other)'!$B$118:$AL$124,MATCH("hydro",'Cost Improvement (other)'!$A$118:$A$124,0),MATCH('CCaMC-BCCpUC'!$A21,'Cost Improvement (other)'!$B$117:$AL$117,0))*1000*About!$A$58</f>
        <v>1443108.2259418063</v>
      </c>
      <c r="F21" s="62">
        <f>EDO!$C$3*INDEX('Cost Improvement (wind&amp;solar)'!$I$2:$L$42,MATCH('CCaMC-BCCpUC'!$A21,'Cost Improvement (wind&amp;solar)'!$H$2:$H$42,0),MATCH("onshore wind",'Cost Improvement (wind&amp;solar)'!$I$1:$L$1,0))*1000*About!$A$60</f>
        <v>1202086.2670833336</v>
      </c>
      <c r="G21" s="62">
        <f>EDO!$C$5*INDEX('Cost Improvement (wind&amp;solar)'!$I$2:$L$42,MATCH('CCaMC-BCCpUC'!$A21,'Cost Improvement (wind&amp;solar)'!$H$2:$H$42,0),MATCH("solar pv",'Cost Improvement (wind&amp;solar)'!$I$1:$L$1,0))*1000*About!$A$60</f>
        <v>821599.38473684248</v>
      </c>
      <c r="H21" s="62">
        <f>'Solar thermal'!$B$3*INDEX('Cost Improvement (wind&amp;solar)'!$I$2:$L$42,MATCH('CCaMC-BCCpUC'!$A21,'Cost Improvement (wind&amp;solar)'!$H$2:$H$42,0),MATCH("solar thermal",'Cost Improvement (wind&amp;solar)'!$I$1:$L$1,0))*10^6</f>
        <v>2579271.7391304355</v>
      </c>
      <c r="I21" s="62">
        <f>EDO!$C$8*INDEX('Cost Improvement (other)'!$B$118:$AL$124,MATCH("biomass",'Cost Improvement (other)'!$A$118:$A$124,0),MATCH('CCaMC-BCCpUC'!$A21,'Cost Improvement (other)'!$B$117:$AL$117,0))*1000*About!$A$60</f>
        <v>1543720.7740832383</v>
      </c>
      <c r="J21" s="62">
        <f>'Hydro and Geothermal'!$B$3*INDEX('Cost Improvement (other)'!$B$118:$AL$124,MATCH("geothermal",'Cost Improvement (other)'!$A$118:$A$124,0),MATCH('CCaMC-BCCpUC'!$A21,'Cost Improvement (other)'!$B$117:$AL$117,0))*1000*About!$A$58</f>
        <v>3266805.2652825983</v>
      </c>
      <c r="K21" s="67">
        <v>601330.37504906254</v>
      </c>
      <c r="L21" s="67">
        <f>EDO!$C$6*('EIA Costs'!$D$5/'EIA Costs'!$D$3)*INDEX('Cost Improvement (other)'!$B$118:$AL$124,MATCH("natural gas peaker",'Cost Improvement (other)'!$A$118:$A$124,0),MATCH('CCaMC-BCCpUC'!$A21,'Cost Improvement (other)'!$B$117:$AL$117,0))*1000*About!$A$60</f>
        <v>207259.28564418782</v>
      </c>
      <c r="M21" s="67">
        <f t="shared" si="2"/>
        <v>1069554.6979027926</v>
      </c>
      <c r="N21" s="62">
        <f>EDO!$C$4*INDEX('Cost Improvement (wind&amp;solar)'!$I$2:$L$42,MATCH('CCaMC-BCCpUC'!$A21,'Cost Improvement (wind&amp;solar)'!$H$2:$H$42,0),MATCH("offshore wind",'Cost Improvement (wind&amp;solar)'!$I$1:$L$1,0))*1000*About!$A$60</f>
        <v>1602214.7737916671</v>
      </c>
      <c r="O21" s="62">
        <f t="shared" si="0"/>
        <v>601330.37504906254</v>
      </c>
      <c r="P21" s="62">
        <f t="shared" si="1"/>
        <v>601330.37504906254</v>
      </c>
      <c r="Q21" s="62">
        <v>7561294.8637536224</v>
      </c>
    </row>
    <row r="22" spans="1:17">
      <c r="A22" s="61">
        <v>2036</v>
      </c>
      <c r="B22" s="62">
        <f>EDO!$C$7*INDEX('Cost Improvement (other)'!$B$118:$AL$124,MATCH("coal",'Cost Improvement (other)'!$A$118:$A$124,0),MATCH('CCaMC-BCCpUC'!$A22,'Cost Improvement (other)'!$B$117:$AL$117,0))*1000*About!$A$60</f>
        <v>1063214.3963148084</v>
      </c>
      <c r="C22" s="62">
        <f>EDO!$C$6*INDEX('Cost Improvement (other)'!$B$118:$AL$124,MATCH("natural gas nonpeaker",'Cost Improvement (other)'!$A$118:$A$124,0),MATCH('CCaMC-BCCpUC'!$A22,'Cost Improvement (other)'!$B$117:$AL$117,0))*1000*About!$A$60</f>
        <v>315858.19456639275</v>
      </c>
      <c r="D22" s="62">
        <f>EDO!$C$9*INDEX('Cost Improvement (other)'!$B$118:$AL$124,MATCH("nuclear",'Cost Improvement (other)'!$A$118:$A$124,0),MATCH('CCaMC-BCCpUC'!$A22,'Cost Improvement (other)'!$B$117:$AL$117,0))*1000*About!$A$58</f>
        <v>1853699.8441183357</v>
      </c>
      <c r="E22" s="62">
        <f>'Hydro and Geothermal'!$B$2*INDEX('Cost Improvement (other)'!$B$118:$AL$124,MATCH("hydro",'Cost Improvement (other)'!$A$118:$A$124,0),MATCH('CCaMC-BCCpUC'!$A22,'Cost Improvement (other)'!$B$117:$AL$117,0))*1000*About!$A$58</f>
        <v>1440312.0341717065</v>
      </c>
      <c r="F22" s="62">
        <f>EDO!$C$3*INDEX('Cost Improvement (wind&amp;solar)'!$I$2:$L$42,MATCH('CCaMC-BCCpUC'!$A22,'Cost Improvement (wind&amp;solar)'!$H$2:$H$42,0),MATCH("onshore wind",'Cost Improvement (wind&amp;solar)'!$I$1:$L$1,0))*1000*About!$A$60</f>
        <v>1196495.1681666668</v>
      </c>
      <c r="G22" s="62">
        <f>EDO!$C$5*INDEX('Cost Improvement (wind&amp;solar)'!$I$2:$L$42,MATCH('CCaMC-BCCpUC'!$A22,'Cost Improvement (wind&amp;solar)'!$H$2:$H$42,0),MATCH("solar pv",'Cost Improvement (wind&amp;solar)'!$I$1:$L$1,0))*1000*About!$A$60</f>
        <v>819939.58800000034</v>
      </c>
      <c r="H22" s="62">
        <f>'Solar thermal'!$B$3*INDEX('Cost Improvement (wind&amp;solar)'!$I$2:$L$42,MATCH('CCaMC-BCCpUC'!$A22,'Cost Improvement (wind&amp;solar)'!$H$2:$H$42,0),MATCH("solar thermal",'Cost Improvement (wind&amp;solar)'!$I$1:$L$1,0))*10^6</f>
        <v>2564343.4782608706</v>
      </c>
      <c r="I22" s="62">
        <f>EDO!$C$8*INDEX('Cost Improvement (other)'!$B$118:$AL$124,MATCH("biomass",'Cost Improvement (other)'!$A$118:$A$124,0),MATCH('CCaMC-BCCpUC'!$A22,'Cost Improvement (other)'!$B$117:$AL$117,0))*1000*About!$A$60</f>
        <v>1539183.2648929262</v>
      </c>
      <c r="J22" s="62">
        <f>'Hydro and Geothermal'!$B$3*INDEX('Cost Improvement (other)'!$B$118:$AL$124,MATCH("geothermal",'Cost Improvement (other)'!$A$118:$A$124,0),MATCH('CCaMC-BCCpUC'!$A22,'Cost Improvement (other)'!$B$117:$AL$117,0))*1000*About!$A$58</f>
        <v>3261172.8424114212</v>
      </c>
      <c r="K22" s="67">
        <v>598957.8048655868</v>
      </c>
      <c r="L22" s="67">
        <f>EDO!$C$6*('EIA Costs'!$D$5/'EIA Costs'!$D$3)*INDEX('Cost Improvement (other)'!$B$118:$AL$124,MATCH("natural gas peaker",'Cost Improvement (other)'!$A$118:$A$124,0),MATCH('CCaMC-BCCpUC'!$A22,'Cost Improvement (other)'!$B$117:$AL$117,0))*1000*About!$A$60</f>
        <v>206441.53682960692</v>
      </c>
      <c r="M22" s="67">
        <f t="shared" si="2"/>
        <v>1063214.3963148084</v>
      </c>
      <c r="N22" s="62">
        <f>EDO!$C$4*INDEX('Cost Improvement (wind&amp;solar)'!$I$2:$L$42,MATCH('CCaMC-BCCpUC'!$A22,'Cost Improvement (wind&amp;solar)'!$H$2:$H$42,0),MATCH("offshore wind",'Cost Improvement (wind&amp;solar)'!$I$1:$L$1,0))*1000*About!$A$60</f>
        <v>1596526.4373166671</v>
      </c>
      <c r="O22" s="62">
        <f t="shared" si="0"/>
        <v>598957.8048655868</v>
      </c>
      <c r="P22" s="62">
        <f t="shared" si="1"/>
        <v>598957.8048655868</v>
      </c>
      <c r="Q22" s="62">
        <v>7538547.4766855622</v>
      </c>
    </row>
    <row r="23" spans="1:17">
      <c r="A23" s="61">
        <v>2037</v>
      </c>
      <c r="B23" s="62">
        <f>EDO!$C$7*INDEX('Cost Improvement (other)'!$B$118:$AL$124,MATCH("coal",'Cost Improvement (other)'!$A$118:$A$124,0),MATCH('CCaMC-BCCpUC'!$A23,'Cost Improvement (other)'!$B$117:$AL$117,0))*1000*About!$A$60</f>
        <v>1055784.0033290919</v>
      </c>
      <c r="C23" s="62">
        <f>EDO!$C$6*INDEX('Cost Improvement (other)'!$B$118:$AL$124,MATCH("natural gas nonpeaker",'Cost Improvement (other)'!$A$118:$A$124,0),MATCH('CCaMC-BCCpUC'!$A23,'Cost Improvement (other)'!$B$117:$AL$117,0))*1000*About!$A$60</f>
        <v>314840.60588386923</v>
      </c>
      <c r="D23" s="62">
        <f>EDO!$C$9*INDEX('Cost Improvement (other)'!$B$118:$AL$124,MATCH("nuclear",'Cost Improvement (other)'!$A$118:$A$124,0),MATCH('CCaMC-BCCpUC'!$A23,'Cost Improvement (other)'!$B$117:$AL$117,0))*1000*About!$A$58</f>
        <v>1843066.9353967307</v>
      </c>
      <c r="E23" s="62">
        <f>'Hydro and Geothermal'!$B$2*INDEX('Cost Improvement (other)'!$B$118:$AL$124,MATCH("hydro",'Cost Improvement (other)'!$A$118:$A$124,0),MATCH('CCaMC-BCCpUC'!$A23,'Cost Improvement (other)'!$B$117:$AL$117,0))*1000*About!$A$58</f>
        <v>1437519.6409589597</v>
      </c>
      <c r="F23" s="62">
        <f>EDO!$C$3*INDEX('Cost Improvement (wind&amp;solar)'!$I$2:$L$42,MATCH('CCaMC-BCCpUC'!$A23,'Cost Improvement (wind&amp;solar)'!$H$2:$H$42,0),MATCH("onshore wind",'Cost Improvement (wind&amp;solar)'!$I$1:$L$1,0))*1000*About!$A$60</f>
        <v>1190904.0692500004</v>
      </c>
      <c r="G23" s="62">
        <f>EDO!$C$5*INDEX('Cost Improvement (wind&amp;solar)'!$I$2:$L$42,MATCH('CCaMC-BCCpUC'!$A23,'Cost Improvement (wind&amp;solar)'!$H$2:$H$42,0),MATCH("solar pv",'Cost Improvement (wind&amp;solar)'!$I$1:$L$1,0))*1000*About!$A$60</f>
        <v>818279.79126315832</v>
      </c>
      <c r="H23" s="62">
        <f>'Solar thermal'!$B$3*INDEX('Cost Improvement (wind&amp;solar)'!$I$2:$L$42,MATCH('CCaMC-BCCpUC'!$A23,'Cost Improvement (wind&amp;solar)'!$H$2:$H$42,0),MATCH("solar thermal",'Cost Improvement (wind&amp;solar)'!$I$1:$L$1,0))*10^6</f>
        <v>2549415.2173913056</v>
      </c>
      <c r="I23" s="62">
        <f>EDO!$C$8*INDEX('Cost Improvement (other)'!$B$118:$AL$124,MATCH("biomass",'Cost Improvement (other)'!$A$118:$A$124,0),MATCH('CCaMC-BCCpUC'!$A23,'Cost Improvement (other)'!$B$117:$AL$117,0))*1000*About!$A$60</f>
        <v>1534646.7560626974</v>
      </c>
      <c r="J23" s="62">
        <f>'Hydro and Geothermal'!$B$3*INDEX('Cost Improvement (other)'!$B$118:$AL$124,MATCH("geothermal",'Cost Improvement (other)'!$A$118:$A$124,0),MATCH('CCaMC-BCCpUC'!$A23,'Cost Improvement (other)'!$B$117:$AL$117,0))*1000*About!$A$58</f>
        <v>3255540.4195402442</v>
      </c>
      <c r="K23" s="67">
        <v>596955.4197425656</v>
      </c>
      <c r="L23" s="67">
        <f>EDO!$C$6*('EIA Costs'!$D$5/'EIA Costs'!$D$3)*INDEX('Cost Improvement (other)'!$B$118:$AL$124,MATCH("natural gas peaker",'Cost Improvement (other)'!$A$118:$A$124,0),MATCH('CCaMC-BCCpUC'!$A23,'Cost Improvement (other)'!$B$117:$AL$117,0))*1000*About!$A$60</f>
        <v>205751.3789273921</v>
      </c>
      <c r="M23" s="67">
        <f t="shared" si="2"/>
        <v>1055784.0033290919</v>
      </c>
      <c r="N23" s="62">
        <f>EDO!$C$4*INDEX('Cost Improvement (wind&amp;solar)'!$I$2:$L$42,MATCH('CCaMC-BCCpUC'!$A23,'Cost Improvement (wind&amp;solar)'!$H$2:$H$42,0),MATCH("offshore wind",'Cost Improvement (wind&amp;solar)'!$I$1:$L$1,0))*1000*About!$A$60</f>
        <v>1590838.100841667</v>
      </c>
      <c r="O23" s="62">
        <f t="shared" si="0"/>
        <v>596955.4197425656</v>
      </c>
      <c r="P23" s="62">
        <f t="shared" si="1"/>
        <v>596955.4197425656</v>
      </c>
      <c r="Q23" s="62">
        <v>7514086.0827102391</v>
      </c>
    </row>
    <row r="24" spans="1:17">
      <c r="A24" s="61">
        <v>2038</v>
      </c>
      <c r="B24" s="62">
        <f>EDO!$C$7*INDEX('Cost Improvement (other)'!$B$118:$AL$124,MATCH("coal",'Cost Improvement (other)'!$A$118:$A$124,0),MATCH('CCaMC-BCCpUC'!$A24,'Cost Improvement (other)'!$B$117:$AL$117,0))*1000*About!$A$60</f>
        <v>1049611.4969497095</v>
      </c>
      <c r="C24" s="62">
        <f>EDO!$C$6*INDEX('Cost Improvement (other)'!$B$118:$AL$124,MATCH("natural gas nonpeaker",'Cost Improvement (other)'!$A$118:$A$124,0),MATCH('CCaMC-BCCpUC'!$A24,'Cost Improvement (other)'!$B$117:$AL$117,0))*1000*About!$A$60</f>
        <v>313598.59957873268</v>
      </c>
      <c r="D24" s="62">
        <f>EDO!$C$9*INDEX('Cost Improvement (other)'!$B$118:$AL$124,MATCH("nuclear",'Cost Improvement (other)'!$A$118:$A$124,0),MATCH('CCaMC-BCCpUC'!$A24,'Cost Improvement (other)'!$B$117:$AL$117,0))*1000*About!$A$58</f>
        <v>1832433.2625365483</v>
      </c>
      <c r="E24" s="62">
        <f>'Hydro and Geothermal'!$B$2*INDEX('Cost Improvement (other)'!$B$118:$AL$124,MATCH("hydro",'Cost Improvement (other)'!$A$118:$A$124,0),MATCH('CCaMC-BCCpUC'!$A24,'Cost Improvement (other)'!$B$117:$AL$117,0))*1000*About!$A$58</f>
        <v>1434727.2477462129</v>
      </c>
      <c r="F24" s="62">
        <f>EDO!$C$3*INDEX('Cost Improvement (wind&amp;solar)'!$I$2:$L$42,MATCH('CCaMC-BCCpUC'!$A24,'Cost Improvement (wind&amp;solar)'!$H$2:$H$42,0),MATCH("onshore wind",'Cost Improvement (wind&amp;solar)'!$I$1:$L$1,0))*1000*About!$A$60</f>
        <v>1185312.9703333336</v>
      </c>
      <c r="G24" s="62">
        <f>EDO!$C$5*INDEX('Cost Improvement (wind&amp;solar)'!$I$2:$L$42,MATCH('CCaMC-BCCpUC'!$A24,'Cost Improvement (wind&amp;solar)'!$H$2:$H$42,0),MATCH("solar pv",'Cost Improvement (wind&amp;solar)'!$I$1:$L$1,0))*1000*About!$A$60</f>
        <v>816619.9945263163</v>
      </c>
      <c r="H24" s="62">
        <f>'Solar thermal'!$B$3*INDEX('Cost Improvement (wind&amp;solar)'!$I$2:$L$42,MATCH('CCaMC-BCCpUC'!$A24,'Cost Improvement (wind&amp;solar)'!$H$2:$H$42,0),MATCH("solar thermal",'Cost Improvement (wind&amp;solar)'!$I$1:$L$1,0))*10^6</f>
        <v>2534486.9565217402</v>
      </c>
      <c r="I24" s="62">
        <f>EDO!$C$8*INDEX('Cost Improvement (other)'!$B$118:$AL$124,MATCH("biomass",'Cost Improvement (other)'!$A$118:$A$124,0),MATCH('CCaMC-BCCpUC'!$A24,'Cost Improvement (other)'!$B$117:$AL$117,0))*1000*About!$A$60</f>
        <v>1530109.538005745</v>
      </c>
      <c r="J24" s="62">
        <f>'Hydro and Geothermal'!$B$3*INDEX('Cost Improvement (other)'!$B$118:$AL$124,MATCH("geothermal",'Cost Improvement (other)'!$A$118:$A$124,0),MATCH('CCaMC-BCCpUC'!$A24,'Cost Improvement (other)'!$B$117:$AL$117,0))*1000*About!$A$58</f>
        <v>3249907.9966690666</v>
      </c>
      <c r="K24" s="67">
        <v>594440.08024455211</v>
      </c>
      <c r="L24" s="67">
        <f>EDO!$C$6*('EIA Costs'!$D$5/'EIA Costs'!$D$3)*INDEX('Cost Improvement (other)'!$B$118:$AL$124,MATCH("natural gas peaker",'Cost Improvement (other)'!$A$118:$A$124,0),MATCH('CCaMC-BCCpUC'!$A24,'Cost Improvement (other)'!$B$117:$AL$117,0))*1000*About!$A$60</f>
        <v>204884.422111069</v>
      </c>
      <c r="M24" s="67">
        <f t="shared" si="2"/>
        <v>1049611.4969497095</v>
      </c>
      <c r="N24" s="62">
        <f>EDO!$C$4*INDEX('Cost Improvement (wind&amp;solar)'!$I$2:$L$42,MATCH('CCaMC-BCCpUC'!$A24,'Cost Improvement (wind&amp;solar)'!$H$2:$H$42,0),MATCH("offshore wind",'Cost Improvement (wind&amp;solar)'!$I$1:$L$1,0))*1000*About!$A$60</f>
        <v>1585149.7643666675</v>
      </c>
      <c r="O24" s="62">
        <f t="shared" si="0"/>
        <v>594440.08024455211</v>
      </c>
      <c r="P24" s="62">
        <f t="shared" si="1"/>
        <v>594440.08024455211</v>
      </c>
      <c r="Q24" s="62">
        <v>7493538.9828844583</v>
      </c>
    </row>
    <row r="25" spans="1:17">
      <c r="A25" s="61">
        <v>2039</v>
      </c>
      <c r="B25" s="62">
        <f>EDO!$C$7*INDEX('Cost Improvement (other)'!$B$118:$AL$124,MATCH("coal",'Cost Improvement (other)'!$A$118:$A$124,0),MATCH('CCaMC-BCCpUC'!$A25,'Cost Improvement (other)'!$B$117:$AL$117,0))*1000*About!$A$60</f>
        <v>1042723.8261059952</v>
      </c>
      <c r="C25" s="62">
        <f>EDO!$C$6*INDEX('Cost Improvement (other)'!$B$118:$AL$124,MATCH("natural gas nonpeaker",'Cost Improvement (other)'!$A$118:$A$124,0),MATCH('CCaMC-BCCpUC'!$A25,'Cost Improvement (other)'!$B$117:$AL$117,0))*1000*About!$A$60</f>
        <v>312579.50125935423</v>
      </c>
      <c r="D25" s="62">
        <f>EDO!$C$9*INDEX('Cost Improvement (other)'!$B$118:$AL$124,MATCH("nuclear",'Cost Improvement (other)'!$A$118:$A$124,0),MATCH('CCaMC-BCCpUC'!$A25,'Cost Improvement (other)'!$B$117:$AL$117,0))*1000*About!$A$58</f>
        <v>1821800.7433934652</v>
      </c>
      <c r="E25" s="62">
        <f>'Hydro and Geothermal'!$B$2*INDEX('Cost Improvement (other)'!$B$118:$AL$124,MATCH("hydro",'Cost Improvement (other)'!$A$118:$A$124,0),MATCH('CCaMC-BCCpUC'!$A25,'Cost Improvement (other)'!$B$117:$AL$117,0))*1000*About!$A$58</f>
        <v>1431938.634806548</v>
      </c>
      <c r="F25" s="62">
        <f>EDO!$C$3*INDEX('Cost Improvement (wind&amp;solar)'!$I$2:$L$42,MATCH('CCaMC-BCCpUC'!$A25,'Cost Improvement (wind&amp;solar)'!$H$2:$H$42,0),MATCH("onshore wind",'Cost Improvement (wind&amp;solar)'!$I$1:$L$1,0))*1000*About!$A$60</f>
        <v>1179721.871416667</v>
      </c>
      <c r="G25" s="62">
        <f>EDO!$C$5*INDEX('Cost Improvement (wind&amp;solar)'!$I$2:$L$42,MATCH('CCaMC-BCCpUC'!$A25,'Cost Improvement (wind&amp;solar)'!$H$2:$H$42,0),MATCH("solar pv",'Cost Improvement (wind&amp;solar)'!$I$1:$L$1,0))*1000*About!$A$60</f>
        <v>814960.19778947427</v>
      </c>
      <c r="H25" s="62">
        <f>'Solar thermal'!$B$3*INDEX('Cost Improvement (wind&amp;solar)'!$I$2:$L$42,MATCH('CCaMC-BCCpUC'!$A25,'Cost Improvement (wind&amp;solar)'!$H$2:$H$42,0),MATCH("solar thermal",'Cost Improvement (wind&amp;solar)'!$I$1:$L$1,0))*10^6</f>
        <v>2519558.6956521752</v>
      </c>
      <c r="I25" s="62">
        <f>EDO!$C$8*INDEX('Cost Improvement (other)'!$B$118:$AL$124,MATCH("biomass",'Cost Improvement (other)'!$A$118:$A$124,0),MATCH('CCaMC-BCCpUC'!$A25,'Cost Improvement (other)'!$B$117:$AL$117,0))*1000*About!$A$60</f>
        <v>1525573.1593916046</v>
      </c>
      <c r="J25" s="62">
        <f>'Hydro and Geothermal'!$B$3*INDEX('Cost Improvement (other)'!$B$118:$AL$124,MATCH("geothermal",'Cost Improvement (other)'!$A$118:$A$124,0),MATCH('CCaMC-BCCpUC'!$A25,'Cost Improvement (other)'!$B$117:$AL$117,0))*1000*About!$A$58</f>
        <v>3244275.5737978905</v>
      </c>
      <c r="K25" s="67">
        <v>592434.16432381817</v>
      </c>
      <c r="L25" s="67">
        <f>EDO!$C$6*('EIA Costs'!$D$5/'EIA Costs'!$D$3)*INDEX('Cost Improvement (other)'!$B$118:$AL$124,MATCH("natural gas peaker",'Cost Improvement (other)'!$A$118:$A$124,0),MATCH('CCaMC-BCCpUC'!$A25,'Cost Improvement (other)'!$B$117:$AL$117,0))*1000*About!$A$60</f>
        <v>204193.0472561738</v>
      </c>
      <c r="M25" s="67">
        <f t="shared" si="2"/>
        <v>1042723.8261059952</v>
      </c>
      <c r="N25" s="62">
        <f>EDO!$C$4*INDEX('Cost Improvement (wind&amp;solar)'!$I$2:$L$42,MATCH('CCaMC-BCCpUC'!$A25,'Cost Improvement (wind&amp;solar)'!$H$2:$H$42,0),MATCH("offshore wind",'Cost Improvement (wind&amp;solar)'!$I$1:$L$1,0))*1000*About!$A$60</f>
        <v>1579461.4278916675</v>
      </c>
      <c r="O25" s="62">
        <f t="shared" si="0"/>
        <v>592434.16432381817</v>
      </c>
      <c r="P25" s="62">
        <f t="shared" si="1"/>
        <v>592434.16432381817</v>
      </c>
      <c r="Q25" s="62">
        <v>7469211.21148971</v>
      </c>
    </row>
    <row r="26" spans="1:17">
      <c r="A26" s="61">
        <v>2040</v>
      </c>
      <c r="B26" s="62">
        <f>EDO!$C$7*INDEX('Cost Improvement (other)'!$B$118:$AL$124,MATCH("coal",'Cost Improvement (other)'!$A$118:$A$124,0),MATCH('CCaMC-BCCpUC'!$A26,'Cost Improvement (other)'!$B$117:$AL$117,0))*1000*About!$A$60</f>
        <v>1036220.1786970552</v>
      </c>
      <c r="C26" s="62">
        <f>EDO!$C$6*INDEX('Cost Improvement (other)'!$B$118:$AL$124,MATCH("natural gas nonpeaker",'Cost Improvement (other)'!$A$118:$A$124,0),MATCH('CCaMC-BCCpUC'!$A26,'Cost Improvement (other)'!$B$117:$AL$117,0))*1000*About!$A$60</f>
        <v>311412.12493650173</v>
      </c>
      <c r="D26" s="62">
        <f>EDO!$C$9*INDEX('Cost Improvement (other)'!$B$118:$AL$124,MATCH("nuclear",'Cost Improvement (other)'!$A$118:$A$124,0),MATCH('CCaMC-BCCpUC'!$A26,'Cost Improvement (other)'!$B$117:$AL$117,0))*1000*About!$A$58</f>
        <v>1811165.9959710934</v>
      </c>
      <c r="E26" s="62">
        <f>'Hydro and Geothermal'!$B$2*INDEX('Cost Improvement (other)'!$B$118:$AL$124,MATCH("hydro",'Cost Improvement (other)'!$A$118:$A$124,0),MATCH('CCaMC-BCCpUC'!$A26,'Cost Improvement (other)'!$B$117:$AL$117,0))*1000*About!$A$58</f>
        <v>1429150.0218668836</v>
      </c>
      <c r="F26" s="62">
        <f>EDO!$C$3*INDEX('Cost Improvement (wind&amp;solar)'!$I$2:$L$42,MATCH('CCaMC-BCCpUC'!$A26,'Cost Improvement (wind&amp;solar)'!$H$2:$H$42,0),MATCH("onshore wind",'Cost Improvement (wind&amp;solar)'!$I$1:$L$1,0))*1000*About!$A$60</f>
        <v>1174130.7725000004</v>
      </c>
      <c r="G26" s="62">
        <f>EDO!$C$5*INDEX('Cost Improvement (wind&amp;solar)'!$I$2:$L$42,MATCH('CCaMC-BCCpUC'!$A26,'Cost Improvement (wind&amp;solar)'!$H$2:$H$42,0),MATCH("solar pv",'Cost Improvement (wind&amp;solar)'!$I$1:$L$1,0))*1000*About!$A$60</f>
        <v>813300.40105263225</v>
      </c>
      <c r="H26" s="62">
        <f>'Solar thermal'!$B$3*INDEX('Cost Improvement (wind&amp;solar)'!$I$2:$L$42,MATCH('CCaMC-BCCpUC'!$A26,'Cost Improvement (wind&amp;solar)'!$H$2:$H$42,0),MATCH("solar thermal",'Cost Improvement (wind&amp;solar)'!$I$1:$L$1,0))*10^6</f>
        <v>2504630.4347826103</v>
      </c>
      <c r="I26" s="62">
        <f>EDO!$C$8*INDEX('Cost Improvement (other)'!$B$118:$AL$124,MATCH("biomass",'Cost Improvement (other)'!$A$118:$A$124,0),MATCH('CCaMC-BCCpUC'!$A26,'Cost Improvement (other)'!$B$117:$AL$117,0))*1000*About!$A$60</f>
        <v>1521035.1969373927</v>
      </c>
      <c r="J26" s="62">
        <f>'Hydro and Geothermal'!$B$3*INDEX('Cost Improvement (other)'!$B$118:$AL$124,MATCH("geothermal",'Cost Improvement (other)'!$A$118:$A$124,0),MATCH('CCaMC-BCCpUC'!$A26,'Cost Improvement (other)'!$B$117:$AL$117,0))*1000*About!$A$58</f>
        <v>3238643.1509267143</v>
      </c>
      <c r="K26" s="67">
        <v>590089.47107294935</v>
      </c>
      <c r="L26" s="67">
        <f>EDO!$C$6*('EIA Costs'!$D$5/'EIA Costs'!$D$3)*INDEX('Cost Improvement (other)'!$B$118:$AL$124,MATCH("natural gas peaker",'Cost Improvement (other)'!$A$118:$A$124,0),MATCH('CCaMC-BCCpUC'!$A26,'Cost Improvement (other)'!$B$117:$AL$117,0))*1000*About!$A$60</f>
        <v>203384.90672578703</v>
      </c>
      <c r="M26" s="67">
        <f t="shared" si="2"/>
        <v>1036220.1786970552</v>
      </c>
      <c r="N26" s="62">
        <f>EDO!$C$4*INDEX('Cost Improvement (wind&amp;solar)'!$I$2:$L$42,MATCH('CCaMC-BCCpUC'!$A26,'Cost Improvement (wind&amp;solar)'!$H$2:$H$42,0),MATCH("offshore wind",'Cost Improvement (wind&amp;solar)'!$I$1:$L$1,0))*1000*About!$A$60</f>
        <v>1573773.0914166674</v>
      </c>
      <c r="O26" s="62">
        <f t="shared" si="0"/>
        <v>590089.47107294935</v>
      </c>
      <c r="P26" s="62">
        <f t="shared" si="1"/>
        <v>590089.47107294935</v>
      </c>
      <c r="Q26" s="62">
        <v>7445775.4433545973</v>
      </c>
    </row>
    <row r="27" spans="1:17">
      <c r="A27" s="61">
        <v>2041</v>
      </c>
      <c r="B27" s="62">
        <f>EDO!$C$7*INDEX('Cost Improvement (other)'!$B$118:$AL$124,MATCH("coal",'Cost Improvement (other)'!$A$118:$A$124,0),MATCH('CCaMC-BCCpUC'!$A27,'Cost Improvement (other)'!$B$117:$AL$117,0))*1000*About!$A$60</f>
        <v>1029388.1658532553</v>
      </c>
      <c r="C27" s="62">
        <f>EDO!$C$6*INDEX('Cost Improvement (other)'!$B$118:$AL$124,MATCH("natural gas nonpeaker",'Cost Improvement (other)'!$A$118:$A$124,0),MATCH('CCaMC-BCCpUC'!$A27,'Cost Improvement (other)'!$B$117:$AL$117,0))*1000*About!$A$60</f>
        <v>310263.70969552873</v>
      </c>
      <c r="D27" s="62">
        <f>EDO!$C$9*INDEX('Cost Improvement (other)'!$B$118:$AL$124,MATCH("nuclear",'Cost Improvement (other)'!$A$118:$A$124,0),MATCH('CCaMC-BCCpUC'!$A27,'Cost Improvement (other)'!$B$117:$AL$117,0))*1000*About!$A$58</f>
        <v>1800532.5140975162</v>
      </c>
      <c r="E27" s="62">
        <f>'Hydro and Geothermal'!$B$2*INDEX('Cost Improvement (other)'!$B$118:$AL$124,MATCH("hydro",'Cost Improvement (other)'!$A$118:$A$124,0),MATCH('CCaMC-BCCpUC'!$A27,'Cost Improvement (other)'!$B$117:$AL$117,0))*1000*About!$A$58</f>
        <v>1426365.1678686508</v>
      </c>
      <c r="F27" s="62">
        <f>EDO!$C$3*INDEX('Cost Improvement (wind&amp;solar)'!$I$2:$L$42,MATCH('CCaMC-BCCpUC'!$A27,'Cost Improvement (wind&amp;solar)'!$H$2:$H$42,0),MATCH("onshore wind",'Cost Improvement (wind&amp;solar)'!$I$1:$L$1,0))*1000*About!$A$60</f>
        <v>1168539.6735833336</v>
      </c>
      <c r="G27" s="62">
        <f>EDO!$C$5*INDEX('Cost Improvement (wind&amp;solar)'!$I$2:$L$42,MATCH('CCaMC-BCCpUC'!$A27,'Cost Improvement (wind&amp;solar)'!$H$2:$H$42,0),MATCH("solar pv",'Cost Improvement (wind&amp;solar)'!$I$1:$L$1,0))*1000*About!$A$60</f>
        <v>811640.60431579023</v>
      </c>
      <c r="H27" s="62">
        <f>'Solar thermal'!$B$3*INDEX('Cost Improvement (wind&amp;solar)'!$I$2:$L$42,MATCH('CCaMC-BCCpUC'!$A27,'Cost Improvement (wind&amp;solar)'!$H$2:$H$42,0),MATCH("solar thermal",'Cost Improvement (wind&amp;solar)'!$I$1:$L$1,0))*10^6</f>
        <v>2489702.1739130453</v>
      </c>
      <c r="I27" s="62">
        <f>EDO!$C$8*INDEX('Cost Improvement (other)'!$B$118:$AL$124,MATCH("biomass",'Cost Improvement (other)'!$A$118:$A$124,0),MATCH('CCaMC-BCCpUC'!$A27,'Cost Improvement (other)'!$B$117:$AL$117,0))*1000*About!$A$60</f>
        <v>1516498.1374993459</v>
      </c>
      <c r="J27" s="62">
        <f>'Hydro and Geothermal'!$B$3*INDEX('Cost Improvement (other)'!$B$118:$AL$124,MATCH("geothermal",'Cost Improvement (other)'!$A$118:$A$124,0),MATCH('CCaMC-BCCpUC'!$A27,'Cost Improvement (other)'!$B$117:$AL$117,0))*1000*About!$A$58</f>
        <v>3233010.7280555367</v>
      </c>
      <c r="K27" s="67">
        <v>587788.019180667</v>
      </c>
      <c r="L27" s="67">
        <f>EDO!$C$6*('EIA Costs'!$D$5/'EIA Costs'!$D$3)*INDEX('Cost Improvement (other)'!$B$118:$AL$124,MATCH("natural gas peaker",'Cost Improvement (other)'!$A$118:$A$124,0),MATCH('CCaMC-BCCpUC'!$A27,'Cost Improvement (other)'!$B$117:$AL$117,0))*1000*About!$A$60</f>
        <v>202591.67010423765</v>
      </c>
      <c r="M27" s="67">
        <f t="shared" si="2"/>
        <v>1029388.1658532553</v>
      </c>
      <c r="N27" s="62">
        <f>EDO!$C$4*INDEX('Cost Improvement (wind&amp;solar)'!$I$2:$L$42,MATCH('CCaMC-BCCpUC'!$A27,'Cost Improvement (wind&amp;solar)'!$H$2:$H$42,0),MATCH("offshore wind",'Cost Improvement (wind&amp;solar)'!$I$1:$L$1,0))*1000*About!$A$60</f>
        <v>1568084.7549416679</v>
      </c>
      <c r="O27" s="62">
        <f t="shared" si="0"/>
        <v>587788.019180667</v>
      </c>
      <c r="P27" s="62">
        <f t="shared" si="1"/>
        <v>587788.019180667</v>
      </c>
      <c r="Q27" s="62">
        <v>7429595.5857021902</v>
      </c>
    </row>
    <row r="28" spans="1:17">
      <c r="A28" s="61">
        <v>2042</v>
      </c>
      <c r="B28" s="62">
        <f>EDO!$C$7*INDEX('Cost Improvement (other)'!$B$118:$AL$124,MATCH("coal",'Cost Improvement (other)'!$A$118:$A$124,0),MATCH('CCaMC-BCCpUC'!$A28,'Cost Improvement (other)'!$B$117:$AL$117,0))*1000*About!$A$60</f>
        <v>1022556.1530094552</v>
      </c>
      <c r="C28" s="62">
        <f>EDO!$C$6*INDEX('Cost Improvement (other)'!$B$118:$AL$124,MATCH("natural gas nonpeaker",'Cost Improvement (other)'!$A$118:$A$124,0),MATCH('CCaMC-BCCpUC'!$A28,'Cost Improvement (other)'!$B$117:$AL$117,0))*1000*About!$A$60</f>
        <v>309115.29445455573</v>
      </c>
      <c r="D28" s="62">
        <f>EDO!$C$9*INDEX('Cost Improvement (other)'!$B$118:$AL$124,MATCH("nuclear",'Cost Improvement (other)'!$A$118:$A$124,0),MATCH('CCaMC-BCCpUC'!$A28,'Cost Improvement (other)'!$B$117:$AL$117,0))*1000*About!$A$58</f>
        <v>1789899.0322239387</v>
      </c>
      <c r="E28" s="62">
        <f>'Hydro and Geothermal'!$B$2*INDEX('Cost Improvement (other)'!$B$118:$AL$124,MATCH("hydro",'Cost Improvement (other)'!$A$118:$A$124,0),MATCH('CCaMC-BCCpUC'!$A28,'Cost Improvement (other)'!$B$117:$AL$117,0))*1000*About!$A$58</f>
        <v>1423580.3138704181</v>
      </c>
      <c r="F28" s="62">
        <f>EDO!$C$3*INDEX('Cost Improvement (wind&amp;solar)'!$I$2:$L$42,MATCH('CCaMC-BCCpUC'!$A28,'Cost Improvement (wind&amp;solar)'!$H$2:$H$42,0),MATCH("onshore wind",'Cost Improvement (wind&amp;solar)'!$I$1:$L$1,0))*1000*About!$A$60</f>
        <v>1162948.574666667</v>
      </c>
      <c r="G28" s="62">
        <f>EDO!$C$5*INDEX('Cost Improvement (wind&amp;solar)'!$I$2:$L$42,MATCH('CCaMC-BCCpUC'!$A28,'Cost Improvement (wind&amp;solar)'!$H$2:$H$42,0),MATCH("solar pv",'Cost Improvement (wind&amp;solar)'!$I$1:$L$1,0))*1000*About!$A$60</f>
        <v>809980.80757894809</v>
      </c>
      <c r="H28" s="62">
        <f>'Solar thermal'!$B$3*INDEX('Cost Improvement (wind&amp;solar)'!$I$2:$L$42,MATCH('CCaMC-BCCpUC'!$A28,'Cost Improvement (wind&amp;solar)'!$H$2:$H$42,0),MATCH("solar thermal",'Cost Improvement (wind&amp;solar)'!$I$1:$L$1,0))*10^6</f>
        <v>2474773.9130434804</v>
      </c>
      <c r="I28" s="62">
        <f>EDO!$C$8*INDEX('Cost Improvement (other)'!$B$118:$AL$124,MATCH("biomass",'Cost Improvement (other)'!$A$118:$A$124,0),MATCH('CCaMC-BCCpUC'!$A28,'Cost Improvement (other)'!$B$117:$AL$117,0))*1000*About!$A$60</f>
        <v>1511961.0780612992</v>
      </c>
      <c r="J28" s="62">
        <f>'Hydro and Geothermal'!$B$3*INDEX('Cost Improvement (other)'!$B$118:$AL$124,MATCH("geothermal",'Cost Improvement (other)'!$A$118:$A$124,0),MATCH('CCaMC-BCCpUC'!$A28,'Cost Improvement (other)'!$B$117:$AL$117,0))*1000*About!$A$58</f>
        <v>3227378.3051843597</v>
      </c>
      <c r="K28" s="67">
        <v>585486.56728838454</v>
      </c>
      <c r="L28" s="67">
        <f>EDO!$C$6*('EIA Costs'!$D$5/'EIA Costs'!$D$3)*INDEX('Cost Improvement (other)'!$B$118:$AL$124,MATCH("natural gas peaker",'Cost Improvement (other)'!$A$118:$A$124,0),MATCH('CCaMC-BCCpUC'!$A28,'Cost Improvement (other)'!$B$117:$AL$117,0))*1000*About!$A$60</f>
        <v>201798.43348268833</v>
      </c>
      <c r="M28" s="67">
        <f t="shared" si="2"/>
        <v>1022556.1530094552</v>
      </c>
      <c r="N28" s="62">
        <f>EDO!$C$4*INDEX('Cost Improvement (wind&amp;solar)'!$I$2:$L$42,MATCH('CCaMC-BCCpUC'!$A28,'Cost Improvement (wind&amp;solar)'!$H$2:$H$42,0),MATCH("offshore wind",'Cost Improvement (wind&amp;solar)'!$I$1:$L$1,0))*1000*About!$A$60</f>
        <v>1562396.4184666676</v>
      </c>
      <c r="O28" s="62">
        <f t="shared" si="0"/>
        <v>585486.56728838454</v>
      </c>
      <c r="P28" s="62">
        <f t="shared" si="1"/>
        <v>585486.56728838454</v>
      </c>
      <c r="Q28" s="62">
        <v>7397570.8487657513</v>
      </c>
    </row>
    <row r="29" spans="1:17">
      <c r="A29" s="61">
        <v>2043</v>
      </c>
      <c r="B29" s="62">
        <f>EDO!$C$7*INDEX('Cost Improvement (other)'!$B$118:$AL$124,MATCH("coal",'Cost Improvement (other)'!$A$118:$A$124,0),MATCH('CCaMC-BCCpUC'!$A29,'Cost Improvement (other)'!$B$117:$AL$117,0))*1000*About!$A$60</f>
        <v>1015724.1401656551</v>
      </c>
      <c r="C29" s="62">
        <f>EDO!$C$6*INDEX('Cost Improvement (other)'!$B$118:$AL$124,MATCH("natural gas nonpeaker",'Cost Improvement (other)'!$A$118:$A$124,0),MATCH('CCaMC-BCCpUC'!$A29,'Cost Improvement (other)'!$B$117:$AL$117,0))*1000*About!$A$60</f>
        <v>307966.87921358267</v>
      </c>
      <c r="D29" s="62">
        <f>EDO!$C$9*INDEX('Cost Improvement (other)'!$B$118:$AL$124,MATCH("nuclear",'Cost Improvement (other)'!$A$118:$A$124,0),MATCH('CCaMC-BCCpUC'!$A29,'Cost Improvement (other)'!$B$117:$AL$117,0))*1000*About!$A$58</f>
        <v>1779265.5503503615</v>
      </c>
      <c r="E29" s="62">
        <f>'Hydro and Geothermal'!$B$2*INDEX('Cost Improvement (other)'!$B$118:$AL$124,MATCH("hydro",'Cost Improvement (other)'!$A$118:$A$124,0),MATCH('CCaMC-BCCpUC'!$A29,'Cost Improvement (other)'!$B$117:$AL$117,0))*1000*About!$A$58</f>
        <v>1420799.2005293465</v>
      </c>
      <c r="F29" s="62">
        <f>EDO!$C$3*INDEX('Cost Improvement (wind&amp;solar)'!$I$2:$L$42,MATCH('CCaMC-BCCpUC'!$A29,'Cost Improvement (wind&amp;solar)'!$H$2:$H$42,0),MATCH("onshore wind",'Cost Improvement (wind&amp;solar)'!$I$1:$L$1,0))*1000*About!$A$60</f>
        <v>1157357.4757500004</v>
      </c>
      <c r="G29" s="62">
        <f>EDO!$C$5*INDEX('Cost Improvement (wind&amp;solar)'!$I$2:$L$42,MATCH('CCaMC-BCCpUC'!$A29,'Cost Improvement (wind&amp;solar)'!$H$2:$H$42,0),MATCH("solar pv",'Cost Improvement (wind&amp;solar)'!$I$1:$L$1,0))*1000*About!$A$60</f>
        <v>808321.01084210607</v>
      </c>
      <c r="H29" s="62">
        <f>'Solar thermal'!$B$3*INDEX('Cost Improvement (wind&amp;solar)'!$I$2:$L$42,MATCH('CCaMC-BCCpUC'!$A29,'Cost Improvement (wind&amp;solar)'!$H$2:$H$42,0),MATCH("solar thermal",'Cost Improvement (wind&amp;solar)'!$I$1:$L$1,0))*10^6</f>
        <v>2459845.6521739154</v>
      </c>
      <c r="I29" s="62">
        <f>EDO!$C$8*INDEX('Cost Improvement (other)'!$B$118:$AL$124,MATCH("biomass",'Cost Improvement (other)'!$A$118:$A$124,0),MATCH('CCaMC-BCCpUC'!$A29,'Cost Improvement (other)'!$B$117:$AL$117,0))*1000*About!$A$60</f>
        <v>1507424.0186232526</v>
      </c>
      <c r="J29" s="62">
        <f>'Hydro and Geothermal'!$B$3*INDEX('Cost Improvement (other)'!$B$118:$AL$124,MATCH("geothermal",'Cost Improvement (other)'!$A$118:$A$124,0),MATCH('CCaMC-BCCpUC'!$A29,'Cost Improvement (other)'!$B$117:$AL$117,0))*1000*About!$A$58</f>
        <v>3221745.8823131835</v>
      </c>
      <c r="K29" s="67">
        <v>583185.11539610196</v>
      </c>
      <c r="L29" s="67">
        <f>EDO!$C$6*('EIA Costs'!$D$5/'EIA Costs'!$D$3)*INDEX('Cost Improvement (other)'!$B$118:$AL$124,MATCH("natural gas peaker",'Cost Improvement (other)'!$A$118:$A$124,0),MATCH('CCaMC-BCCpUC'!$A29,'Cost Improvement (other)'!$B$117:$AL$117,0))*1000*About!$A$60</f>
        <v>201005.19686113895</v>
      </c>
      <c r="M29" s="67">
        <f t="shared" si="2"/>
        <v>1015724.1401656551</v>
      </c>
      <c r="N29" s="62">
        <f>EDO!$C$4*INDEX('Cost Improvement (wind&amp;solar)'!$I$2:$L$42,MATCH('CCaMC-BCCpUC'!$A29,'Cost Improvement (wind&amp;solar)'!$H$2:$H$42,0),MATCH("offshore wind",'Cost Improvement (wind&amp;solar)'!$I$1:$L$1,0))*1000*About!$A$60</f>
        <v>1556708.0819916679</v>
      </c>
      <c r="O29" s="62">
        <f t="shared" si="0"/>
        <v>583185.11539610196</v>
      </c>
      <c r="P29" s="62">
        <f t="shared" si="1"/>
        <v>583185.11539610196</v>
      </c>
      <c r="Q29" s="62">
        <v>7385036.9682956832</v>
      </c>
    </row>
    <row r="30" spans="1:17">
      <c r="A30" s="61">
        <v>2044</v>
      </c>
      <c r="B30" s="62">
        <f>EDO!$C$7*INDEX('Cost Improvement (other)'!$B$118:$AL$124,MATCH("coal",'Cost Improvement (other)'!$A$118:$A$124,0),MATCH('CCaMC-BCCpUC'!$A30,'Cost Improvement (other)'!$B$117:$AL$117,0))*1000*About!$A$60</f>
        <v>1008892.1273218552</v>
      </c>
      <c r="C30" s="62">
        <f>EDO!$C$6*INDEX('Cost Improvement (other)'!$B$118:$AL$124,MATCH("natural gas nonpeaker",'Cost Improvement (other)'!$A$118:$A$124,0),MATCH('CCaMC-BCCpUC'!$A30,'Cost Improvement (other)'!$B$117:$AL$117,0))*1000*About!$A$60</f>
        <v>306818.46397260961</v>
      </c>
      <c r="D30" s="62">
        <f>EDO!$C$9*INDEX('Cost Improvement (other)'!$B$118:$AL$124,MATCH("nuclear",'Cost Improvement (other)'!$A$118:$A$124,0),MATCH('CCaMC-BCCpUC'!$A30,'Cost Improvement (other)'!$B$117:$AL$117,0))*1000*About!$A$58</f>
        <v>1768632.0684767845</v>
      </c>
      <c r="E30" s="62">
        <f>'Hydro and Geothermal'!$B$2*INDEX('Cost Improvement (other)'!$B$118:$AL$124,MATCH("hydro",'Cost Improvement (other)'!$A$118:$A$124,0),MATCH('CCaMC-BCCpUC'!$A30,'Cost Improvement (other)'!$B$117:$AL$117,0))*1000*About!$A$58</f>
        <v>1418018.0871882746</v>
      </c>
      <c r="F30" s="62">
        <f>EDO!$C$3*INDEX('Cost Improvement (wind&amp;solar)'!$I$2:$L$42,MATCH('CCaMC-BCCpUC'!$A30,'Cost Improvement (wind&amp;solar)'!$H$2:$H$42,0),MATCH("onshore wind",'Cost Improvement (wind&amp;solar)'!$I$1:$L$1,0))*1000*About!$A$60</f>
        <v>1151766.3768333339</v>
      </c>
      <c r="G30" s="62">
        <f>EDO!$C$5*INDEX('Cost Improvement (wind&amp;solar)'!$I$2:$L$42,MATCH('CCaMC-BCCpUC'!$A30,'Cost Improvement (wind&amp;solar)'!$H$2:$H$42,0),MATCH("solar pv",'Cost Improvement (wind&amp;solar)'!$I$1:$L$1,0))*1000*About!$A$60</f>
        <v>806661.21410526393</v>
      </c>
      <c r="H30" s="62">
        <f>'Solar thermal'!$B$3*INDEX('Cost Improvement (wind&amp;solar)'!$I$2:$L$42,MATCH('CCaMC-BCCpUC'!$A30,'Cost Improvement (wind&amp;solar)'!$H$2:$H$42,0),MATCH("solar thermal",'Cost Improvement (wind&amp;solar)'!$I$1:$L$1,0))*10^6</f>
        <v>2444917.39130435</v>
      </c>
      <c r="I30" s="62">
        <f>EDO!$C$8*INDEX('Cost Improvement (other)'!$B$118:$AL$124,MATCH("biomass",'Cost Improvement (other)'!$A$118:$A$124,0),MATCH('CCaMC-BCCpUC'!$A30,'Cost Improvement (other)'!$B$117:$AL$117,0))*1000*About!$A$60</f>
        <v>1502886.9591852054</v>
      </c>
      <c r="J30" s="62">
        <f>'Hydro and Geothermal'!$B$3*INDEX('Cost Improvement (other)'!$B$118:$AL$124,MATCH("geothermal",'Cost Improvement (other)'!$A$118:$A$124,0),MATCH('CCaMC-BCCpUC'!$A30,'Cost Improvement (other)'!$B$117:$AL$117,0))*1000*About!$A$58</f>
        <v>3216113.4594420064</v>
      </c>
      <c r="K30" s="67">
        <v>580883.66350381961</v>
      </c>
      <c r="L30" s="67">
        <f>EDO!$C$6*('EIA Costs'!$D$5/'EIA Costs'!$D$3)*INDEX('Cost Improvement (other)'!$B$118:$AL$124,MATCH("natural gas peaker",'Cost Improvement (other)'!$A$118:$A$124,0),MATCH('CCaMC-BCCpUC'!$A30,'Cost Improvement (other)'!$B$117:$AL$117,0))*1000*About!$A$60</f>
        <v>200211.96023958956</v>
      </c>
      <c r="M30" s="67">
        <f t="shared" si="2"/>
        <v>1008892.1273218552</v>
      </c>
      <c r="N30" s="62">
        <f>EDO!$C$4*INDEX('Cost Improvement (wind&amp;solar)'!$I$2:$L$42,MATCH('CCaMC-BCCpUC'!$A30,'Cost Improvement (wind&amp;solar)'!$H$2:$H$42,0),MATCH("offshore wind",'Cost Improvement (wind&amp;solar)'!$I$1:$L$1,0))*1000*About!$A$60</f>
        <v>1551019.7455166683</v>
      </c>
      <c r="O30" s="62">
        <f t="shared" si="0"/>
        <v>580883.66350381961</v>
      </c>
      <c r="P30" s="62">
        <f t="shared" si="1"/>
        <v>580883.66350381961</v>
      </c>
      <c r="Q30" s="62">
        <v>7354522.1212749518</v>
      </c>
    </row>
    <row r="31" spans="1:17">
      <c r="A31" s="61">
        <v>2045</v>
      </c>
      <c r="B31" s="62">
        <f>EDO!$C$7*INDEX('Cost Improvement (other)'!$B$118:$AL$124,MATCH("coal",'Cost Improvement (other)'!$A$118:$A$124,0),MATCH('CCaMC-BCCpUC'!$A31,'Cost Improvement (other)'!$B$117:$AL$117,0))*1000*About!$A$60</f>
        <v>1002060.114478055</v>
      </c>
      <c r="C31" s="62">
        <f>EDO!$C$6*INDEX('Cost Improvement (other)'!$B$118:$AL$124,MATCH("natural gas nonpeaker",'Cost Improvement (other)'!$A$118:$A$124,0),MATCH('CCaMC-BCCpUC'!$A31,'Cost Improvement (other)'!$B$117:$AL$117,0))*1000*About!$A$60</f>
        <v>305670.04873163661</v>
      </c>
      <c r="D31" s="62">
        <f>EDO!$C$9*INDEX('Cost Improvement (other)'!$B$118:$AL$124,MATCH("nuclear",'Cost Improvement (other)'!$A$118:$A$124,0),MATCH('CCaMC-BCCpUC'!$A31,'Cost Improvement (other)'!$B$117:$AL$117,0))*1000*About!$A$58</f>
        <v>1757998.586603207</v>
      </c>
      <c r="E31" s="62">
        <f>'Hydro and Geothermal'!$B$2*INDEX('Cost Improvement (other)'!$B$118:$AL$124,MATCH("hydro",'Cost Improvement (other)'!$A$118:$A$124,0),MATCH('CCaMC-BCCpUC'!$A31,'Cost Improvement (other)'!$B$117:$AL$117,0))*1000*About!$A$58</f>
        <v>1415240.6962200927</v>
      </c>
      <c r="F31" s="62">
        <f>EDO!$C$3*INDEX('Cost Improvement (wind&amp;solar)'!$I$2:$L$42,MATCH('CCaMC-BCCpUC'!$A31,'Cost Improvement (wind&amp;solar)'!$H$2:$H$42,0),MATCH("onshore wind",'Cost Improvement (wind&amp;solar)'!$I$1:$L$1,0))*1000*About!$A$60</f>
        <v>1146175.2779166671</v>
      </c>
      <c r="G31" s="62">
        <f>EDO!$C$5*INDEX('Cost Improvement (wind&amp;solar)'!$I$2:$L$42,MATCH('CCaMC-BCCpUC'!$A31,'Cost Improvement (wind&amp;solar)'!$H$2:$H$42,0),MATCH("solar pv",'Cost Improvement (wind&amp;solar)'!$I$1:$L$1,0))*1000*About!$A$60</f>
        <v>805001.41736842203</v>
      </c>
      <c r="H31" s="62">
        <f>'Solar thermal'!$B$3*INDEX('Cost Improvement (wind&amp;solar)'!$I$2:$L$42,MATCH('CCaMC-BCCpUC'!$A31,'Cost Improvement (wind&amp;solar)'!$H$2:$H$42,0),MATCH("solar thermal",'Cost Improvement (wind&amp;solar)'!$I$1:$L$1,0))*10^6</f>
        <v>2429989.130434785</v>
      </c>
      <c r="I31" s="62">
        <f>EDO!$C$8*INDEX('Cost Improvement (other)'!$B$118:$AL$124,MATCH("biomass",'Cost Improvement (other)'!$A$118:$A$124,0),MATCH('CCaMC-BCCpUC'!$A31,'Cost Improvement (other)'!$B$117:$AL$117,0))*1000*About!$A$60</f>
        <v>1498349.8997471589</v>
      </c>
      <c r="J31" s="62">
        <f>'Hydro and Geothermal'!$B$3*INDEX('Cost Improvement (other)'!$B$118:$AL$124,MATCH("geothermal",'Cost Improvement (other)'!$A$118:$A$124,0),MATCH('CCaMC-BCCpUC'!$A31,'Cost Improvement (other)'!$B$117:$AL$117,0))*1000*About!$A$58</f>
        <v>3210481.0365708293</v>
      </c>
      <c r="K31" s="67">
        <v>578582.21161153703</v>
      </c>
      <c r="L31" s="67">
        <f>EDO!$C$6*('EIA Costs'!$D$5/'EIA Costs'!$D$3)*INDEX('Cost Improvement (other)'!$B$118:$AL$124,MATCH("natural gas peaker",'Cost Improvement (other)'!$A$118:$A$124,0),MATCH('CCaMC-BCCpUC'!$A31,'Cost Improvement (other)'!$B$117:$AL$117,0))*1000*About!$A$60</f>
        <v>199418.72361804024</v>
      </c>
      <c r="M31" s="67">
        <f t="shared" si="2"/>
        <v>1002060.114478055</v>
      </c>
      <c r="N31" s="62">
        <f>EDO!$C$4*INDEX('Cost Improvement (wind&amp;solar)'!$I$2:$L$42,MATCH('CCaMC-BCCpUC'!$A31,'Cost Improvement (wind&amp;solar)'!$H$2:$H$42,0),MATCH("offshore wind",'Cost Improvement (wind&amp;solar)'!$I$1:$L$1,0))*1000*About!$A$60</f>
        <v>1545331.4090416681</v>
      </c>
      <c r="O31" s="62">
        <f t="shared" si="0"/>
        <v>578582.21161153703</v>
      </c>
      <c r="P31" s="62">
        <f t="shared" si="1"/>
        <v>578582.21161153703</v>
      </c>
      <c r="Q31" s="62">
        <v>7340437.2226737272</v>
      </c>
    </row>
    <row r="32" spans="1:17">
      <c r="A32" s="61">
        <v>2046</v>
      </c>
      <c r="B32" s="62">
        <f>EDO!$C$7*INDEX('Cost Improvement (other)'!$B$118:$AL$124,MATCH("coal",'Cost Improvement (other)'!$A$118:$A$124,0),MATCH('CCaMC-BCCpUC'!$A32,'Cost Improvement (other)'!$B$117:$AL$117,0))*1000*About!$A$60</f>
        <v>995228.10163425491</v>
      </c>
      <c r="C32" s="62">
        <f>EDO!$C$6*INDEX('Cost Improvement (other)'!$B$118:$AL$124,MATCH("natural gas nonpeaker",'Cost Improvement (other)'!$A$118:$A$124,0),MATCH('CCaMC-BCCpUC'!$A32,'Cost Improvement (other)'!$B$117:$AL$117,0))*1000*About!$A$60</f>
        <v>304521.63349066349</v>
      </c>
      <c r="D32" s="62">
        <f>EDO!$C$9*INDEX('Cost Improvement (other)'!$B$118:$AL$124,MATCH("nuclear",'Cost Improvement (other)'!$A$118:$A$124,0),MATCH('CCaMC-BCCpUC'!$A32,'Cost Improvement (other)'!$B$117:$AL$117,0))*1000*About!$A$58</f>
        <v>1747365.1047296298</v>
      </c>
      <c r="E32" s="62">
        <f>'Hydro and Geothermal'!$B$2*INDEX('Cost Improvement (other)'!$B$118:$AL$124,MATCH("hydro",'Cost Improvement (other)'!$A$118:$A$124,0),MATCH('CCaMC-BCCpUC'!$A32,'Cost Improvement (other)'!$B$117:$AL$117,0))*1000*About!$A$58</f>
        <v>1412463.3052519108</v>
      </c>
      <c r="F32" s="62">
        <f>EDO!$C$3*INDEX('Cost Improvement (wind&amp;solar)'!$I$2:$L$42,MATCH('CCaMC-BCCpUC'!$A32,'Cost Improvement (wind&amp;solar)'!$H$2:$H$42,0),MATCH("onshore wind",'Cost Improvement (wind&amp;solar)'!$I$1:$L$1,0))*1000*About!$A$60</f>
        <v>1140584.1790000005</v>
      </c>
      <c r="G32" s="62">
        <f>EDO!$C$5*INDEX('Cost Improvement (wind&amp;solar)'!$I$2:$L$42,MATCH('CCaMC-BCCpUC'!$A32,'Cost Improvement (wind&amp;solar)'!$H$2:$H$42,0),MATCH("solar pv",'Cost Improvement (wind&amp;solar)'!$I$1:$L$1,0))*1000*About!$A$60</f>
        <v>803341.62063158001</v>
      </c>
      <c r="H32" s="62">
        <f>'Solar thermal'!$B$3*INDEX('Cost Improvement (wind&amp;solar)'!$I$2:$L$42,MATCH('CCaMC-BCCpUC'!$A32,'Cost Improvement (wind&amp;solar)'!$H$2:$H$42,0),MATCH("solar thermal",'Cost Improvement (wind&amp;solar)'!$I$1:$L$1,0))*10^6</f>
        <v>2415060.8695652196</v>
      </c>
      <c r="I32" s="62">
        <f>EDO!$C$8*INDEX('Cost Improvement (other)'!$B$118:$AL$124,MATCH("biomass",'Cost Improvement (other)'!$A$118:$A$124,0),MATCH('CCaMC-BCCpUC'!$A32,'Cost Improvement (other)'!$B$117:$AL$117,0))*1000*About!$A$60</f>
        <v>1493812.8403091116</v>
      </c>
      <c r="J32" s="62">
        <f>'Hydro and Geothermal'!$B$3*INDEX('Cost Improvement (other)'!$B$118:$AL$124,MATCH("geothermal",'Cost Improvement (other)'!$A$118:$A$124,0),MATCH('CCaMC-BCCpUC'!$A32,'Cost Improvement (other)'!$B$117:$AL$117,0))*1000*About!$A$58</f>
        <v>3204848.6136996527</v>
      </c>
      <c r="K32" s="67">
        <v>576280.75971925457</v>
      </c>
      <c r="L32" s="67">
        <f>EDO!$C$6*('EIA Costs'!$D$5/'EIA Costs'!$D$3)*INDEX('Cost Improvement (other)'!$B$118:$AL$124,MATCH("natural gas peaker",'Cost Improvement (other)'!$A$118:$A$124,0),MATCH('CCaMC-BCCpUC'!$A32,'Cost Improvement (other)'!$B$117:$AL$117,0))*1000*About!$A$60</f>
        <v>198625.48699649086</v>
      </c>
      <c r="M32" s="67">
        <f t="shared" si="2"/>
        <v>995228.10163425491</v>
      </c>
      <c r="N32" s="62">
        <f>EDO!$C$4*INDEX('Cost Improvement (wind&amp;solar)'!$I$2:$L$42,MATCH('CCaMC-BCCpUC'!$A32,'Cost Improvement (wind&amp;solar)'!$H$2:$H$42,0),MATCH("offshore wind",'Cost Improvement (wind&amp;solar)'!$I$1:$L$1,0))*1000*About!$A$60</f>
        <v>1539643.0725666683</v>
      </c>
      <c r="O32" s="62">
        <f t="shared" si="0"/>
        <v>576280.75971925457</v>
      </c>
      <c r="P32" s="62">
        <f t="shared" si="1"/>
        <v>576280.75971925457</v>
      </c>
      <c r="Q32" s="62">
        <v>7312648.7933935076</v>
      </c>
    </row>
    <row r="33" spans="1:17">
      <c r="A33" s="61">
        <v>2047</v>
      </c>
      <c r="B33" s="62">
        <f>EDO!$C$7*INDEX('Cost Improvement (other)'!$B$118:$AL$124,MATCH("coal",'Cost Improvement (other)'!$A$118:$A$124,0),MATCH('CCaMC-BCCpUC'!$A33,'Cost Improvement (other)'!$B$117:$AL$117,0))*1000*About!$A$60</f>
        <v>988396.0887904549</v>
      </c>
      <c r="C33" s="62">
        <f>EDO!$C$6*INDEX('Cost Improvement (other)'!$B$118:$AL$124,MATCH("natural gas nonpeaker",'Cost Improvement (other)'!$A$118:$A$124,0),MATCH('CCaMC-BCCpUC'!$A33,'Cost Improvement (other)'!$B$117:$AL$117,0))*1000*About!$A$60</f>
        <v>303373.21824969049</v>
      </c>
      <c r="D33" s="62">
        <f>EDO!$C$9*INDEX('Cost Improvement (other)'!$B$118:$AL$124,MATCH("nuclear",'Cost Improvement (other)'!$A$118:$A$124,0),MATCH('CCaMC-BCCpUC'!$A33,'Cost Improvement (other)'!$B$117:$AL$117,0))*1000*About!$A$58</f>
        <v>1736731.6228560526</v>
      </c>
      <c r="E33" s="62">
        <f>'Hydro and Geothermal'!$B$2*INDEX('Cost Improvement (other)'!$B$118:$AL$124,MATCH("hydro",'Cost Improvement (other)'!$A$118:$A$124,0),MATCH('CCaMC-BCCpUC'!$A33,'Cost Improvement (other)'!$B$117:$AL$117,0))*1000*About!$A$58</f>
        <v>1409689.6153249687</v>
      </c>
      <c r="F33" s="62">
        <f>EDO!$C$3*INDEX('Cost Improvement (wind&amp;solar)'!$I$2:$L$42,MATCH('CCaMC-BCCpUC'!$A33,'Cost Improvement (wind&amp;solar)'!$H$2:$H$42,0),MATCH("onshore wind",'Cost Improvement (wind&amp;solar)'!$I$1:$L$1,0))*1000*About!$A$60</f>
        <v>1134993.0800833339</v>
      </c>
      <c r="G33" s="62">
        <f>EDO!$C$5*INDEX('Cost Improvement (wind&amp;solar)'!$I$2:$L$42,MATCH('CCaMC-BCCpUC'!$A33,'Cost Improvement (wind&amp;solar)'!$H$2:$H$42,0),MATCH("solar pv",'Cost Improvement (wind&amp;solar)'!$I$1:$L$1,0))*1000*About!$A$60</f>
        <v>801681.82389473787</v>
      </c>
      <c r="H33" s="62">
        <f>'Solar thermal'!$B$3*INDEX('Cost Improvement (wind&amp;solar)'!$I$2:$L$42,MATCH('CCaMC-BCCpUC'!$A33,'Cost Improvement (wind&amp;solar)'!$H$2:$H$42,0),MATCH("solar thermal",'Cost Improvement (wind&amp;solar)'!$I$1:$L$1,0))*10^6</f>
        <v>2400132.6086956551</v>
      </c>
      <c r="I33" s="62">
        <f>EDO!$C$8*INDEX('Cost Improvement (other)'!$B$118:$AL$124,MATCH("biomass",'Cost Improvement (other)'!$A$118:$A$124,0),MATCH('CCaMC-BCCpUC'!$A33,'Cost Improvement (other)'!$B$117:$AL$117,0))*1000*About!$A$60</f>
        <v>1489275.7808710649</v>
      </c>
      <c r="J33" s="62">
        <f>'Hydro and Geothermal'!$B$3*INDEX('Cost Improvement (other)'!$B$118:$AL$124,MATCH("geothermal",'Cost Improvement (other)'!$A$118:$A$124,0),MATCH('CCaMC-BCCpUC'!$A33,'Cost Improvement (other)'!$B$117:$AL$117,0))*1000*About!$A$58</f>
        <v>3199216.1908284747</v>
      </c>
      <c r="K33" s="67">
        <v>573979.3078269721</v>
      </c>
      <c r="L33" s="67">
        <f>EDO!$C$6*('EIA Costs'!$D$5/'EIA Costs'!$D$3)*INDEX('Cost Improvement (other)'!$B$118:$AL$124,MATCH("natural gas peaker",'Cost Improvement (other)'!$A$118:$A$124,0),MATCH('CCaMC-BCCpUC'!$A33,'Cost Improvement (other)'!$B$117:$AL$117,0))*1000*About!$A$60</f>
        <v>197832.2503749415</v>
      </c>
      <c r="M33" s="67">
        <f t="shared" si="2"/>
        <v>988396.0887904549</v>
      </c>
      <c r="N33" s="62">
        <f>EDO!$C$4*INDEX('Cost Improvement (wind&amp;solar)'!$I$2:$L$42,MATCH('CCaMC-BCCpUC'!$A33,'Cost Improvement (wind&amp;solar)'!$H$2:$H$42,0),MATCH("offshore wind",'Cost Improvement (wind&amp;solar)'!$I$1:$L$1,0))*1000*About!$A$60</f>
        <v>1533954.7360916685</v>
      </c>
      <c r="O33" s="62">
        <f t="shared" si="0"/>
        <v>573979.3078269721</v>
      </c>
      <c r="P33" s="62">
        <f t="shared" si="1"/>
        <v>573979.3078269721</v>
      </c>
      <c r="Q33" s="62">
        <v>7291302.5022382103</v>
      </c>
    </row>
    <row r="34" spans="1:17">
      <c r="A34" s="61">
        <v>2048</v>
      </c>
      <c r="B34" s="62">
        <f>EDO!$C$7*INDEX('Cost Improvement (other)'!$B$118:$AL$124,MATCH("coal",'Cost Improvement (other)'!$A$118:$A$124,0),MATCH('CCaMC-BCCpUC'!$A34,'Cost Improvement (other)'!$B$117:$AL$117,0))*1000*About!$A$60</f>
        <v>981564.07594665489</v>
      </c>
      <c r="C34" s="62">
        <f>EDO!$C$6*INDEX('Cost Improvement (other)'!$B$118:$AL$124,MATCH("natural gas nonpeaker",'Cost Improvement (other)'!$A$118:$A$124,0),MATCH('CCaMC-BCCpUC'!$A34,'Cost Improvement (other)'!$B$117:$AL$117,0))*1000*About!$A$60</f>
        <v>302224.80300871743</v>
      </c>
      <c r="D34" s="62">
        <f>EDO!$C$9*INDEX('Cost Improvement (other)'!$B$118:$AL$124,MATCH("nuclear",'Cost Improvement (other)'!$A$118:$A$124,0),MATCH('CCaMC-BCCpUC'!$A34,'Cost Improvement (other)'!$B$117:$AL$117,0))*1000*About!$A$58</f>
        <v>1726098.1409824754</v>
      </c>
      <c r="E34" s="62">
        <f>'Hydro and Geothermal'!$B$2*INDEX('Cost Improvement (other)'!$B$118:$AL$124,MATCH("hydro",'Cost Improvement (other)'!$A$118:$A$124,0),MATCH('CCaMC-BCCpUC'!$A34,'Cost Improvement (other)'!$B$117:$AL$117,0))*1000*About!$A$58</f>
        <v>1406915.9253980264</v>
      </c>
      <c r="F34" s="62">
        <f>EDO!$C$3*INDEX('Cost Improvement (wind&amp;solar)'!$I$2:$L$42,MATCH('CCaMC-BCCpUC'!$A34,'Cost Improvement (wind&amp;solar)'!$H$2:$H$42,0),MATCH("onshore wind",'Cost Improvement (wind&amp;solar)'!$I$1:$L$1,0))*1000*About!$A$60</f>
        <v>1129401.9811666671</v>
      </c>
      <c r="G34" s="62">
        <f>EDO!$C$5*INDEX('Cost Improvement (wind&amp;solar)'!$I$2:$L$42,MATCH('CCaMC-BCCpUC'!$A34,'Cost Improvement (wind&amp;solar)'!$H$2:$H$42,0),MATCH("solar pv",'Cost Improvement (wind&amp;solar)'!$I$1:$L$1,0))*1000*About!$A$60</f>
        <v>800022.02715789585</v>
      </c>
      <c r="H34" s="62">
        <f>'Solar thermal'!$B$3*INDEX('Cost Improvement (wind&amp;solar)'!$I$2:$L$42,MATCH('CCaMC-BCCpUC'!$A34,'Cost Improvement (wind&amp;solar)'!$H$2:$H$42,0),MATCH("solar thermal",'Cost Improvement (wind&amp;solar)'!$I$1:$L$1,0))*10^6</f>
        <v>2385204.3478260902</v>
      </c>
      <c r="I34" s="62">
        <f>EDO!$C$8*INDEX('Cost Improvement (other)'!$B$118:$AL$124,MATCH("biomass",'Cost Improvement (other)'!$A$118:$A$124,0),MATCH('CCaMC-BCCpUC'!$A34,'Cost Improvement (other)'!$B$117:$AL$117,0))*1000*About!$A$60</f>
        <v>1484738.7214330179</v>
      </c>
      <c r="J34" s="62">
        <f>'Hydro and Geothermal'!$B$3*INDEX('Cost Improvement (other)'!$B$118:$AL$124,MATCH("geothermal",'Cost Improvement (other)'!$A$118:$A$124,0),MATCH('CCaMC-BCCpUC'!$A34,'Cost Improvement (other)'!$B$117:$AL$117,0))*1000*About!$A$58</f>
        <v>3193583.7679572986</v>
      </c>
      <c r="K34" s="67">
        <v>571677.85593468964</v>
      </c>
      <c r="L34" s="67">
        <f>EDO!$C$6*('EIA Costs'!$D$5/'EIA Costs'!$D$3)*INDEX('Cost Improvement (other)'!$B$118:$AL$124,MATCH("natural gas peaker",'Cost Improvement (other)'!$A$118:$A$124,0),MATCH('CCaMC-BCCpUC'!$A34,'Cost Improvement (other)'!$B$117:$AL$117,0))*1000*About!$A$60</f>
        <v>197039.01375339209</v>
      </c>
      <c r="M34" s="67">
        <f t="shared" si="2"/>
        <v>981564.07594665489</v>
      </c>
      <c r="N34" s="62">
        <f>EDO!$C$4*INDEX('Cost Improvement (wind&amp;solar)'!$I$2:$L$42,MATCH('CCaMC-BCCpUC'!$A34,'Cost Improvement (wind&amp;solar)'!$H$2:$H$42,0),MATCH("offshore wind",'Cost Improvement (wind&amp;solar)'!$I$1:$L$1,0))*1000*About!$A$60</f>
        <v>1528266.3996166685</v>
      </c>
      <c r="O34" s="62">
        <f t="shared" si="0"/>
        <v>571677.85593468964</v>
      </c>
      <c r="P34" s="62">
        <f t="shared" si="1"/>
        <v>571677.85593468964</v>
      </c>
      <c r="Q34" s="62">
        <v>7269844.3251363151</v>
      </c>
    </row>
    <row r="35" spans="1:17">
      <c r="A35" s="61">
        <v>2049</v>
      </c>
      <c r="B35" s="62">
        <f>EDO!$C$7*INDEX('Cost Improvement (other)'!$B$118:$AL$124,MATCH("coal",'Cost Improvement (other)'!$A$118:$A$124,0),MATCH('CCaMC-BCCpUC'!$A35,'Cost Improvement (other)'!$B$117:$AL$117,0))*1000*About!$A$60</f>
        <v>974732.06310285488</v>
      </c>
      <c r="C35" s="62">
        <f>EDO!$C$6*INDEX('Cost Improvement (other)'!$B$118:$AL$124,MATCH("natural gas nonpeaker",'Cost Improvement (other)'!$A$118:$A$124,0),MATCH('CCaMC-BCCpUC'!$A35,'Cost Improvement (other)'!$B$117:$AL$117,0))*1000*About!$A$60</f>
        <v>301076.38776774443</v>
      </c>
      <c r="D35" s="62">
        <f>EDO!$C$9*INDEX('Cost Improvement (other)'!$B$118:$AL$124,MATCH("nuclear",'Cost Improvement (other)'!$A$118:$A$124,0),MATCH('CCaMC-BCCpUC'!$A35,'Cost Improvement (other)'!$B$117:$AL$117,0))*1000*About!$A$58</f>
        <v>1715464.6591088979</v>
      </c>
      <c r="E35" s="62">
        <f>'Hydro and Geothermal'!$B$2*INDEX('Cost Improvement (other)'!$B$118:$AL$124,MATCH("hydro",'Cost Improvement (other)'!$A$118:$A$124,0),MATCH('CCaMC-BCCpUC'!$A35,'Cost Improvement (other)'!$B$117:$AL$117,0))*1000*About!$A$58</f>
        <v>1404145.9197517422</v>
      </c>
      <c r="F35" s="62">
        <f>EDO!$C$3*INDEX('Cost Improvement (wind&amp;solar)'!$I$2:$L$42,MATCH('CCaMC-BCCpUC'!$A35,'Cost Improvement (wind&amp;solar)'!$H$2:$H$42,0),MATCH("onshore wind",'Cost Improvement (wind&amp;solar)'!$I$1:$L$1,0))*1000*About!$A$60</f>
        <v>1123810.8822500007</v>
      </c>
      <c r="G35" s="62">
        <f>EDO!$C$5*INDEX('Cost Improvement (wind&amp;solar)'!$I$2:$L$42,MATCH('CCaMC-BCCpUC'!$A35,'Cost Improvement (wind&amp;solar)'!$H$2:$H$42,0),MATCH("solar pv",'Cost Improvement (wind&amp;solar)'!$I$1:$L$1,0))*1000*About!$A$60</f>
        <v>798362.23042105383</v>
      </c>
      <c r="H35" s="62">
        <f>'Solar thermal'!$B$3*INDEX('Cost Improvement (wind&amp;solar)'!$I$2:$L$42,MATCH('CCaMC-BCCpUC'!$A35,'Cost Improvement (wind&amp;solar)'!$H$2:$H$42,0),MATCH("solar thermal",'Cost Improvement (wind&amp;solar)'!$I$1:$L$1,0))*10^6</f>
        <v>2370276.0869565248</v>
      </c>
      <c r="I35" s="62">
        <f>EDO!$C$8*INDEX('Cost Improvement (other)'!$B$118:$AL$124,MATCH("biomass",'Cost Improvement (other)'!$A$118:$A$124,0),MATCH('CCaMC-BCCpUC'!$A35,'Cost Improvement (other)'!$B$117:$AL$117,0))*1000*About!$A$60</f>
        <v>1480201.6619949711</v>
      </c>
      <c r="J35" s="62">
        <f>'Hydro and Geothermal'!$B$3*INDEX('Cost Improvement (other)'!$B$118:$AL$124,MATCH("geothermal",'Cost Improvement (other)'!$A$118:$A$124,0),MATCH('CCaMC-BCCpUC'!$A35,'Cost Improvement (other)'!$B$117:$AL$117,0))*1000*About!$A$58</f>
        <v>3187951.3450861224</v>
      </c>
      <c r="K35" s="67">
        <v>569376.40404240706</v>
      </c>
      <c r="L35" s="67">
        <f>EDO!$C$6*('EIA Costs'!$D$5/'EIA Costs'!$D$3)*INDEX('Cost Improvement (other)'!$B$118:$AL$124,MATCH("natural gas peaker",'Cost Improvement (other)'!$A$118:$A$124,0),MATCH('CCaMC-BCCpUC'!$A35,'Cost Improvement (other)'!$B$117:$AL$117,0))*1000*About!$A$60</f>
        <v>196245.77713184277</v>
      </c>
      <c r="M35" s="67">
        <f t="shared" si="2"/>
        <v>974732.06310285488</v>
      </c>
      <c r="N35" s="62">
        <f>EDO!$C$4*INDEX('Cost Improvement (wind&amp;solar)'!$I$2:$L$42,MATCH('CCaMC-BCCpUC'!$A35,'Cost Improvement (wind&amp;solar)'!$H$2:$H$42,0),MATCH("offshore wind",'Cost Improvement (wind&amp;solar)'!$I$1:$L$1,0))*1000*About!$A$60</f>
        <v>1522578.0631416687</v>
      </c>
      <c r="O35" s="62">
        <f t="shared" si="0"/>
        <v>569376.40404240706</v>
      </c>
      <c r="P35" s="62">
        <f t="shared" si="1"/>
        <v>569376.40404240706</v>
      </c>
      <c r="Q35" s="62">
        <v>7247772.4406001931</v>
      </c>
    </row>
    <row r="36" spans="1:17">
      <c r="A36" s="61">
        <v>2050</v>
      </c>
      <c r="B36" s="62">
        <f>EDO!$C$7*INDEX('Cost Improvement (other)'!$B$118:$AL$124,MATCH("coal",'Cost Improvement (other)'!$A$118:$A$124,0),MATCH('CCaMC-BCCpUC'!$A36,'Cost Improvement (other)'!$B$117:$AL$117,0))*1000*About!$A$60</f>
        <v>967900.05025905464</v>
      </c>
      <c r="C36" s="62">
        <f>EDO!$C$6*INDEX('Cost Improvement (other)'!$B$118:$AL$124,MATCH("natural gas nonpeaker",'Cost Improvement (other)'!$A$118:$A$124,0),MATCH('CCaMC-BCCpUC'!$A36,'Cost Improvement (other)'!$B$117:$AL$117,0))*1000*About!$A$60</f>
        <v>299927.97252677142</v>
      </c>
      <c r="D36" s="62">
        <f>EDO!$C$9*INDEX('Cost Improvement (other)'!$B$118:$AL$124,MATCH("nuclear",'Cost Improvement (other)'!$A$118:$A$124,0),MATCH('CCaMC-BCCpUC'!$A36,'Cost Improvement (other)'!$B$117:$AL$117,0))*1000*About!$A$58</f>
        <v>1704831.1772353207</v>
      </c>
      <c r="E36" s="62">
        <f>'Hydro and Geothermal'!$B$2*INDEX('Cost Improvement (other)'!$B$118:$AL$124,MATCH("hydro",'Cost Improvement (other)'!$A$118:$A$124,0),MATCH('CCaMC-BCCpUC'!$A36,'Cost Improvement (other)'!$B$117:$AL$117,0))*1000*About!$A$58</f>
        <v>1401375.9141054577</v>
      </c>
      <c r="F36" s="62">
        <f>EDO!$C$3*INDEX('Cost Improvement (wind&amp;solar)'!$I$2:$L$42,MATCH('CCaMC-BCCpUC'!$A36,'Cost Improvement (wind&amp;solar)'!$H$2:$H$42,0),MATCH("onshore wind",'Cost Improvement (wind&amp;solar)'!$I$1:$L$1,0))*1000*About!$A$60</f>
        <v>1118219.7833333334</v>
      </c>
      <c r="G36" s="62">
        <f>EDO!$C$5*INDEX('Cost Improvement (wind&amp;solar)'!$I$2:$L$42,MATCH('CCaMC-BCCpUC'!$A36,'Cost Improvement (wind&amp;solar)'!$H$2:$H$42,0),MATCH("solar pv",'Cost Improvement (wind&amp;solar)'!$I$1:$L$1,0))*1000*About!$A$60</f>
        <v>796702.43368421076</v>
      </c>
      <c r="H36" s="62">
        <f>'Solar thermal'!$B$3*INDEX('Cost Improvement (wind&amp;solar)'!$I$2:$L$42,MATCH('CCaMC-BCCpUC'!$A36,'Cost Improvement (wind&amp;solar)'!$H$2:$H$42,0),MATCH("solar thermal",'Cost Improvement (wind&amp;solar)'!$I$1:$L$1,0))*10^6</f>
        <v>2355347.8260869561</v>
      </c>
      <c r="I36" s="62">
        <f>EDO!$C$8*INDEX('Cost Improvement (other)'!$B$118:$AL$124,MATCH("biomass",'Cost Improvement (other)'!$A$118:$A$124,0),MATCH('CCaMC-BCCpUC'!$A36,'Cost Improvement (other)'!$B$117:$AL$117,0))*1000*About!$A$60</f>
        <v>1475664.6025569239</v>
      </c>
      <c r="J36" s="62">
        <f>'Hydro and Geothermal'!$B$3*INDEX('Cost Improvement (other)'!$B$118:$AL$124,MATCH("geothermal",'Cost Improvement (other)'!$A$118:$A$124,0),MATCH('CCaMC-BCCpUC'!$A36,'Cost Improvement (other)'!$B$117:$AL$117,0))*1000*About!$A$58</f>
        <v>3182318.9222149448</v>
      </c>
      <c r="K36" s="67">
        <v>567074.95215012471</v>
      </c>
      <c r="L36" s="67">
        <f>EDO!$C$6*('EIA Costs'!$D$5/'EIA Costs'!$D$3)*INDEX('Cost Improvement (other)'!$B$118:$AL$124,MATCH("natural gas peaker",'Cost Improvement (other)'!$A$118:$A$124,0),MATCH('CCaMC-BCCpUC'!$A36,'Cost Improvement (other)'!$B$117:$AL$117,0))*1000*About!$A$60</f>
        <v>195452.54051029339</v>
      </c>
      <c r="M36" s="67">
        <f t="shared" si="2"/>
        <v>967900.05025905464</v>
      </c>
      <c r="N36" s="62">
        <f>EDO!$C$4*INDEX('Cost Improvement (wind&amp;solar)'!$I$2:$L$42,MATCH('CCaMC-BCCpUC'!$A36,'Cost Improvement (wind&amp;solar)'!$H$2:$H$42,0),MATCH("offshore wind",'Cost Improvement (wind&amp;solar)'!$I$1:$L$1,0))*1000*About!$A$60</f>
        <v>1516889.7266666666</v>
      </c>
      <c r="O36" s="62">
        <f t="shared" si="0"/>
        <v>567074.95215012471</v>
      </c>
      <c r="P36" s="62">
        <f t="shared" si="1"/>
        <v>567074.95215012471</v>
      </c>
      <c r="Q36" s="62">
        <v>7173106.1111970115</v>
      </c>
    </row>
    <row r="37" spans="1:17">
      <c r="B37" s="63"/>
    </row>
    <row r="38" spans="1:17">
      <c r="B38" s="63"/>
    </row>
    <row r="39" spans="1:17">
      <c r="B39" s="63"/>
    </row>
    <row r="40" spans="1:17">
      <c r="B40" s="63"/>
    </row>
    <row r="41" spans="1:17">
      <c r="B41" s="63"/>
    </row>
    <row r="42" spans="1:17">
      <c r="B42" s="63"/>
    </row>
    <row r="43" spans="1:17">
      <c r="B43" s="63"/>
    </row>
    <row r="44" spans="1:17">
      <c r="B44" s="63"/>
    </row>
    <row r="45" spans="1:17">
      <c r="B45" s="63"/>
    </row>
    <row r="46" spans="1:17">
      <c r="B46" s="63"/>
    </row>
    <row r="47" spans="1:17">
      <c r="B47" s="63"/>
    </row>
    <row r="48" spans="1:17">
      <c r="B48" s="63"/>
    </row>
    <row r="49" spans="2:2">
      <c r="B49" s="63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5" sqref="C5"/>
    </sheetView>
  </sheetViews>
  <sheetFormatPr defaultRowHeight="14.25"/>
  <cols>
    <col min="1" max="1" width="17.59765625" customWidth="1"/>
    <col min="3" max="3" width="8.3984375" customWidth="1"/>
    <col min="5" max="5" width="18.73046875" customWidth="1"/>
    <col min="6" max="6" width="7.86328125" customWidth="1"/>
    <col min="7" max="7" width="13.59765625" customWidth="1"/>
  </cols>
  <sheetData>
    <row r="1" spans="1:7">
      <c r="A1" s="77" t="s">
        <v>55</v>
      </c>
      <c r="B1" s="77" t="s">
        <v>56</v>
      </c>
      <c r="C1" s="77"/>
      <c r="D1" s="77" t="s">
        <v>57</v>
      </c>
      <c r="E1" s="77"/>
      <c r="F1" s="77" t="s">
        <v>58</v>
      </c>
      <c r="G1" s="77"/>
    </row>
    <row r="2" spans="1:7">
      <c r="A2" s="77"/>
      <c r="B2" t="s">
        <v>59</v>
      </c>
      <c r="C2" t="s">
        <v>60</v>
      </c>
      <c r="D2" t="s">
        <v>59</v>
      </c>
      <c r="E2" t="s">
        <v>60</v>
      </c>
      <c r="F2" t="s">
        <v>59</v>
      </c>
      <c r="G2" t="s">
        <v>60</v>
      </c>
    </row>
    <row r="3" spans="1:7">
      <c r="A3" t="s">
        <v>61</v>
      </c>
      <c r="B3">
        <v>1827</v>
      </c>
      <c r="C3">
        <v>1381.94</v>
      </c>
      <c r="D3">
        <v>51</v>
      </c>
      <c r="E3">
        <v>10.88</v>
      </c>
      <c r="F3">
        <v>0</v>
      </c>
      <c r="G3">
        <v>0</v>
      </c>
    </row>
    <row r="4" spans="1:7">
      <c r="A4" t="s">
        <v>62</v>
      </c>
      <c r="B4">
        <v>6340</v>
      </c>
      <c r="C4">
        <v>2343.29</v>
      </c>
      <c r="D4">
        <v>132</v>
      </c>
      <c r="E4">
        <v>17.41</v>
      </c>
      <c r="F4">
        <v>0</v>
      </c>
      <c r="G4">
        <v>0</v>
      </c>
    </row>
    <row r="5" spans="1:7">
      <c r="A5" t="s">
        <v>63</v>
      </c>
      <c r="B5">
        <v>2647</v>
      </c>
      <c r="C5">
        <v>1299.1199999999999</v>
      </c>
      <c r="D5">
        <v>18</v>
      </c>
      <c r="E5">
        <v>26.79</v>
      </c>
      <c r="F5">
        <v>0</v>
      </c>
      <c r="G5">
        <v>0</v>
      </c>
    </row>
    <row r="6" spans="1:7">
      <c r="A6" t="s">
        <v>64</v>
      </c>
      <c r="B6">
        <v>1021</v>
      </c>
      <c r="C6">
        <v>357.26</v>
      </c>
      <c r="D6">
        <v>14</v>
      </c>
      <c r="E6">
        <v>7.37</v>
      </c>
      <c r="F6">
        <v>3</v>
      </c>
      <c r="G6">
        <v>0.06</v>
      </c>
    </row>
    <row r="7" spans="1:7">
      <c r="A7" t="s">
        <v>65</v>
      </c>
      <c r="B7">
        <v>3446</v>
      </c>
      <c r="C7">
        <v>1266.6500000000001</v>
      </c>
      <c r="D7">
        <v>32</v>
      </c>
      <c r="E7">
        <v>29.36</v>
      </c>
      <c r="F7">
        <v>5</v>
      </c>
      <c r="G7">
        <v>3.7</v>
      </c>
    </row>
    <row r="8" spans="1:7">
      <c r="A8" t="s">
        <v>66</v>
      </c>
      <c r="B8">
        <v>4278</v>
      </c>
      <c r="C8">
        <v>1688.86</v>
      </c>
      <c r="D8">
        <v>107</v>
      </c>
      <c r="E8">
        <v>29.94</v>
      </c>
      <c r="F8">
        <v>5</v>
      </c>
      <c r="G8">
        <v>2.68</v>
      </c>
    </row>
    <row r="9" spans="1:7">
      <c r="A9" t="s">
        <v>67</v>
      </c>
      <c r="B9">
        <v>6482</v>
      </c>
      <c r="C9">
        <v>2101.33</v>
      </c>
      <c r="D9">
        <v>95</v>
      </c>
      <c r="E9">
        <v>133.16</v>
      </c>
      <c r="F9">
        <v>2</v>
      </c>
      <c r="G9">
        <v>4.71</v>
      </c>
    </row>
  </sheetData>
  <mergeCells count="4">
    <mergeCell ref="A1:A2"/>
    <mergeCell ref="B1:C1"/>
    <mergeCell ref="D1:E1"/>
    <mergeCell ref="F1:G1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F18" sqref="F18"/>
    </sheetView>
  </sheetViews>
  <sheetFormatPr defaultRowHeight="14.25"/>
  <cols>
    <col min="1" max="1" width="33.86328125" customWidth="1"/>
    <col min="2" max="2" width="23.3984375" customWidth="1"/>
    <col min="3" max="3" width="20.1328125" customWidth="1"/>
    <col min="4" max="4" width="16.1328125" customWidth="1"/>
  </cols>
  <sheetData>
    <row r="1" spans="1:11">
      <c r="B1" t="s">
        <v>68</v>
      </c>
      <c r="C1" t="s">
        <v>69</v>
      </c>
      <c r="D1" t="s">
        <v>70</v>
      </c>
      <c r="E1" t="s">
        <v>71</v>
      </c>
    </row>
    <row r="2" spans="1:11">
      <c r="A2" t="s">
        <v>72</v>
      </c>
      <c r="B2" s="4">
        <f>B12</f>
        <v>1694.7778904690001</v>
      </c>
      <c r="C2">
        <v>40</v>
      </c>
      <c r="D2" s="57">
        <f>AVERAGE(C31:C32)</f>
        <v>0.45928878900000003</v>
      </c>
      <c r="E2" t="s">
        <v>73</v>
      </c>
    </row>
    <row r="3" spans="1:11">
      <c r="A3" t="s">
        <v>74</v>
      </c>
      <c r="B3" s="4">
        <f>AVERAGE(J13:K13)</f>
        <v>3546.1214299120002</v>
      </c>
      <c r="C3">
        <v>110</v>
      </c>
      <c r="D3" s="57">
        <f>AVERAGE(J29:K29)</f>
        <v>0.73885440000000002</v>
      </c>
      <c r="E3" t="s">
        <v>75</v>
      </c>
    </row>
    <row r="5" spans="1:11" ht="15" customHeight="1">
      <c r="B5" s="12"/>
      <c r="C5" s="12"/>
    </row>
    <row r="6" spans="1:11">
      <c r="A6" s="58" t="s">
        <v>76</v>
      </c>
      <c r="B6" s="12"/>
      <c r="C6" s="12"/>
      <c r="D6" s="12"/>
      <c r="I6" s="12" t="s">
        <v>77</v>
      </c>
      <c r="J6" s="12"/>
      <c r="K6" s="12"/>
    </row>
    <row r="7" spans="1:11" ht="27">
      <c r="A7" s="12"/>
      <c r="B7" s="13" t="s">
        <v>78</v>
      </c>
      <c r="C7" s="13" t="s">
        <v>79</v>
      </c>
      <c r="D7" s="12"/>
      <c r="I7" s="12"/>
      <c r="J7" s="12"/>
      <c r="K7" s="12"/>
    </row>
    <row r="8" spans="1:11" ht="40.5">
      <c r="A8" s="13" t="s">
        <v>80</v>
      </c>
      <c r="B8" s="14">
        <v>1800.529977397</v>
      </c>
      <c r="C8" s="12">
        <v>932</v>
      </c>
      <c r="D8" s="13" t="s">
        <v>81</v>
      </c>
      <c r="I8" s="13" t="s">
        <v>82</v>
      </c>
      <c r="J8" s="13" t="s">
        <v>83</v>
      </c>
      <c r="K8" s="13" t="s">
        <v>84</v>
      </c>
    </row>
    <row r="9" spans="1:11">
      <c r="A9" s="12" t="s">
        <v>85</v>
      </c>
      <c r="B9" s="14">
        <v>1738.0151519389999</v>
      </c>
      <c r="C9" s="12">
        <v>1051</v>
      </c>
      <c r="D9" s="12">
        <v>5238</v>
      </c>
      <c r="I9" s="12">
        <v>2020</v>
      </c>
      <c r="J9" s="14">
        <v>3665.8569502340001</v>
      </c>
      <c r="K9" s="14">
        <v>3665.8569502340001</v>
      </c>
    </row>
    <row r="10" spans="1:11">
      <c r="A10" s="12" t="s">
        <v>86</v>
      </c>
      <c r="B10" s="14">
        <v>2900.1499567679998</v>
      </c>
      <c r="C10" s="12">
        <v>1471</v>
      </c>
      <c r="D10" s="12">
        <v>4013</v>
      </c>
      <c r="I10" s="12">
        <v>2019</v>
      </c>
      <c r="J10" s="14">
        <v>11057.136482002001</v>
      </c>
      <c r="K10" s="14">
        <v>1995.2729655210001</v>
      </c>
    </row>
    <row r="11" spans="1:11">
      <c r="A11" s="12" t="s">
        <v>87</v>
      </c>
      <c r="B11" s="14">
        <v>1097.9774146320001</v>
      </c>
      <c r="C11" s="12">
        <v>784</v>
      </c>
      <c r="D11" s="12">
        <v>3877</v>
      </c>
      <c r="I11" s="12">
        <v>2018</v>
      </c>
      <c r="J11" s="14">
        <v>4446.3244343420001</v>
      </c>
      <c r="K11" s="14">
        <v>1419.0364449619999</v>
      </c>
    </row>
    <row r="12" spans="1:11">
      <c r="A12" s="12" t="s">
        <v>88</v>
      </c>
      <c r="B12" s="14">
        <v>1694.7778904690001</v>
      </c>
      <c r="C12" s="12">
        <v>1124</v>
      </c>
      <c r="D12" s="12">
        <v>1630</v>
      </c>
      <c r="I12" s="12">
        <v>2017</v>
      </c>
      <c r="J12" s="14">
        <v>7689.2920362040004</v>
      </c>
      <c r="K12" s="14">
        <v>559.16647259499996</v>
      </c>
    </row>
    <row r="13" spans="1:11">
      <c r="A13" s="12" t="s">
        <v>89</v>
      </c>
      <c r="B13" s="14">
        <v>2138.3723876399999</v>
      </c>
      <c r="C13" s="12">
        <v>993</v>
      </c>
      <c r="D13" s="12">
        <v>4080</v>
      </c>
      <c r="I13" s="12">
        <v>2016</v>
      </c>
      <c r="J13" s="14">
        <v>5045.4629138509999</v>
      </c>
      <c r="K13" s="14">
        <v>2046.7799459729999</v>
      </c>
    </row>
    <row r="14" spans="1:11">
      <c r="A14" s="12" t="s">
        <v>90</v>
      </c>
      <c r="B14" s="14">
        <v>1389.4475920110001</v>
      </c>
      <c r="C14" s="12">
        <v>880</v>
      </c>
      <c r="D14" s="12">
        <v>6698</v>
      </c>
      <c r="I14" s="12">
        <v>2015</v>
      </c>
      <c r="J14" s="14">
        <v>8919.3825909999996</v>
      </c>
      <c r="K14" s="14">
        <v>2197.860351152</v>
      </c>
    </row>
    <row r="15" spans="1:11">
      <c r="A15" s="12" t="s">
        <v>91</v>
      </c>
      <c r="B15" s="14">
        <v>1705.2847508350001</v>
      </c>
      <c r="C15" s="12">
        <v>1300</v>
      </c>
      <c r="D15" s="12">
        <v>2507</v>
      </c>
      <c r="I15" s="12">
        <v>2014</v>
      </c>
      <c r="J15" s="14">
        <v>8736.3402972919994</v>
      </c>
      <c r="K15" s="14">
        <v>1866.884776894</v>
      </c>
    </row>
    <row r="16" spans="1:11">
      <c r="A16" s="12" t="s">
        <v>92</v>
      </c>
      <c r="B16" s="14">
        <v>2376.2768697390002</v>
      </c>
      <c r="C16" s="12">
        <v>1058</v>
      </c>
      <c r="D16" s="12">
        <v>2112</v>
      </c>
      <c r="I16" s="12">
        <v>2013</v>
      </c>
      <c r="J16" s="14">
        <v>5161.8084376019997</v>
      </c>
      <c r="K16" s="14">
        <v>2029.0716760939999</v>
      </c>
    </row>
    <row r="17" spans="1:12">
      <c r="A17" s="12" t="s">
        <v>93</v>
      </c>
      <c r="B17" s="14">
        <v>3598.6896022179999</v>
      </c>
      <c r="C17" s="12">
        <v>2489</v>
      </c>
      <c r="D17" s="12">
        <v>5563</v>
      </c>
      <c r="I17" s="12">
        <v>2012</v>
      </c>
      <c r="J17" s="14">
        <v>8353.3013375310002</v>
      </c>
      <c r="K17" s="14">
        <v>2613.4318056940001</v>
      </c>
    </row>
    <row r="18" spans="1:12">
      <c r="A18" s="12" t="s">
        <v>94</v>
      </c>
      <c r="B18" s="14">
        <v>1698.4991974500001</v>
      </c>
      <c r="C18" s="12">
        <v>908</v>
      </c>
      <c r="D18" s="12">
        <v>4045</v>
      </c>
      <c r="I18" s="12">
        <v>2010</v>
      </c>
      <c r="J18" s="14">
        <v>4675.6562095939998</v>
      </c>
      <c r="K18" s="14">
        <v>1513.651150595</v>
      </c>
    </row>
    <row r="19" spans="1:12">
      <c r="A19" s="12" t="s">
        <v>95</v>
      </c>
      <c r="B19" s="14">
        <v>1988.509428266</v>
      </c>
      <c r="C19" s="12">
        <v>1186</v>
      </c>
      <c r="D19" s="12">
        <v>3693</v>
      </c>
      <c r="I19" s="12">
        <v>2009</v>
      </c>
      <c r="J19" s="14">
        <v>3940.6515578909998</v>
      </c>
      <c r="K19" s="14">
        <v>3940.6515578909998</v>
      </c>
    </row>
    <row r="20" spans="1:12">
      <c r="A20" s="12" t="s">
        <v>96</v>
      </c>
      <c r="D20" s="12">
        <v>3802</v>
      </c>
      <c r="I20" s="12">
        <v>2008</v>
      </c>
      <c r="J20" s="14">
        <v>2218.4370018129998</v>
      </c>
      <c r="K20" s="14">
        <v>1226.0902666649999</v>
      </c>
    </row>
    <row r="21" spans="1:12">
      <c r="I21" s="12">
        <v>2007</v>
      </c>
      <c r="J21" s="14">
        <v>1975.651454023</v>
      </c>
      <c r="K21" s="14">
        <v>1975.651454023</v>
      </c>
    </row>
    <row r="23" spans="1:12">
      <c r="A23" s="54" t="s">
        <v>97</v>
      </c>
      <c r="I23" s="54" t="s">
        <v>98</v>
      </c>
      <c r="J23" s="54"/>
      <c r="K23" s="54"/>
      <c r="L23" s="54"/>
    </row>
    <row r="24" spans="1:12" ht="40.5">
      <c r="A24" s="55" t="s">
        <v>99</v>
      </c>
      <c r="B24" s="55" t="s">
        <v>80</v>
      </c>
      <c r="C24" s="55" t="s">
        <v>100</v>
      </c>
      <c r="D24" s="55" t="s">
        <v>79</v>
      </c>
      <c r="E24" s="55" t="s">
        <v>81</v>
      </c>
      <c r="I24" s="55" t="s">
        <v>82</v>
      </c>
      <c r="J24" s="55" t="s">
        <v>101</v>
      </c>
      <c r="K24" s="55" t="s">
        <v>102</v>
      </c>
      <c r="L24" s="54"/>
    </row>
    <row r="25" spans="1:12">
      <c r="A25" s="54" t="s">
        <v>103</v>
      </c>
      <c r="B25" s="54" t="s">
        <v>85</v>
      </c>
      <c r="C25" s="56">
        <v>0.45974601799999998</v>
      </c>
      <c r="D25" s="56">
        <v>0.27678050599999998</v>
      </c>
      <c r="E25" s="56">
        <v>0.69117501199999998</v>
      </c>
      <c r="I25" s="54">
        <v>2020</v>
      </c>
      <c r="J25" s="56">
        <v>0.8</v>
      </c>
      <c r="K25" s="56">
        <v>0.8</v>
      </c>
      <c r="L25" s="54"/>
    </row>
    <row r="26" spans="1:12">
      <c r="A26" s="54" t="s">
        <v>104</v>
      </c>
      <c r="B26" s="54" t="s">
        <v>85</v>
      </c>
      <c r="C26" s="56">
        <v>0.55867849599999997</v>
      </c>
      <c r="D26" s="56">
        <v>0.32804740199999999</v>
      </c>
      <c r="E26" s="56">
        <v>0.680309685</v>
      </c>
      <c r="I26" s="54">
        <v>2019</v>
      </c>
      <c r="J26" s="56">
        <v>0.8</v>
      </c>
      <c r="K26" s="56">
        <v>0.6</v>
      </c>
      <c r="L26" s="54"/>
    </row>
    <row r="27" spans="1:12">
      <c r="A27" s="54" t="s">
        <v>103</v>
      </c>
      <c r="B27" s="54" t="s">
        <v>86</v>
      </c>
      <c r="C27" s="56">
        <v>0.60926007599999998</v>
      </c>
      <c r="D27" s="56">
        <v>0.50827707499999997</v>
      </c>
      <c r="E27" s="56">
        <v>0.80122923000000001</v>
      </c>
      <c r="I27" s="54">
        <v>2018</v>
      </c>
      <c r="J27" s="56">
        <v>0.9</v>
      </c>
      <c r="K27" s="56">
        <v>0.6</v>
      </c>
      <c r="L27" s="54"/>
    </row>
    <row r="28" spans="1:12">
      <c r="A28" s="54" t="s">
        <v>104</v>
      </c>
      <c r="B28" s="54" t="s">
        <v>86</v>
      </c>
      <c r="C28" s="56">
        <v>0.62434078800000004</v>
      </c>
      <c r="D28" s="56">
        <v>0.426018809</v>
      </c>
      <c r="E28" s="56">
        <v>0.883684531</v>
      </c>
      <c r="I28" s="54">
        <v>2017</v>
      </c>
      <c r="J28" s="56">
        <v>0.9</v>
      </c>
      <c r="K28" s="56">
        <v>0.57077630000000001</v>
      </c>
      <c r="L28" s="54"/>
    </row>
    <row r="29" spans="1:12">
      <c r="A29" s="54" t="s">
        <v>103</v>
      </c>
      <c r="B29" s="54" t="s">
        <v>87</v>
      </c>
      <c r="C29" s="56">
        <v>0.49817408600000002</v>
      </c>
      <c r="D29" s="56">
        <v>0.27281798699999998</v>
      </c>
      <c r="E29" s="56">
        <v>0.61573944700000005</v>
      </c>
      <c r="I29" s="54">
        <v>2016</v>
      </c>
      <c r="J29" s="56">
        <v>0.9</v>
      </c>
      <c r="K29" s="56">
        <v>0.57770880000000002</v>
      </c>
      <c r="L29" s="54"/>
    </row>
    <row r="30" spans="1:12">
      <c r="A30" s="54" t="s">
        <v>104</v>
      </c>
      <c r="B30" s="54" t="s">
        <v>87</v>
      </c>
      <c r="C30" s="56">
        <v>0.59295857500000004</v>
      </c>
      <c r="D30" s="56">
        <v>0.44632701299999999</v>
      </c>
      <c r="E30" s="56">
        <v>0.75</v>
      </c>
      <c r="I30" s="54">
        <v>2015</v>
      </c>
      <c r="J30" s="56">
        <v>0.95000074400000001</v>
      </c>
      <c r="K30" s="56">
        <v>0.8</v>
      </c>
      <c r="L30" s="54"/>
    </row>
    <row r="31" spans="1:12">
      <c r="A31" s="54" t="s">
        <v>103</v>
      </c>
      <c r="B31" s="54" t="s">
        <v>88</v>
      </c>
      <c r="C31" s="56">
        <v>0.46037377200000001</v>
      </c>
      <c r="D31" s="56">
        <v>0.31594063900000002</v>
      </c>
      <c r="E31" s="56">
        <v>0.56955860000000003</v>
      </c>
      <c r="I31" s="54">
        <v>2014</v>
      </c>
      <c r="J31" s="56">
        <v>0.92</v>
      </c>
      <c r="K31" s="56">
        <v>0.41095890000000002</v>
      </c>
      <c r="L31" s="54"/>
    </row>
    <row r="32" spans="1:12">
      <c r="A32" s="54" t="s">
        <v>104</v>
      </c>
      <c r="B32" s="54" t="s">
        <v>88</v>
      </c>
      <c r="C32" s="56">
        <v>0.45820380599999999</v>
      </c>
      <c r="D32" s="56">
        <v>0.33053653</v>
      </c>
      <c r="E32" s="56">
        <v>0.60352739700000002</v>
      </c>
      <c r="I32" s="54">
        <v>2013</v>
      </c>
      <c r="J32" s="56">
        <v>0.92370091300000001</v>
      </c>
      <c r="K32" s="56">
        <v>0.8</v>
      </c>
      <c r="L32" s="54"/>
    </row>
    <row r="33" spans="1:12">
      <c r="A33" s="54" t="s">
        <v>103</v>
      </c>
      <c r="B33" s="54" t="s">
        <v>89</v>
      </c>
      <c r="C33" s="56">
        <v>0.49146419200000002</v>
      </c>
      <c r="D33" s="56">
        <v>0.29612484700000002</v>
      </c>
      <c r="E33" s="56">
        <v>0.64559350000000004</v>
      </c>
      <c r="I33" s="54">
        <v>2012</v>
      </c>
      <c r="J33" s="56">
        <v>0.9</v>
      </c>
      <c r="K33" s="56">
        <v>0.8</v>
      </c>
      <c r="L33" s="54"/>
    </row>
    <row r="34" spans="1:12">
      <c r="A34" s="54" t="s">
        <v>104</v>
      </c>
      <c r="B34" s="54" t="s">
        <v>89</v>
      </c>
      <c r="C34" s="56">
        <v>0.56955106300000002</v>
      </c>
      <c r="D34" s="56">
        <v>0.42872724299999998</v>
      </c>
      <c r="E34" s="56">
        <v>0.74790929100000003</v>
      </c>
      <c r="I34" s="54">
        <v>2010</v>
      </c>
      <c r="J34" s="56">
        <v>0.92982867000000002</v>
      </c>
      <c r="K34" s="56">
        <v>0.8</v>
      </c>
      <c r="L34" s="54"/>
    </row>
    <row r="35" spans="1:12">
      <c r="A35" s="54" t="s">
        <v>103</v>
      </c>
      <c r="B35" s="54" t="s">
        <v>90</v>
      </c>
      <c r="C35" s="56">
        <v>0.35854309299999998</v>
      </c>
      <c r="D35" s="56">
        <v>0.145096009</v>
      </c>
      <c r="E35" s="56">
        <v>0.69064868400000001</v>
      </c>
      <c r="I35" s="54">
        <v>2009</v>
      </c>
      <c r="J35" s="56">
        <v>0.74</v>
      </c>
      <c r="K35" s="56">
        <v>0.74</v>
      </c>
      <c r="L35" s="54"/>
    </row>
    <row r="36" spans="1:12">
      <c r="A36" s="54" t="s">
        <v>104</v>
      </c>
      <c r="B36" s="54" t="s">
        <v>90</v>
      </c>
      <c r="C36" s="56">
        <v>0.46572150000000001</v>
      </c>
      <c r="D36" s="56">
        <v>0.22808219199999999</v>
      </c>
      <c r="E36" s="56">
        <v>0.65896846499999995</v>
      </c>
      <c r="I36" s="54">
        <v>2008</v>
      </c>
      <c r="J36" s="56">
        <v>0.812381299</v>
      </c>
      <c r="K36" s="56">
        <v>0.812381299</v>
      </c>
      <c r="L36" s="54"/>
    </row>
    <row r="37" spans="1:12">
      <c r="A37" s="54" t="s">
        <v>103</v>
      </c>
      <c r="B37" s="54" t="s">
        <v>91</v>
      </c>
      <c r="C37" s="56">
        <v>0.44976586200000002</v>
      </c>
      <c r="D37" s="56">
        <v>0.290804012</v>
      </c>
      <c r="E37" s="56">
        <v>0.62167606799999997</v>
      </c>
      <c r="I37" s="54">
        <v>2007</v>
      </c>
      <c r="J37" s="56">
        <v>0.8</v>
      </c>
      <c r="K37" s="56">
        <v>0.8</v>
      </c>
      <c r="L37" s="54"/>
    </row>
    <row r="38" spans="1:12">
      <c r="A38" s="54" t="s">
        <v>104</v>
      </c>
      <c r="B38" s="54" t="s">
        <v>91</v>
      </c>
      <c r="C38" s="56">
        <v>0.50664611299999995</v>
      </c>
      <c r="D38" s="56">
        <v>0.27836758</v>
      </c>
      <c r="E38" s="56">
        <v>0.69708170300000005</v>
      </c>
    </row>
    <row r="39" spans="1:12">
      <c r="A39" s="54" t="s">
        <v>103</v>
      </c>
      <c r="B39" s="54" t="s">
        <v>92</v>
      </c>
      <c r="C39" s="56">
        <v>0.49747007300000001</v>
      </c>
      <c r="D39" s="56">
        <v>0.37676282100000003</v>
      </c>
      <c r="E39" s="56">
        <v>0.73726071299999996</v>
      </c>
    </row>
    <row r="40" spans="1:12">
      <c r="A40" s="54" t="s">
        <v>104</v>
      </c>
      <c r="B40" s="54" t="s">
        <v>92</v>
      </c>
      <c r="C40" s="56">
        <v>0.54360730599999996</v>
      </c>
      <c r="D40" s="56">
        <v>0.54360730599999996</v>
      </c>
      <c r="E40" s="56">
        <v>0.54360730599999996</v>
      </c>
    </row>
    <row r="41" spans="1:12">
      <c r="A41" s="54" t="s">
        <v>103</v>
      </c>
      <c r="B41" s="54" t="s">
        <v>93</v>
      </c>
      <c r="C41" s="56">
        <v>0.39763525900000002</v>
      </c>
      <c r="D41" s="56">
        <v>0.208643415</v>
      </c>
      <c r="E41" s="56">
        <v>0.77278263400000002</v>
      </c>
    </row>
    <row r="42" spans="1:12">
      <c r="A42" s="54" t="s">
        <v>104</v>
      </c>
      <c r="B42" s="54" t="s">
        <v>93</v>
      </c>
      <c r="C42" s="56">
        <v>0.84500253700000005</v>
      </c>
      <c r="D42" s="56">
        <v>0.84500253700000005</v>
      </c>
      <c r="E42" s="56">
        <v>0.84500253700000005</v>
      </c>
    </row>
    <row r="43" spans="1:12">
      <c r="A43" s="54" t="s">
        <v>103</v>
      </c>
      <c r="B43" s="54" t="s">
        <v>94</v>
      </c>
      <c r="C43" s="56">
        <v>0.38118582699999998</v>
      </c>
      <c r="D43" s="56">
        <v>0.251726858</v>
      </c>
      <c r="E43" s="56">
        <v>0.47398677900000002</v>
      </c>
    </row>
    <row r="44" spans="1:12">
      <c r="A44" s="54" t="s">
        <v>104</v>
      </c>
      <c r="B44" s="54" t="s">
        <v>94</v>
      </c>
      <c r="C44" s="56">
        <v>0.45061283299999999</v>
      </c>
      <c r="D44" s="56">
        <v>0.45061283299999999</v>
      </c>
      <c r="E44" s="56">
        <v>0.45061283299999999</v>
      </c>
    </row>
    <row r="45" spans="1:12">
      <c r="A45" s="54" t="s">
        <v>103</v>
      </c>
      <c r="B45" s="54" t="s">
        <v>95</v>
      </c>
      <c r="C45" s="56">
        <v>0.47667163200000001</v>
      </c>
      <c r="D45" s="56">
        <v>0.37152365399999998</v>
      </c>
      <c r="E45" s="56">
        <v>0.65577563900000002</v>
      </c>
    </row>
    <row r="46" spans="1:12">
      <c r="A46" s="54" t="s">
        <v>104</v>
      </c>
      <c r="B46" s="54" t="s">
        <v>95</v>
      </c>
      <c r="C46" s="56">
        <v>0.49951596500000001</v>
      </c>
      <c r="D46" s="56">
        <v>0.37319824899999998</v>
      </c>
      <c r="E46" s="56">
        <v>0.77553585300000005</v>
      </c>
    </row>
    <row r="47" spans="1:12">
      <c r="A47" s="54" t="s">
        <v>103</v>
      </c>
      <c r="B47" s="54" t="s">
        <v>96</v>
      </c>
      <c r="C47" s="56">
        <v>0.62675561700000004</v>
      </c>
      <c r="D47" s="56">
        <v>0.45991966000000001</v>
      </c>
      <c r="E47" s="56">
        <v>0.84332495100000004</v>
      </c>
    </row>
    <row r="48" spans="1:12">
      <c r="A48" s="54" t="s">
        <v>104</v>
      </c>
      <c r="B48" s="54" t="s">
        <v>96</v>
      </c>
      <c r="C48" s="56">
        <v>0.65139771000000002</v>
      </c>
      <c r="D48" s="56">
        <v>0.43015125599999998</v>
      </c>
      <c r="E48" s="56">
        <v>0.819708031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8" sqref="A8"/>
    </sheetView>
  </sheetViews>
  <sheetFormatPr defaultRowHeight="14.25"/>
  <cols>
    <col min="1" max="1" width="18.3984375" customWidth="1"/>
    <col min="2" max="2" width="18.1328125" customWidth="1"/>
    <col min="3" max="3" width="20.1328125" customWidth="1"/>
    <col min="4" max="4" width="19.265625" customWidth="1"/>
    <col min="5" max="5" width="16" customWidth="1"/>
  </cols>
  <sheetData>
    <row r="1" spans="1:5">
      <c r="B1" t="s">
        <v>105</v>
      </c>
      <c r="C1" t="s">
        <v>106</v>
      </c>
      <c r="D1" t="s">
        <v>107</v>
      </c>
      <c r="E1" t="s">
        <v>108</v>
      </c>
    </row>
    <row r="2" spans="1:5">
      <c r="A2" t="s">
        <v>109</v>
      </c>
      <c r="B2" t="s">
        <v>110</v>
      </c>
      <c r="C2" t="s">
        <v>111</v>
      </c>
      <c r="D2" t="s">
        <v>112</v>
      </c>
      <c r="E2" t="s">
        <v>113</v>
      </c>
    </row>
    <row r="3" spans="1:5">
      <c r="B3" s="15">
        <f>AVERAGE(3.08,4.55)</f>
        <v>3.8149999999999999</v>
      </c>
      <c r="C3" s="15">
        <f>AVERAGE(44000,45000)</f>
        <v>44500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80" zoomScaleNormal="80" workbookViewId="0">
      <selection activeCell="G7" sqref="G7:G8"/>
    </sheetView>
  </sheetViews>
  <sheetFormatPr defaultRowHeight="14.25"/>
  <cols>
    <col min="1" max="1" width="17.3984375" customWidth="1"/>
    <col min="2" max="2" width="18.86328125" customWidth="1"/>
    <col min="3" max="3" width="34.73046875" customWidth="1"/>
    <col min="4" max="4" width="34.3984375" customWidth="1"/>
    <col min="5" max="5" width="31" customWidth="1"/>
    <col min="6" max="6" width="29.1328125" customWidth="1"/>
  </cols>
  <sheetData>
    <row r="1" spans="1:9" ht="28.5">
      <c r="A1" s="1" t="s">
        <v>114</v>
      </c>
      <c r="B1" s="1" t="s">
        <v>115</v>
      </c>
      <c r="C1" s="1" t="s">
        <v>116</v>
      </c>
      <c r="D1" s="73" t="s">
        <v>348</v>
      </c>
      <c r="E1" s="73" t="s">
        <v>334</v>
      </c>
      <c r="F1" s="73" t="s">
        <v>349</v>
      </c>
      <c r="G1" s="74" t="s">
        <v>350</v>
      </c>
      <c r="H1" s="75" t="s">
        <v>351</v>
      </c>
      <c r="I1" s="75" t="s">
        <v>352</v>
      </c>
    </row>
    <row r="2" spans="1:9">
      <c r="A2" t="s">
        <v>122</v>
      </c>
      <c r="B2" t="s">
        <v>120</v>
      </c>
      <c r="C2" t="s">
        <v>123</v>
      </c>
      <c r="D2">
        <v>999</v>
      </c>
      <c r="E2" s="9">
        <v>3.61</v>
      </c>
      <c r="F2" s="9">
        <v>11.33</v>
      </c>
      <c r="G2">
        <v>2018</v>
      </c>
      <c r="H2" t="s">
        <v>353</v>
      </c>
      <c r="I2" t="s">
        <v>354</v>
      </c>
    </row>
    <row r="3" spans="1:9">
      <c r="A3" t="s">
        <v>122</v>
      </c>
      <c r="B3" t="s">
        <v>121</v>
      </c>
      <c r="C3" t="s">
        <v>356</v>
      </c>
      <c r="D3">
        <v>1079</v>
      </c>
      <c r="E3" s="9">
        <v>2.54</v>
      </c>
      <c r="F3" s="9">
        <v>14.04</v>
      </c>
      <c r="G3">
        <v>2019</v>
      </c>
      <c r="H3" t="s">
        <v>355</v>
      </c>
    </row>
    <row r="4" spans="1:9">
      <c r="A4" t="s">
        <v>124</v>
      </c>
      <c r="B4" t="s">
        <v>120</v>
      </c>
      <c r="C4" t="s">
        <v>125</v>
      </c>
      <c r="D4">
        <v>1126</v>
      </c>
      <c r="E4" s="9">
        <v>3.61</v>
      </c>
      <c r="F4" s="9">
        <v>18.03</v>
      </c>
      <c r="G4">
        <v>2018</v>
      </c>
      <c r="H4" t="s">
        <v>353</v>
      </c>
      <c r="I4" t="s">
        <v>354</v>
      </c>
    </row>
    <row r="5" spans="1:9">
      <c r="A5" t="s">
        <v>124</v>
      </c>
      <c r="B5" t="s">
        <v>121</v>
      </c>
      <c r="C5" t="s">
        <v>357</v>
      </c>
      <c r="D5">
        <v>710</v>
      </c>
      <c r="E5" s="9">
        <v>4.4800000000000004</v>
      </c>
      <c r="F5" s="9">
        <v>6.97</v>
      </c>
      <c r="G5">
        <v>2019</v>
      </c>
      <c r="H5" t="s">
        <v>355</v>
      </c>
    </row>
    <row r="6" spans="1:9">
      <c r="A6" t="s">
        <v>129</v>
      </c>
      <c r="B6" t="s">
        <v>127</v>
      </c>
      <c r="C6" t="s">
        <v>130</v>
      </c>
      <c r="D6">
        <v>2680</v>
      </c>
      <c r="E6" s="9">
        <v>1.1599999999999999</v>
      </c>
      <c r="F6" s="9">
        <v>113.29</v>
      </c>
      <c r="G6">
        <v>2019</v>
      </c>
      <c r="H6" t="s">
        <v>355</v>
      </c>
    </row>
    <row r="7" spans="1:9">
      <c r="A7" t="s">
        <v>131</v>
      </c>
      <c r="B7" t="s">
        <v>127</v>
      </c>
      <c r="C7" t="s">
        <v>132</v>
      </c>
      <c r="D7" s="60">
        <v>2752</v>
      </c>
      <c r="E7" s="76">
        <v>1.39</v>
      </c>
      <c r="F7" s="76">
        <v>41.63</v>
      </c>
      <c r="G7" s="10">
        <v>2019</v>
      </c>
      <c r="H7" s="60" t="s">
        <v>355</v>
      </c>
    </row>
    <row r="8" spans="1:9">
      <c r="A8" t="s">
        <v>135</v>
      </c>
      <c r="B8" t="s">
        <v>127</v>
      </c>
      <c r="C8" t="s">
        <v>136</v>
      </c>
      <c r="D8" s="60">
        <v>7191</v>
      </c>
      <c r="E8" s="76">
        <v>0</v>
      </c>
      <c r="F8" s="76">
        <v>85.03</v>
      </c>
      <c r="G8" s="10">
        <v>2019</v>
      </c>
      <c r="H8" s="60" t="s">
        <v>355</v>
      </c>
    </row>
    <row r="10" spans="1:9">
      <c r="A10" t="s">
        <v>138</v>
      </c>
    </row>
    <row r="11" spans="1:9">
      <c r="A11" t="s">
        <v>139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H1" workbookViewId="0">
      <selection activeCell="N2" sqref="N2"/>
    </sheetView>
  </sheetViews>
  <sheetFormatPr defaultRowHeight="14.25"/>
  <cols>
    <col min="1" max="1" width="25.86328125" customWidth="1"/>
    <col min="11" max="11" width="8.86328125" customWidth="1"/>
    <col min="12" max="12" width="15.59765625" customWidth="1"/>
    <col min="13" max="13" width="11.59765625" customWidth="1"/>
    <col min="14" max="14" width="12.73046875" customWidth="1"/>
    <col min="15" max="15" width="12.59765625" customWidth="1"/>
    <col min="16" max="16" width="13.59765625" customWidth="1"/>
    <col min="17" max="17" width="10.86328125" customWidth="1"/>
    <col min="18" max="18" width="10.73046875" customWidth="1"/>
  </cols>
  <sheetData>
    <row r="1" spans="1:18" ht="55.5" customHeight="1">
      <c r="A1" s="18" t="s">
        <v>140</v>
      </c>
      <c r="B1" s="19"/>
      <c r="C1" s="19"/>
      <c r="D1" s="19"/>
      <c r="E1" s="19"/>
      <c r="F1" s="19"/>
      <c r="G1" s="19"/>
      <c r="H1" s="19"/>
      <c r="I1" s="19"/>
      <c r="L1" s="52"/>
      <c r="M1" s="52" t="s">
        <v>70</v>
      </c>
      <c r="N1" s="52" t="s">
        <v>117</v>
      </c>
      <c r="O1" s="52" t="s">
        <v>118</v>
      </c>
      <c r="P1" s="52" t="s">
        <v>141</v>
      </c>
      <c r="Q1" s="52" t="s">
        <v>142</v>
      </c>
      <c r="R1" s="52" t="s">
        <v>143</v>
      </c>
    </row>
    <row r="2" spans="1:18" ht="15.75">
      <c r="A2" s="18" t="s">
        <v>144</v>
      </c>
      <c r="B2" s="19"/>
      <c r="C2" s="19"/>
      <c r="D2" s="19"/>
      <c r="E2" s="19"/>
      <c r="F2" s="19"/>
      <c r="G2" s="19"/>
      <c r="H2" s="19"/>
      <c r="I2" s="19"/>
      <c r="L2" s="52" t="s">
        <v>131</v>
      </c>
      <c r="M2" s="53">
        <f>B24/100</f>
        <v>0.57999999999999996</v>
      </c>
      <c r="N2" s="9">
        <f>'EIA Costs'!E7</f>
        <v>1.39</v>
      </c>
      <c r="O2" s="9">
        <f>'EIA Costs'!F7</f>
        <v>41.63</v>
      </c>
      <c r="P2" s="52">
        <f>N2*M2*8760</f>
        <v>7062.311999999999</v>
      </c>
      <c r="Q2" s="52">
        <f>O2*1000</f>
        <v>41630</v>
      </c>
      <c r="R2" s="52">
        <f>P2/(P2+Q2)</f>
        <v>0.14503957010708382</v>
      </c>
    </row>
    <row r="3" spans="1:18" ht="22.5" customHeight="1">
      <c r="A3" s="20" t="s">
        <v>145</v>
      </c>
      <c r="B3" s="19"/>
      <c r="C3" s="19"/>
      <c r="D3" s="19"/>
      <c r="E3" s="19"/>
      <c r="F3" s="19"/>
      <c r="G3" s="19"/>
      <c r="H3" s="19"/>
      <c r="I3" s="19"/>
      <c r="L3" s="52" t="s">
        <v>135</v>
      </c>
      <c r="M3" s="53">
        <f>B23/100</f>
        <v>0.2</v>
      </c>
      <c r="N3" s="9">
        <f>'EIA Costs'!E8</f>
        <v>0</v>
      </c>
      <c r="O3" s="9">
        <f>'EIA Costs'!F8</f>
        <v>85.03</v>
      </c>
      <c r="P3" s="52">
        <f>N3*M3*8760</f>
        <v>0</v>
      </c>
      <c r="Q3" s="52">
        <f t="shared" ref="Q3:Q4" si="0">O3*1000</f>
        <v>85030</v>
      </c>
      <c r="R3" s="52">
        <f t="shared" ref="R3:R4" si="1">P3/(P3+Q3)</f>
        <v>0</v>
      </c>
    </row>
    <row r="4" spans="1:18" ht="23.45" customHeight="1">
      <c r="A4" s="21"/>
      <c r="B4" s="22" t="s">
        <v>146</v>
      </c>
      <c r="C4" s="22" t="s">
        <v>147</v>
      </c>
      <c r="D4" s="21"/>
      <c r="E4" s="21" t="s">
        <v>148</v>
      </c>
      <c r="F4" s="21"/>
      <c r="G4" s="22" t="s">
        <v>149</v>
      </c>
      <c r="H4" s="21"/>
      <c r="I4" s="22" t="s">
        <v>150</v>
      </c>
      <c r="L4" s="52" t="s">
        <v>129</v>
      </c>
      <c r="M4" s="53">
        <f>B17/100</f>
        <v>0.91</v>
      </c>
      <c r="N4" s="9">
        <f>'EIA Costs'!E6</f>
        <v>1.1599999999999999</v>
      </c>
      <c r="O4" s="9">
        <f>'EIA Costs'!F6</f>
        <v>113.29</v>
      </c>
      <c r="P4" s="52">
        <f t="shared" ref="P4" si="2">N4*M4*8760</f>
        <v>9247.0559999999987</v>
      </c>
      <c r="Q4" s="52">
        <f t="shared" si="0"/>
        <v>113290</v>
      </c>
      <c r="R4" s="52">
        <f t="shared" si="1"/>
        <v>7.5463343921042134E-2</v>
      </c>
    </row>
    <row r="5" spans="1:18" ht="23.25">
      <c r="A5" s="21"/>
      <c r="B5" s="23" t="s">
        <v>151</v>
      </c>
      <c r="C5" s="23" t="s">
        <v>152</v>
      </c>
      <c r="D5" s="23" t="s">
        <v>153</v>
      </c>
      <c r="E5" s="23" t="s">
        <v>154</v>
      </c>
      <c r="F5" s="23" t="s">
        <v>155</v>
      </c>
      <c r="G5" s="23" t="s">
        <v>156</v>
      </c>
      <c r="H5" s="23" t="s">
        <v>147</v>
      </c>
      <c r="I5" s="23" t="s">
        <v>157</v>
      </c>
    </row>
    <row r="6" spans="1:18">
      <c r="A6" s="24" t="s">
        <v>158</v>
      </c>
      <c r="B6" s="24" t="s">
        <v>159</v>
      </c>
      <c r="C6" s="24" t="s">
        <v>160</v>
      </c>
      <c r="D6" s="24" t="s">
        <v>161</v>
      </c>
      <c r="E6" s="24" t="s">
        <v>162</v>
      </c>
      <c r="F6" s="24" t="s">
        <v>163</v>
      </c>
      <c r="G6" s="24" t="s">
        <v>164</v>
      </c>
      <c r="H6" s="24" t="s">
        <v>165</v>
      </c>
      <c r="I6" s="25" t="s">
        <v>166</v>
      </c>
    </row>
    <row r="7" spans="1:18">
      <c r="A7" s="26" t="s">
        <v>167</v>
      </c>
      <c r="B7" s="27"/>
      <c r="C7" s="27"/>
      <c r="D7" s="27"/>
      <c r="E7" s="27"/>
      <c r="F7" s="27"/>
      <c r="G7" s="27"/>
      <c r="H7" s="27"/>
      <c r="I7" s="27"/>
    </row>
    <row r="8" spans="1:18">
      <c r="A8" s="28" t="s">
        <v>168</v>
      </c>
      <c r="B8" s="29">
        <v>85</v>
      </c>
      <c r="C8" s="30">
        <v>97.2</v>
      </c>
      <c r="D8" s="30">
        <v>9.1999999999999993</v>
      </c>
      <c r="E8" s="30">
        <v>31.9</v>
      </c>
      <c r="F8" s="30">
        <v>1.2</v>
      </c>
      <c r="G8" s="30">
        <v>139.5</v>
      </c>
      <c r="H8" s="31" t="s">
        <v>169</v>
      </c>
      <c r="I8" s="30">
        <v>139.5</v>
      </c>
    </row>
    <row r="9" spans="1:18">
      <c r="A9" s="31" t="s">
        <v>170</v>
      </c>
      <c r="B9" s="28"/>
      <c r="C9" s="28"/>
      <c r="D9" s="28"/>
      <c r="E9" s="28"/>
      <c r="F9" s="28"/>
      <c r="G9" s="28"/>
      <c r="H9" s="28"/>
      <c r="I9" s="28"/>
    </row>
    <row r="10" spans="1:18">
      <c r="A10" s="31" t="s">
        <v>171</v>
      </c>
      <c r="B10" s="29">
        <v>87</v>
      </c>
      <c r="C10" s="30">
        <v>13.9</v>
      </c>
      <c r="D10" s="30">
        <v>1.4</v>
      </c>
      <c r="E10" s="30">
        <v>41.5</v>
      </c>
      <c r="F10" s="30">
        <v>1.2</v>
      </c>
      <c r="G10" s="30">
        <v>58.1</v>
      </c>
      <c r="H10" s="31" t="s">
        <v>169</v>
      </c>
      <c r="I10" s="30">
        <v>58.1</v>
      </c>
    </row>
    <row r="11" spans="1:18">
      <c r="A11" s="31" t="s">
        <v>172</v>
      </c>
      <c r="B11" s="29">
        <v>87</v>
      </c>
      <c r="C11" s="30">
        <v>15.8</v>
      </c>
      <c r="D11" s="30">
        <v>1.3</v>
      </c>
      <c r="E11" s="30">
        <v>38.9</v>
      </c>
      <c r="F11" s="30">
        <v>1.2</v>
      </c>
      <c r="G11" s="30">
        <v>57.2</v>
      </c>
      <c r="H11" s="31" t="s">
        <v>169</v>
      </c>
      <c r="I11" s="30">
        <v>57.2</v>
      </c>
    </row>
    <row r="12" spans="1:18">
      <c r="A12" s="31" t="s">
        <v>173</v>
      </c>
      <c r="B12" s="29">
        <v>87</v>
      </c>
      <c r="C12" s="30">
        <v>29.2</v>
      </c>
      <c r="D12" s="30">
        <v>4.3</v>
      </c>
      <c r="E12" s="30">
        <v>50.1</v>
      </c>
      <c r="F12" s="30">
        <v>1.2</v>
      </c>
      <c r="G12" s="30">
        <v>84.8</v>
      </c>
      <c r="H12" s="31" t="s">
        <v>169</v>
      </c>
      <c r="I12" s="30">
        <v>84.8</v>
      </c>
    </row>
    <row r="13" spans="1:18">
      <c r="A13" s="32" t="s">
        <v>174</v>
      </c>
      <c r="B13" s="33">
        <v>30</v>
      </c>
      <c r="C13" s="34">
        <v>40.9</v>
      </c>
      <c r="D13" s="34">
        <v>6.5</v>
      </c>
      <c r="E13" s="34">
        <v>59.9</v>
      </c>
      <c r="F13" s="34">
        <v>3.4</v>
      </c>
      <c r="G13" s="34">
        <v>110.8</v>
      </c>
      <c r="H13" s="32" t="s">
        <v>169</v>
      </c>
      <c r="I13" s="34">
        <v>110.8</v>
      </c>
    </row>
    <row r="14" spans="1:18">
      <c r="A14" s="78" t="s">
        <v>175</v>
      </c>
      <c r="B14" s="78"/>
      <c r="C14" s="78"/>
      <c r="D14" s="78"/>
      <c r="E14" s="78"/>
      <c r="F14" s="78"/>
      <c r="G14" s="78"/>
      <c r="H14" s="78"/>
      <c r="I14" s="78"/>
    </row>
    <row r="15" spans="1:18">
      <c r="A15" s="35" t="s">
        <v>176</v>
      </c>
      <c r="B15" s="36">
        <v>30</v>
      </c>
      <c r="C15" s="37">
        <v>25.8</v>
      </c>
      <c r="D15" s="37">
        <v>2.5</v>
      </c>
      <c r="E15" s="37">
        <v>63</v>
      </c>
      <c r="F15" s="37">
        <v>3.4</v>
      </c>
      <c r="G15" s="37">
        <v>94.7</v>
      </c>
      <c r="H15" s="35" t="s">
        <v>169</v>
      </c>
      <c r="I15" s="37">
        <v>94.7</v>
      </c>
    </row>
    <row r="16" spans="1:18">
      <c r="A16" s="31" t="s">
        <v>177</v>
      </c>
      <c r="B16" s="29">
        <v>90</v>
      </c>
      <c r="C16" s="30">
        <v>78</v>
      </c>
      <c r="D16" s="30">
        <v>12.4</v>
      </c>
      <c r="E16" s="30">
        <v>11.3</v>
      </c>
      <c r="F16" s="30">
        <v>1.1000000000000001</v>
      </c>
      <c r="G16" s="30">
        <v>102.8</v>
      </c>
      <c r="H16" s="38" t="s">
        <v>169</v>
      </c>
      <c r="I16" s="30">
        <v>102.8</v>
      </c>
    </row>
    <row r="17" spans="1:9">
      <c r="A17" s="31" t="s">
        <v>178</v>
      </c>
      <c r="B17" s="29">
        <v>91</v>
      </c>
      <c r="C17" s="30">
        <v>30.9</v>
      </c>
      <c r="D17" s="30">
        <v>12.6</v>
      </c>
      <c r="E17" s="30">
        <v>0</v>
      </c>
      <c r="F17" s="30">
        <v>1.4</v>
      </c>
      <c r="G17" s="30">
        <v>45</v>
      </c>
      <c r="H17" s="39">
        <v>-3.1</v>
      </c>
      <c r="I17" s="30">
        <v>41.9</v>
      </c>
    </row>
    <row r="18" spans="1:9">
      <c r="A18" s="31" t="s">
        <v>179</v>
      </c>
      <c r="B18" s="29">
        <v>83</v>
      </c>
      <c r="C18" s="30">
        <v>44.9</v>
      </c>
      <c r="D18" s="30">
        <v>14.9</v>
      </c>
      <c r="E18" s="30">
        <v>35</v>
      </c>
      <c r="F18" s="30">
        <v>1.2</v>
      </c>
      <c r="G18" s="30">
        <v>96.1</v>
      </c>
      <c r="H18" s="40" t="s">
        <v>169</v>
      </c>
      <c r="I18" s="30">
        <v>96.1</v>
      </c>
    </row>
    <row r="19" spans="1:9">
      <c r="A19" s="41" t="s">
        <v>180</v>
      </c>
      <c r="B19" s="28"/>
      <c r="C19" s="28"/>
      <c r="D19" s="28"/>
      <c r="E19" s="28"/>
      <c r="F19" s="28"/>
      <c r="G19" s="28"/>
      <c r="H19" s="42"/>
      <c r="I19" s="28"/>
    </row>
    <row r="20" spans="1:9">
      <c r="A20" s="31" t="s">
        <v>181</v>
      </c>
      <c r="B20" s="29">
        <v>40</v>
      </c>
      <c r="C20" s="30">
        <v>48.5</v>
      </c>
      <c r="D20" s="30">
        <v>13.2</v>
      </c>
      <c r="E20" s="30">
        <v>0</v>
      </c>
      <c r="F20" s="30">
        <v>2.8</v>
      </c>
      <c r="G20" s="30">
        <v>64.5</v>
      </c>
      <c r="H20" s="39">
        <v>-7.6</v>
      </c>
      <c r="I20" s="30">
        <v>56.9</v>
      </c>
    </row>
    <row r="21" spans="1:9">
      <c r="A21" s="31" t="s">
        <v>182</v>
      </c>
      <c r="B21" s="29">
        <v>45</v>
      </c>
      <c r="C21" s="30">
        <v>134</v>
      </c>
      <c r="D21" s="30">
        <v>19.3</v>
      </c>
      <c r="E21" s="30">
        <v>0</v>
      </c>
      <c r="F21" s="30">
        <v>4.8</v>
      </c>
      <c r="G21" s="30">
        <v>158.1</v>
      </c>
      <c r="H21" s="39">
        <v>-11.4</v>
      </c>
      <c r="I21" s="30">
        <v>146.69999999999999</v>
      </c>
    </row>
    <row r="22" spans="1:9" ht="14.45" customHeight="1">
      <c r="A22" s="43" t="s">
        <v>183</v>
      </c>
      <c r="B22" s="44">
        <v>25</v>
      </c>
      <c r="C22" s="45">
        <v>70.7</v>
      </c>
      <c r="D22" s="45">
        <v>9.9</v>
      </c>
      <c r="E22" s="45">
        <v>0</v>
      </c>
      <c r="F22" s="45">
        <v>4.0999999999999996</v>
      </c>
      <c r="G22" s="45">
        <v>84.7</v>
      </c>
      <c r="H22" s="46">
        <v>-18.399999999999999</v>
      </c>
      <c r="I22" s="45">
        <v>66.3</v>
      </c>
    </row>
    <row r="23" spans="1:9" ht="14.45" customHeight="1">
      <c r="A23" s="43" t="s">
        <v>184</v>
      </c>
      <c r="B23" s="43">
        <v>20</v>
      </c>
      <c r="C23" s="47">
        <v>186.6</v>
      </c>
      <c r="D23" s="47">
        <v>43.3</v>
      </c>
      <c r="E23" s="47">
        <v>0</v>
      </c>
      <c r="F23" s="47">
        <v>6</v>
      </c>
      <c r="G23" s="47">
        <v>235.9</v>
      </c>
      <c r="H23" s="39">
        <v>-56</v>
      </c>
      <c r="I23" s="47">
        <v>179.9</v>
      </c>
    </row>
    <row r="24" spans="1:9" ht="14.45" customHeight="1">
      <c r="A24" s="48" t="s">
        <v>185</v>
      </c>
      <c r="B24" s="49">
        <v>58</v>
      </c>
      <c r="C24" s="50">
        <v>57.5</v>
      </c>
      <c r="D24" s="50">
        <v>3.6</v>
      </c>
      <c r="E24" s="50">
        <v>4.9000000000000004</v>
      </c>
      <c r="F24" s="50">
        <v>1.9</v>
      </c>
      <c r="G24" s="50">
        <v>67.8</v>
      </c>
      <c r="H24" s="51" t="s">
        <v>169</v>
      </c>
      <c r="I24" s="50">
        <v>67.8</v>
      </c>
    </row>
  </sheetData>
  <mergeCells count="1">
    <mergeCell ref="A14:I14"/>
  </mergeCells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4"/>
  <sheetViews>
    <sheetView topLeftCell="A103" workbookViewId="0">
      <selection activeCell="E119" sqref="E119"/>
    </sheetView>
  </sheetViews>
  <sheetFormatPr defaultRowHeight="14.25"/>
  <cols>
    <col min="1" max="1" width="21.86328125" bestFit="1" customWidth="1"/>
    <col min="2" max="2" width="21.86328125" customWidth="1"/>
  </cols>
  <sheetData>
    <row r="1" spans="1:39">
      <c r="C1" t="s">
        <v>186</v>
      </c>
    </row>
    <row r="2" spans="1:39">
      <c r="A2" t="s">
        <v>187</v>
      </c>
      <c r="B2" t="s">
        <v>188</v>
      </c>
      <c r="C2">
        <v>2014</v>
      </c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>
        <v>2024</v>
      </c>
      <c r="N2">
        <v>2025</v>
      </c>
      <c r="O2">
        <v>2026</v>
      </c>
      <c r="P2">
        <v>2027</v>
      </c>
      <c r="Q2">
        <v>2028</v>
      </c>
      <c r="R2">
        <v>2029</v>
      </c>
      <c r="S2">
        <v>2030</v>
      </c>
      <c r="T2">
        <v>2031</v>
      </c>
      <c r="U2">
        <v>2032</v>
      </c>
      <c r="V2">
        <v>2033</v>
      </c>
      <c r="W2">
        <v>2034</v>
      </c>
      <c r="X2">
        <v>2035</v>
      </c>
      <c r="Y2">
        <v>2036</v>
      </c>
      <c r="Z2">
        <v>2037</v>
      </c>
      <c r="AA2">
        <v>2038</v>
      </c>
      <c r="AB2">
        <v>2039</v>
      </c>
      <c r="AC2">
        <v>2040</v>
      </c>
      <c r="AD2">
        <v>2041</v>
      </c>
      <c r="AE2">
        <v>2042</v>
      </c>
      <c r="AF2">
        <v>2043</v>
      </c>
      <c r="AG2">
        <v>2044</v>
      </c>
      <c r="AH2">
        <v>2045</v>
      </c>
      <c r="AI2">
        <v>2046</v>
      </c>
      <c r="AJ2">
        <v>2047</v>
      </c>
      <c r="AK2">
        <v>2048</v>
      </c>
      <c r="AL2">
        <v>2049</v>
      </c>
      <c r="AM2">
        <v>2050</v>
      </c>
    </row>
    <row r="3" spans="1:39">
      <c r="A3" t="s">
        <v>189</v>
      </c>
      <c r="B3" t="s">
        <v>190</v>
      </c>
      <c r="C3">
        <v>6542.8564452168666</v>
      </c>
      <c r="D3">
        <v>6542.8564452168666</v>
      </c>
      <c r="E3">
        <v>6542.8564452168666</v>
      </c>
      <c r="F3">
        <v>6542.8564452168666</v>
      </c>
      <c r="G3">
        <v>6457.9993624358212</v>
      </c>
      <c r="H3">
        <v>6359.4154255109343</v>
      </c>
      <c r="I3">
        <v>6253.4947102646775</v>
      </c>
      <c r="J3">
        <v>6216.5690640637449</v>
      </c>
      <c r="K3">
        <v>6184.891880111777</v>
      </c>
      <c r="L3">
        <v>6153.2158156883124</v>
      </c>
      <c r="M3">
        <v>6114.6554096016016</v>
      </c>
      <c r="N3">
        <v>6081.4204111983972</v>
      </c>
      <c r="O3">
        <v>6041.6429381883763</v>
      </c>
      <c r="P3">
        <v>5992.8368575310624</v>
      </c>
      <c r="Q3">
        <v>5959.8013874549097</v>
      </c>
      <c r="R3">
        <v>5919.9652582605204</v>
      </c>
      <c r="S3">
        <v>5875.882507647294</v>
      </c>
      <c r="T3">
        <v>5836.358733733734</v>
      </c>
      <c r="U3">
        <v>5802.7311260700708</v>
      </c>
      <c r="V3">
        <v>5761.2898582617399</v>
      </c>
      <c r="W3">
        <v>5724.7067858461542</v>
      </c>
      <c r="X3">
        <v>5689.7676796240003</v>
      </c>
      <c r="Y3">
        <v>5656.0388360920915</v>
      </c>
      <c r="Z3">
        <v>5616.5109746933867</v>
      </c>
      <c r="AA3">
        <v>5583.6747603618087</v>
      </c>
      <c r="AB3">
        <v>5547.0340471460222</v>
      </c>
      <c r="AC3">
        <v>5512.4362440606674</v>
      </c>
      <c r="AD3">
        <v>5476.0916177020044</v>
      </c>
      <c r="AE3">
        <v>5439.7469913433415</v>
      </c>
      <c r="AF3">
        <v>5403.4023649846786</v>
      </c>
      <c r="AG3">
        <v>5367.0577386260156</v>
      </c>
      <c r="AH3">
        <v>5330.7131122673527</v>
      </c>
      <c r="AI3">
        <v>5294.3684859086898</v>
      </c>
      <c r="AJ3">
        <v>5258.0238595500268</v>
      </c>
      <c r="AK3">
        <v>5221.6792331913639</v>
      </c>
      <c r="AL3">
        <v>5185.334606832701</v>
      </c>
      <c r="AM3">
        <v>5148.989980474038</v>
      </c>
    </row>
    <row r="4" spans="1:39">
      <c r="A4" t="s">
        <v>189</v>
      </c>
      <c r="B4" t="s">
        <v>191</v>
      </c>
      <c r="C4">
        <v>6542.8564452168666</v>
      </c>
      <c r="D4">
        <v>6542.8564452168666</v>
      </c>
      <c r="E4">
        <v>6542.8564452168666</v>
      </c>
      <c r="F4">
        <v>6542.8564452168666</v>
      </c>
      <c r="G4">
        <v>6457.9993624358212</v>
      </c>
      <c r="H4">
        <v>6359.4154255109343</v>
      </c>
      <c r="I4">
        <v>6253.4947102646775</v>
      </c>
      <c r="J4">
        <v>6216.5690640637449</v>
      </c>
      <c r="K4">
        <v>6184.891880111777</v>
      </c>
      <c r="L4">
        <v>6153.2158156883124</v>
      </c>
      <c r="M4">
        <v>6114.6554096016016</v>
      </c>
      <c r="N4">
        <v>6081.4204111983972</v>
      </c>
      <c r="O4">
        <v>6041.6429381883763</v>
      </c>
      <c r="P4">
        <v>5992.8368575310624</v>
      </c>
      <c r="Q4">
        <v>5959.8013874549097</v>
      </c>
      <c r="R4">
        <v>5919.9652582605204</v>
      </c>
      <c r="S4">
        <v>5875.882507647294</v>
      </c>
      <c r="T4">
        <v>5836.358733733734</v>
      </c>
      <c r="U4">
        <v>5802.7311260700708</v>
      </c>
      <c r="V4">
        <v>5761.2898582617399</v>
      </c>
      <c r="W4">
        <v>5724.7067858461542</v>
      </c>
      <c r="X4">
        <v>5689.7676796240003</v>
      </c>
      <c r="Y4">
        <v>5656.0388360920915</v>
      </c>
      <c r="Z4">
        <v>5616.5109746933867</v>
      </c>
      <c r="AA4">
        <v>5583.6747603618087</v>
      </c>
      <c r="AB4">
        <v>5547.0340471460222</v>
      </c>
      <c r="AC4">
        <v>5512.4362440606674</v>
      </c>
      <c r="AD4">
        <v>5476.0916177020044</v>
      </c>
      <c r="AE4">
        <v>5439.7469913433415</v>
      </c>
      <c r="AF4">
        <v>5403.4023649846786</v>
      </c>
      <c r="AG4">
        <v>5367.0577386260156</v>
      </c>
      <c r="AH4">
        <v>5330.7131122673527</v>
      </c>
      <c r="AI4">
        <v>5294.3684859086898</v>
      </c>
      <c r="AJ4">
        <v>5258.0238595500268</v>
      </c>
      <c r="AK4">
        <v>5221.6792331913639</v>
      </c>
      <c r="AL4">
        <v>5185.334606832701</v>
      </c>
      <c r="AM4">
        <v>5148.989980474038</v>
      </c>
    </row>
    <row r="5" spans="1:39">
      <c r="A5" t="s">
        <v>189</v>
      </c>
      <c r="B5" t="s">
        <v>192</v>
      </c>
      <c r="C5">
        <v>6542.8564452168666</v>
      </c>
      <c r="D5">
        <v>6542.8564452168666</v>
      </c>
      <c r="E5">
        <v>6542.8564452168666</v>
      </c>
      <c r="F5">
        <v>6542.8564452168666</v>
      </c>
      <c r="G5">
        <v>6457.9993624358212</v>
      </c>
      <c r="H5">
        <v>6359.4154255109343</v>
      </c>
      <c r="I5">
        <v>6253.4947102646775</v>
      </c>
      <c r="J5">
        <v>6216.5690640637449</v>
      </c>
      <c r="K5">
        <v>6184.891880111777</v>
      </c>
      <c r="L5">
        <v>6153.2158156883124</v>
      </c>
      <c r="M5">
        <v>6114.6554096016016</v>
      </c>
      <c r="N5">
        <v>6081.4204111983972</v>
      </c>
      <c r="O5">
        <v>6041.6429381883763</v>
      </c>
      <c r="P5">
        <v>5992.8368575310624</v>
      </c>
      <c r="Q5">
        <v>5959.8013874549097</v>
      </c>
      <c r="R5">
        <v>5919.9652582605204</v>
      </c>
      <c r="S5">
        <v>5875.882507647294</v>
      </c>
      <c r="T5">
        <v>5836.358733733734</v>
      </c>
      <c r="U5">
        <v>5802.7311260700708</v>
      </c>
      <c r="V5">
        <v>5761.2898582617399</v>
      </c>
      <c r="W5">
        <v>5724.7067858461542</v>
      </c>
      <c r="X5">
        <v>5689.7676796240003</v>
      </c>
      <c r="Y5">
        <v>5656.0388360920915</v>
      </c>
      <c r="Z5">
        <v>5616.5109746933867</v>
      </c>
      <c r="AA5">
        <v>5583.6747603618087</v>
      </c>
      <c r="AB5">
        <v>5547.0340471460222</v>
      </c>
      <c r="AC5">
        <v>5512.4362440606674</v>
      </c>
      <c r="AD5">
        <v>5476.0916177020044</v>
      </c>
      <c r="AE5">
        <v>5439.7469913433415</v>
      </c>
      <c r="AF5">
        <v>5403.4023649846786</v>
      </c>
      <c r="AG5">
        <v>5367.0577386260156</v>
      </c>
      <c r="AH5">
        <v>5330.7131122673527</v>
      </c>
      <c r="AI5">
        <v>5294.3684859086898</v>
      </c>
      <c r="AJ5">
        <v>5258.0238595500268</v>
      </c>
      <c r="AK5">
        <v>5221.6792331913639</v>
      </c>
      <c r="AL5">
        <v>5185.334606832701</v>
      </c>
      <c r="AM5">
        <v>5148.989980474038</v>
      </c>
    </row>
    <row r="6" spans="1:39">
      <c r="A6" t="s">
        <v>189</v>
      </c>
      <c r="B6" t="s">
        <v>193</v>
      </c>
      <c r="C6">
        <v>6542.8564452168666</v>
      </c>
      <c r="D6">
        <v>6542.8564452168666</v>
      </c>
      <c r="E6">
        <v>6542.8564452168666</v>
      </c>
      <c r="F6">
        <v>6542.8564452168666</v>
      </c>
      <c r="G6">
        <v>6457.9993624358212</v>
      </c>
      <c r="H6">
        <v>6359.4154255109343</v>
      </c>
      <c r="I6">
        <v>6253.4947102646775</v>
      </c>
      <c r="J6">
        <v>6216.5690640637449</v>
      </c>
      <c r="K6">
        <v>6184.891880111777</v>
      </c>
      <c r="L6">
        <v>6153.2158156883124</v>
      </c>
      <c r="M6">
        <v>6114.6554096016016</v>
      </c>
      <c r="N6">
        <v>6081.4204111983972</v>
      </c>
      <c r="O6">
        <v>6041.6429381883763</v>
      </c>
      <c r="P6">
        <v>5992.8368575310624</v>
      </c>
      <c r="Q6">
        <v>5959.8013874549097</v>
      </c>
      <c r="R6">
        <v>5919.9652582605204</v>
      </c>
      <c r="S6">
        <v>5875.882507647294</v>
      </c>
      <c r="T6">
        <v>5836.358733733734</v>
      </c>
      <c r="U6">
        <v>5802.7311260700708</v>
      </c>
      <c r="V6">
        <v>5761.2898582617399</v>
      </c>
      <c r="W6">
        <v>5724.7067858461542</v>
      </c>
      <c r="X6">
        <v>5689.7676796240003</v>
      </c>
      <c r="Y6">
        <v>5656.0388360920915</v>
      </c>
      <c r="Z6">
        <v>5616.5109746933867</v>
      </c>
      <c r="AA6">
        <v>5583.6747603618087</v>
      </c>
      <c r="AB6">
        <v>5547.0340471460222</v>
      </c>
      <c r="AC6">
        <v>5512.4362440606674</v>
      </c>
      <c r="AD6">
        <v>5476.0916177020044</v>
      </c>
      <c r="AE6">
        <v>5439.7469913433415</v>
      </c>
      <c r="AF6">
        <v>5403.4023649846786</v>
      </c>
      <c r="AG6">
        <v>5367.0577386260156</v>
      </c>
      <c r="AH6">
        <v>5330.7131122673527</v>
      </c>
      <c r="AI6">
        <v>5294.3684859086898</v>
      </c>
      <c r="AJ6">
        <v>5258.0238595500268</v>
      </c>
      <c r="AK6">
        <v>5221.6792331913639</v>
      </c>
      <c r="AL6">
        <v>5185.334606832701</v>
      </c>
      <c r="AM6">
        <v>5148.989980474038</v>
      </c>
    </row>
    <row r="7" spans="1:39">
      <c r="A7" t="s">
        <v>189</v>
      </c>
      <c r="B7" t="s">
        <v>194</v>
      </c>
      <c r="C7">
        <v>6542.8564452168666</v>
      </c>
      <c r="D7">
        <v>6542.8564452168666</v>
      </c>
      <c r="E7">
        <v>6542.8564452168666</v>
      </c>
      <c r="F7">
        <v>6542.8564452168666</v>
      </c>
      <c r="G7">
        <v>6457.9993624358212</v>
      </c>
      <c r="H7">
        <v>6359.4154255109343</v>
      </c>
      <c r="I7">
        <v>6253.4947102646775</v>
      </c>
      <c r="J7">
        <v>6216.5690640637449</v>
      </c>
      <c r="K7">
        <v>6184.891880111777</v>
      </c>
      <c r="L7">
        <v>6153.2158156883124</v>
      </c>
      <c r="M7">
        <v>6114.6554096016016</v>
      </c>
      <c r="N7">
        <v>6081.4204111983972</v>
      </c>
      <c r="O7">
        <v>6041.6429381883763</v>
      </c>
      <c r="P7">
        <v>5992.8368575310624</v>
      </c>
      <c r="Q7">
        <v>5959.8013874549097</v>
      </c>
      <c r="R7">
        <v>5919.9652582605204</v>
      </c>
      <c r="S7">
        <v>5875.882507647294</v>
      </c>
      <c r="T7">
        <v>5836.358733733734</v>
      </c>
      <c r="U7">
        <v>5802.7311260700708</v>
      </c>
      <c r="V7">
        <v>5761.2898582617399</v>
      </c>
      <c r="W7">
        <v>5724.7067858461542</v>
      </c>
      <c r="X7">
        <v>5689.7676796240003</v>
      </c>
      <c r="Y7">
        <v>5656.0388360920915</v>
      </c>
      <c r="Z7">
        <v>5616.5109746933867</v>
      </c>
      <c r="AA7">
        <v>5583.6747603618087</v>
      </c>
      <c r="AB7">
        <v>5547.0340471460222</v>
      </c>
      <c r="AC7">
        <v>5512.4362440606674</v>
      </c>
      <c r="AD7">
        <v>5476.0916177020044</v>
      </c>
      <c r="AE7">
        <v>5439.7469913433415</v>
      </c>
      <c r="AF7">
        <v>5403.4023649846786</v>
      </c>
      <c r="AG7">
        <v>5367.0577386260156</v>
      </c>
      <c r="AH7">
        <v>5330.7131122673527</v>
      </c>
      <c r="AI7">
        <v>5294.3684859086898</v>
      </c>
      <c r="AJ7">
        <v>5258.0238595500268</v>
      </c>
      <c r="AK7">
        <v>5221.6792331913639</v>
      </c>
      <c r="AL7">
        <v>5185.334606832701</v>
      </c>
      <c r="AM7">
        <v>5148.989980474038</v>
      </c>
    </row>
    <row r="8" spans="1:39">
      <c r="A8" t="s">
        <v>189</v>
      </c>
      <c r="B8" t="s">
        <v>195</v>
      </c>
      <c r="C8">
        <v>6542.8564452168666</v>
      </c>
      <c r="D8">
        <v>6542.8564452168666</v>
      </c>
      <c r="E8">
        <v>6542.8564452168666</v>
      </c>
      <c r="F8">
        <v>6542.8564452168666</v>
      </c>
      <c r="G8">
        <v>6457.9993624358212</v>
      </c>
      <c r="H8">
        <v>6359.4154255109343</v>
      </c>
      <c r="I8">
        <v>6253.4947102646775</v>
      </c>
      <c r="J8">
        <v>6216.5690640637449</v>
      </c>
      <c r="K8">
        <v>6184.891880111777</v>
      </c>
      <c r="L8">
        <v>6153.2158156883124</v>
      </c>
      <c r="M8">
        <v>6114.6554096016016</v>
      </c>
      <c r="N8">
        <v>6081.4204111983972</v>
      </c>
      <c r="O8">
        <v>6041.6429381883763</v>
      </c>
      <c r="P8">
        <v>5992.8368575310624</v>
      </c>
      <c r="Q8">
        <v>5959.8013874549097</v>
      </c>
      <c r="R8">
        <v>5919.9652582605204</v>
      </c>
      <c r="S8">
        <v>5875.882507647294</v>
      </c>
      <c r="T8">
        <v>5836.358733733734</v>
      </c>
      <c r="U8">
        <v>5802.7311260700708</v>
      </c>
      <c r="V8">
        <v>5761.2898582617399</v>
      </c>
      <c r="W8">
        <v>5724.7067858461542</v>
      </c>
      <c r="X8">
        <v>5689.7676796240003</v>
      </c>
      <c r="Y8">
        <v>5656.0388360920915</v>
      </c>
      <c r="Z8">
        <v>5616.5109746933867</v>
      </c>
      <c r="AA8">
        <v>5583.6747603618087</v>
      </c>
      <c r="AB8">
        <v>5547.0340471460222</v>
      </c>
      <c r="AC8">
        <v>5512.4362440606674</v>
      </c>
      <c r="AD8">
        <v>5476.0916177020044</v>
      </c>
      <c r="AE8">
        <v>5439.7469913433415</v>
      </c>
      <c r="AF8">
        <v>5403.4023649846786</v>
      </c>
      <c r="AG8">
        <v>5367.0577386260156</v>
      </c>
      <c r="AH8">
        <v>5330.7131122673527</v>
      </c>
      <c r="AI8">
        <v>5294.3684859086898</v>
      </c>
      <c r="AJ8">
        <v>5258.0238595500268</v>
      </c>
      <c r="AK8">
        <v>5221.6792331913639</v>
      </c>
      <c r="AL8">
        <v>5185.334606832701</v>
      </c>
      <c r="AM8">
        <v>5148.989980474038</v>
      </c>
    </row>
    <row r="9" spans="1:39">
      <c r="A9" t="s">
        <v>122</v>
      </c>
      <c r="B9" t="s">
        <v>196</v>
      </c>
      <c r="C9">
        <v>1016.669044128</v>
      </c>
      <c r="D9">
        <v>1016.669044128</v>
      </c>
      <c r="E9">
        <v>1016.669044128</v>
      </c>
      <c r="F9">
        <v>1004.3090131037322</v>
      </c>
      <c r="G9">
        <v>1001.5170920424891</v>
      </c>
      <c r="H9">
        <v>997.94746053350377</v>
      </c>
      <c r="I9">
        <v>991.86506413795507</v>
      </c>
      <c r="J9">
        <v>988.94568391427163</v>
      </c>
      <c r="K9">
        <v>985.9727361309823</v>
      </c>
      <c r="L9">
        <v>983.0529453573713</v>
      </c>
      <c r="M9">
        <v>980.13449520908136</v>
      </c>
      <c r="N9">
        <v>977.08634725065338</v>
      </c>
      <c r="O9">
        <v>968.37952682675302</v>
      </c>
      <c r="P9">
        <v>961.6701153951326</v>
      </c>
      <c r="Q9">
        <v>955.44918198469429</v>
      </c>
      <c r="R9">
        <v>951.02484871321496</v>
      </c>
      <c r="S9">
        <v>946.32216966288581</v>
      </c>
      <c r="T9">
        <v>942.05678926288329</v>
      </c>
      <c r="U9">
        <v>938.66291815881618</v>
      </c>
      <c r="V9">
        <v>935.64632067416107</v>
      </c>
      <c r="W9">
        <v>932.58592016186583</v>
      </c>
      <c r="X9">
        <v>929.15231129402503</v>
      </c>
      <c r="Y9">
        <v>925.69544141063329</v>
      </c>
      <c r="Z9">
        <v>922.71316258789727</v>
      </c>
      <c r="AA9">
        <v>919.0731760539195</v>
      </c>
      <c r="AB9">
        <v>916.08647289146745</v>
      </c>
      <c r="AC9">
        <v>912.66520676931179</v>
      </c>
      <c r="AD9">
        <v>909.29951047995439</v>
      </c>
      <c r="AE9">
        <v>905.93381419059699</v>
      </c>
      <c r="AF9">
        <v>902.56811790123959</v>
      </c>
      <c r="AG9">
        <v>899.20242161188219</v>
      </c>
      <c r="AH9">
        <v>895.83672532252479</v>
      </c>
      <c r="AI9">
        <v>892.47102903316738</v>
      </c>
      <c r="AJ9">
        <v>889.10533274380998</v>
      </c>
      <c r="AK9">
        <v>885.73963645445258</v>
      </c>
      <c r="AL9">
        <v>882.37394016509518</v>
      </c>
      <c r="AM9">
        <v>879.00824387573778</v>
      </c>
    </row>
    <row r="10" spans="1:39">
      <c r="A10" t="s">
        <v>122</v>
      </c>
      <c r="B10" t="s">
        <v>197</v>
      </c>
      <c r="C10">
        <v>1016.669044128</v>
      </c>
      <c r="D10">
        <v>1016.669044128</v>
      </c>
      <c r="E10">
        <v>1016.669044128</v>
      </c>
      <c r="F10">
        <v>1004.3090131037322</v>
      </c>
      <c r="G10">
        <v>1001.5170920424891</v>
      </c>
      <c r="H10">
        <v>997.94746053350377</v>
      </c>
      <c r="I10">
        <v>991.86506413795507</v>
      </c>
      <c r="J10">
        <v>988.94568391427163</v>
      </c>
      <c r="K10">
        <v>985.9727361309823</v>
      </c>
      <c r="L10">
        <v>983.0529453573713</v>
      </c>
      <c r="M10">
        <v>980.13449520908136</v>
      </c>
      <c r="N10">
        <v>977.08634725065338</v>
      </c>
      <c r="O10">
        <v>968.37952682675302</v>
      </c>
      <c r="P10">
        <v>961.6701153951326</v>
      </c>
      <c r="Q10">
        <v>955.44918198469429</v>
      </c>
      <c r="R10">
        <v>951.02484871321496</v>
      </c>
      <c r="S10">
        <v>946.32216966288581</v>
      </c>
      <c r="T10">
        <v>942.05678926288329</v>
      </c>
      <c r="U10">
        <v>938.66291815881618</v>
      </c>
      <c r="V10">
        <v>935.64632067416107</v>
      </c>
      <c r="W10">
        <v>932.58592016186583</v>
      </c>
      <c r="X10">
        <v>929.15231129402503</v>
      </c>
      <c r="Y10">
        <v>925.69544141063329</v>
      </c>
      <c r="Z10">
        <v>922.71316258789727</v>
      </c>
      <c r="AA10">
        <v>919.0731760539195</v>
      </c>
      <c r="AB10">
        <v>916.08647289146745</v>
      </c>
      <c r="AC10">
        <v>912.66520676931179</v>
      </c>
      <c r="AD10">
        <v>909.29951047995439</v>
      </c>
      <c r="AE10">
        <v>905.93381419059699</v>
      </c>
      <c r="AF10">
        <v>902.56811790123959</v>
      </c>
      <c r="AG10">
        <v>899.20242161188219</v>
      </c>
      <c r="AH10">
        <v>895.83672532252479</v>
      </c>
      <c r="AI10">
        <v>892.47102903316738</v>
      </c>
      <c r="AJ10">
        <v>889.10533274380998</v>
      </c>
      <c r="AK10">
        <v>885.73963645445258</v>
      </c>
      <c r="AL10">
        <v>882.37394016509518</v>
      </c>
      <c r="AM10">
        <v>879.00824387573778</v>
      </c>
    </row>
    <row r="11" spans="1:39">
      <c r="A11" t="s">
        <v>122</v>
      </c>
      <c r="B11" t="s">
        <v>198</v>
      </c>
      <c r="C11">
        <v>1016.669044128</v>
      </c>
      <c r="D11">
        <v>1016.669044128</v>
      </c>
      <c r="E11">
        <v>1016.669044128</v>
      </c>
      <c r="F11">
        <v>1004.3090131037322</v>
      </c>
      <c r="G11">
        <v>1001.5170920424891</v>
      </c>
      <c r="H11">
        <v>997.94746053350377</v>
      </c>
      <c r="I11">
        <v>991.86506413795507</v>
      </c>
      <c r="J11">
        <v>988.94568391427163</v>
      </c>
      <c r="K11">
        <v>985.9727361309823</v>
      </c>
      <c r="L11">
        <v>983.0529453573713</v>
      </c>
      <c r="M11">
        <v>980.13449520908136</v>
      </c>
      <c r="N11">
        <v>977.08634725065338</v>
      </c>
      <c r="O11">
        <v>968.37952682675302</v>
      </c>
      <c r="P11">
        <v>961.6701153951326</v>
      </c>
      <c r="Q11">
        <v>955.44918198469429</v>
      </c>
      <c r="R11">
        <v>951.02484871321496</v>
      </c>
      <c r="S11">
        <v>946.32216966288581</v>
      </c>
      <c r="T11">
        <v>942.05678926288329</v>
      </c>
      <c r="U11">
        <v>938.66291815881618</v>
      </c>
      <c r="V11">
        <v>935.64632067416107</v>
      </c>
      <c r="W11">
        <v>932.58592016186583</v>
      </c>
      <c r="X11">
        <v>929.15231129402503</v>
      </c>
      <c r="Y11">
        <v>925.69544141063329</v>
      </c>
      <c r="Z11">
        <v>922.71316258789727</v>
      </c>
      <c r="AA11">
        <v>919.0731760539195</v>
      </c>
      <c r="AB11">
        <v>916.08647289146745</v>
      </c>
      <c r="AC11">
        <v>912.66520676931179</v>
      </c>
      <c r="AD11">
        <v>909.29951047995439</v>
      </c>
      <c r="AE11">
        <v>905.93381419059699</v>
      </c>
      <c r="AF11">
        <v>902.56811790123959</v>
      </c>
      <c r="AG11">
        <v>899.20242161188219</v>
      </c>
      <c r="AH11">
        <v>895.83672532252479</v>
      </c>
      <c r="AI11">
        <v>892.47102903316738</v>
      </c>
      <c r="AJ11">
        <v>889.10533274380998</v>
      </c>
      <c r="AK11">
        <v>885.73963645445258</v>
      </c>
      <c r="AL11">
        <v>882.37394016509518</v>
      </c>
      <c r="AM11">
        <v>879.00824387573778</v>
      </c>
    </row>
    <row r="12" spans="1:39">
      <c r="A12" t="s">
        <v>131</v>
      </c>
      <c r="B12" t="s">
        <v>199</v>
      </c>
      <c r="C12">
        <v>5937.8628529899997</v>
      </c>
      <c r="D12">
        <v>5937.8628529899997</v>
      </c>
      <c r="E12">
        <v>5848.7949101951499</v>
      </c>
      <c r="F12">
        <v>5759.7269674002991</v>
      </c>
      <c r="G12">
        <v>5670.6590246054493</v>
      </c>
      <c r="H12">
        <v>5581.5910818105995</v>
      </c>
      <c r="I12">
        <v>5492.5231390157496</v>
      </c>
      <c r="J12">
        <v>5403.4551962208989</v>
      </c>
      <c r="K12">
        <v>5314.3872534260499</v>
      </c>
      <c r="L12">
        <v>5225.3193106312001</v>
      </c>
      <c r="M12">
        <v>5136.2513678363493</v>
      </c>
      <c r="N12">
        <v>5047.1834250414995</v>
      </c>
      <c r="O12">
        <v>4958.1154822466497</v>
      </c>
      <c r="P12">
        <v>4869.0475394517998</v>
      </c>
      <c r="Q12">
        <v>4779.9795966569491</v>
      </c>
      <c r="R12">
        <v>4690.9116538620992</v>
      </c>
      <c r="S12">
        <v>4601.8437110672494</v>
      </c>
      <c r="T12">
        <v>4512.7757682723995</v>
      </c>
      <c r="U12">
        <v>4423.7078254775488</v>
      </c>
      <c r="V12">
        <v>4334.6398826826999</v>
      </c>
      <c r="W12">
        <v>4245.57193988785</v>
      </c>
      <c r="X12">
        <v>4156.5039970929993</v>
      </c>
      <c r="Y12">
        <v>4135.5235483457682</v>
      </c>
      <c r="Z12">
        <v>4114.5430995985371</v>
      </c>
      <c r="AA12">
        <v>4093.562650851306</v>
      </c>
      <c r="AB12">
        <v>4072.5822021040744</v>
      </c>
      <c r="AC12">
        <v>4051.6017533568433</v>
      </c>
      <c r="AD12">
        <v>4030.6213046096118</v>
      </c>
      <c r="AE12">
        <v>4009.6408558623807</v>
      </c>
      <c r="AF12">
        <v>3988.6604071151487</v>
      </c>
      <c r="AG12">
        <v>3967.6799583679181</v>
      </c>
      <c r="AH12">
        <v>3946.6995096206861</v>
      </c>
      <c r="AI12">
        <v>3925.7190608734554</v>
      </c>
      <c r="AJ12">
        <v>3904.7386121262234</v>
      </c>
      <c r="AK12">
        <v>3883.7581633789928</v>
      </c>
      <c r="AL12">
        <v>3862.7777146317617</v>
      </c>
      <c r="AM12">
        <v>3841.7972658845301</v>
      </c>
    </row>
    <row r="13" spans="1:39">
      <c r="A13" t="s">
        <v>131</v>
      </c>
      <c r="B13" t="s">
        <v>200</v>
      </c>
      <c r="C13">
        <v>5937.8628529899997</v>
      </c>
      <c r="D13">
        <v>5937.8628529899997</v>
      </c>
      <c r="E13">
        <v>5937.8628529899997</v>
      </c>
      <c r="F13">
        <v>5937.8628529899997</v>
      </c>
      <c r="G13">
        <v>5937.8628529899997</v>
      </c>
      <c r="H13">
        <v>5937.8628529899997</v>
      </c>
      <c r="I13">
        <v>5937.8628529899997</v>
      </c>
      <c r="J13">
        <v>5937.8628529899997</v>
      </c>
      <c r="K13">
        <v>5937.8628529899997</v>
      </c>
      <c r="L13">
        <v>5937.8628529899997</v>
      </c>
      <c r="M13">
        <v>5937.8628529899997</v>
      </c>
      <c r="N13">
        <v>5937.8628529899997</v>
      </c>
      <c r="O13">
        <v>5937.8628529899997</v>
      </c>
      <c r="P13">
        <v>5937.8628529899997</v>
      </c>
      <c r="Q13">
        <v>5937.8628529899997</v>
      </c>
      <c r="R13">
        <v>5937.8628529899997</v>
      </c>
      <c r="S13">
        <v>5937.8628529899997</v>
      </c>
      <c r="T13">
        <v>5937.8628529899997</v>
      </c>
      <c r="U13">
        <v>5937.8628529899997</v>
      </c>
      <c r="V13">
        <v>5937.8628529899997</v>
      </c>
      <c r="W13">
        <v>5937.8628529899997</v>
      </c>
      <c r="X13">
        <v>5937.8628529899997</v>
      </c>
      <c r="Y13">
        <v>5937.8628529899997</v>
      </c>
      <c r="Z13">
        <v>5937.8628529899997</v>
      </c>
      <c r="AA13">
        <v>5937.8628529899997</v>
      </c>
      <c r="AB13">
        <v>5937.8628529899997</v>
      </c>
      <c r="AC13">
        <v>5937.8628529899997</v>
      </c>
      <c r="AD13">
        <v>5937.8628529899997</v>
      </c>
      <c r="AE13">
        <v>5937.8628529899997</v>
      </c>
      <c r="AF13">
        <v>5937.8628529899997</v>
      </c>
      <c r="AG13">
        <v>5937.8628529899997</v>
      </c>
      <c r="AH13">
        <v>5937.8628529899997</v>
      </c>
      <c r="AI13">
        <v>5937.8628529899997</v>
      </c>
      <c r="AJ13">
        <v>5937.8628529899997</v>
      </c>
      <c r="AK13">
        <v>5937.8628529899997</v>
      </c>
      <c r="AL13">
        <v>5937.8628529899997</v>
      </c>
      <c r="AM13">
        <v>5937.8628529899997</v>
      </c>
    </row>
    <row r="14" spans="1:39">
      <c r="A14" t="s">
        <v>131</v>
      </c>
      <c r="B14" t="s">
        <v>201</v>
      </c>
      <c r="C14">
        <v>5937.8628529899997</v>
      </c>
      <c r="D14">
        <v>5937.8628529899997</v>
      </c>
      <c r="E14">
        <v>5937.8628529899997</v>
      </c>
      <c r="F14">
        <v>5937.8628529899997</v>
      </c>
      <c r="G14">
        <v>5937.8628529899997</v>
      </c>
      <c r="H14">
        <v>5937.8628529899997</v>
      </c>
      <c r="I14">
        <v>5937.8628529899997</v>
      </c>
      <c r="J14">
        <v>5937.8628529899997</v>
      </c>
      <c r="K14">
        <v>5937.8628529899997</v>
      </c>
      <c r="L14">
        <v>5937.8628529899997</v>
      </c>
      <c r="M14">
        <v>5937.8628529899997</v>
      </c>
      <c r="N14">
        <v>5937.8628529899997</v>
      </c>
      <c r="O14">
        <v>5937.8628529899997</v>
      </c>
      <c r="P14">
        <v>5937.8628529899997</v>
      </c>
      <c r="Q14">
        <v>5937.8628529899997</v>
      </c>
      <c r="R14">
        <v>5937.8628529899997</v>
      </c>
      <c r="S14">
        <v>5937.8628529899997</v>
      </c>
      <c r="T14">
        <v>5937.8628529899997</v>
      </c>
      <c r="U14">
        <v>5937.8628529899997</v>
      </c>
      <c r="V14">
        <v>5937.8628529899997</v>
      </c>
      <c r="W14">
        <v>5937.8628529899997</v>
      </c>
      <c r="X14">
        <v>5937.8628529899997</v>
      </c>
      <c r="Y14">
        <v>5937.8628529899997</v>
      </c>
      <c r="Z14">
        <v>5937.8628529899997</v>
      </c>
      <c r="AA14">
        <v>5937.8628529899997</v>
      </c>
      <c r="AB14">
        <v>5937.8628529899997</v>
      </c>
      <c r="AC14">
        <v>5937.8628529899997</v>
      </c>
      <c r="AD14">
        <v>5937.8628529899997</v>
      </c>
      <c r="AE14">
        <v>5937.8628529899997</v>
      </c>
      <c r="AF14">
        <v>5937.8628529899997</v>
      </c>
      <c r="AG14">
        <v>5937.8628529899997</v>
      </c>
      <c r="AH14">
        <v>5937.8628529899997</v>
      </c>
      <c r="AI14">
        <v>5937.8628529899997</v>
      </c>
      <c r="AJ14">
        <v>5937.8628529899997</v>
      </c>
      <c r="AK14">
        <v>5937.8628529899997</v>
      </c>
      <c r="AL14">
        <v>5937.8628529899997</v>
      </c>
      <c r="AM14">
        <v>5937.8628529899997</v>
      </c>
    </row>
    <row r="15" spans="1:39">
      <c r="A15" t="s">
        <v>131</v>
      </c>
      <c r="B15" t="s">
        <v>202</v>
      </c>
      <c r="C15">
        <v>5404.5923246599996</v>
      </c>
      <c r="D15">
        <v>5404.5923246599996</v>
      </c>
      <c r="E15">
        <v>5323.5234397900995</v>
      </c>
      <c r="F15">
        <v>5242.4545549201994</v>
      </c>
      <c r="G15">
        <v>5161.3856700502993</v>
      </c>
      <c r="H15">
        <v>5080.3167851803992</v>
      </c>
      <c r="I15">
        <v>4999.2479003105</v>
      </c>
      <c r="J15">
        <v>4918.179015440599</v>
      </c>
      <c r="K15">
        <v>4837.1101305706998</v>
      </c>
      <c r="L15">
        <v>4756.0412457007997</v>
      </c>
      <c r="M15">
        <v>4674.9723608308996</v>
      </c>
      <c r="N15">
        <v>4593.9034759609995</v>
      </c>
      <c r="O15">
        <v>4512.8345910910994</v>
      </c>
      <c r="P15">
        <v>4431.7657062211993</v>
      </c>
      <c r="Q15">
        <v>4350.6968213512991</v>
      </c>
      <c r="R15">
        <v>4269.627936481399</v>
      </c>
      <c r="S15">
        <v>4188.5590516114989</v>
      </c>
      <c r="T15">
        <v>4107.4901667415998</v>
      </c>
      <c r="U15">
        <v>4026.4212818716992</v>
      </c>
      <c r="V15">
        <v>3945.3523970017995</v>
      </c>
      <c r="W15">
        <v>3864.2835121318994</v>
      </c>
      <c r="X15">
        <v>3783.2146272619993</v>
      </c>
      <c r="Y15">
        <v>3764.1184010482011</v>
      </c>
      <c r="Z15">
        <v>3745.022174834402</v>
      </c>
      <c r="AA15">
        <v>3725.9259486206038</v>
      </c>
      <c r="AB15">
        <v>3706.8297224068046</v>
      </c>
      <c r="AC15">
        <v>3687.7334961930064</v>
      </c>
      <c r="AD15">
        <v>3668.6372699792073</v>
      </c>
      <c r="AE15">
        <v>3649.5410437654091</v>
      </c>
      <c r="AF15">
        <v>3630.44481755161</v>
      </c>
      <c r="AG15">
        <v>3611.3485913378117</v>
      </c>
      <c r="AH15">
        <v>3592.2523651240131</v>
      </c>
      <c r="AI15">
        <v>3573.1561389102144</v>
      </c>
      <c r="AJ15">
        <v>3554.0599126964157</v>
      </c>
      <c r="AK15">
        <v>3534.963686482617</v>
      </c>
      <c r="AL15">
        <v>3515.8674602688188</v>
      </c>
      <c r="AM15">
        <v>3496.7712340550197</v>
      </c>
    </row>
    <row r="16" spans="1:39">
      <c r="A16" t="s">
        <v>131</v>
      </c>
      <c r="B16" t="s">
        <v>203</v>
      </c>
      <c r="C16">
        <v>5404.5923246599996</v>
      </c>
      <c r="D16">
        <v>5404.5923246599996</v>
      </c>
      <c r="E16">
        <v>5404.5923246599996</v>
      </c>
      <c r="F16">
        <v>5404.5923246599996</v>
      </c>
      <c r="G16">
        <v>5404.5923246599996</v>
      </c>
      <c r="H16">
        <v>5404.5923246599996</v>
      </c>
      <c r="I16">
        <v>5404.5923246599996</v>
      </c>
      <c r="J16">
        <v>5404.5923246599996</v>
      </c>
      <c r="K16">
        <v>5404.5923246599996</v>
      </c>
      <c r="L16">
        <v>5404.5923246599996</v>
      </c>
      <c r="M16">
        <v>5404.5923246599996</v>
      </c>
      <c r="N16">
        <v>5404.5923246599996</v>
      </c>
      <c r="O16">
        <v>5404.5923246599996</v>
      </c>
      <c r="P16">
        <v>5404.5923246599996</v>
      </c>
      <c r="Q16">
        <v>5404.5923246599996</v>
      </c>
      <c r="R16">
        <v>5404.5923246599996</v>
      </c>
      <c r="S16">
        <v>5404.5923246599996</v>
      </c>
      <c r="T16">
        <v>5404.5923246599996</v>
      </c>
      <c r="U16">
        <v>5404.5923246599996</v>
      </c>
      <c r="V16">
        <v>5404.5923246599996</v>
      </c>
      <c r="W16">
        <v>5404.5923246599996</v>
      </c>
      <c r="X16">
        <v>5404.5923246599996</v>
      </c>
      <c r="Y16">
        <v>5404.5923246599996</v>
      </c>
      <c r="Z16">
        <v>5404.5923246599996</v>
      </c>
      <c r="AA16">
        <v>5404.5923246599996</v>
      </c>
      <c r="AB16">
        <v>5404.5923246599996</v>
      </c>
      <c r="AC16">
        <v>5404.5923246599996</v>
      </c>
      <c r="AD16">
        <v>5404.5923246599996</v>
      </c>
      <c r="AE16">
        <v>5404.5923246599996</v>
      </c>
      <c r="AF16">
        <v>5404.5923246599996</v>
      </c>
      <c r="AG16">
        <v>5404.5923246599996</v>
      </c>
      <c r="AH16">
        <v>5404.5923246599996</v>
      </c>
      <c r="AI16">
        <v>5404.5923246599996</v>
      </c>
      <c r="AJ16">
        <v>5404.5923246599996</v>
      </c>
      <c r="AK16">
        <v>5404.5923246599996</v>
      </c>
      <c r="AL16">
        <v>5404.5923246599996</v>
      </c>
      <c r="AM16">
        <v>5404.5923246599996</v>
      </c>
    </row>
    <row r="17" spans="1:39">
      <c r="A17" t="s">
        <v>131</v>
      </c>
      <c r="B17" t="s">
        <v>204</v>
      </c>
      <c r="C17">
        <v>5404.5923246599996</v>
      </c>
      <c r="D17">
        <v>5404.5923246599996</v>
      </c>
      <c r="E17">
        <v>5404.5923246599996</v>
      </c>
      <c r="F17">
        <v>5404.5923246599996</v>
      </c>
      <c r="G17">
        <v>5404.5923246599996</v>
      </c>
      <c r="H17">
        <v>5404.5923246599996</v>
      </c>
      <c r="I17">
        <v>5404.5923246599996</v>
      </c>
      <c r="J17">
        <v>5404.5923246599996</v>
      </c>
      <c r="K17">
        <v>5404.5923246599996</v>
      </c>
      <c r="L17">
        <v>5404.5923246599996</v>
      </c>
      <c r="M17">
        <v>5404.5923246599996</v>
      </c>
      <c r="N17">
        <v>5404.5923246599996</v>
      </c>
      <c r="O17">
        <v>5404.5923246599996</v>
      </c>
      <c r="P17">
        <v>5404.5923246599996</v>
      </c>
      <c r="Q17">
        <v>5404.5923246599996</v>
      </c>
      <c r="R17">
        <v>5404.5923246599996</v>
      </c>
      <c r="S17">
        <v>5404.5923246599996</v>
      </c>
      <c r="T17">
        <v>5404.5923246599996</v>
      </c>
      <c r="U17">
        <v>5404.5923246599996</v>
      </c>
      <c r="V17">
        <v>5404.5923246599996</v>
      </c>
      <c r="W17">
        <v>5404.5923246599996</v>
      </c>
      <c r="X17">
        <v>5404.5923246599996</v>
      </c>
      <c r="Y17">
        <v>5404.5923246599996</v>
      </c>
      <c r="Z17">
        <v>5404.5923246599996</v>
      </c>
      <c r="AA17">
        <v>5404.5923246599996</v>
      </c>
      <c r="AB17">
        <v>5404.5923246599996</v>
      </c>
      <c r="AC17">
        <v>5404.5923246599996</v>
      </c>
      <c r="AD17">
        <v>5404.5923246599996</v>
      </c>
      <c r="AE17">
        <v>5404.5923246599996</v>
      </c>
      <c r="AF17">
        <v>5404.5923246599996</v>
      </c>
      <c r="AG17">
        <v>5404.5923246599996</v>
      </c>
      <c r="AH17">
        <v>5404.5923246599996</v>
      </c>
      <c r="AI17">
        <v>5404.5923246599996</v>
      </c>
      <c r="AJ17">
        <v>5404.5923246599996</v>
      </c>
      <c r="AK17">
        <v>5404.5923246599996</v>
      </c>
      <c r="AL17">
        <v>5404.5923246599996</v>
      </c>
      <c r="AM17">
        <v>5404.5923246599996</v>
      </c>
    </row>
    <row r="18" spans="1:39">
      <c r="A18" t="s">
        <v>131</v>
      </c>
      <c r="B18" t="s">
        <v>205</v>
      </c>
      <c r="C18">
        <v>3976.7149884099999</v>
      </c>
      <c r="D18">
        <v>3976.7149884099999</v>
      </c>
      <c r="E18">
        <v>3927.0060510548751</v>
      </c>
      <c r="F18">
        <v>3877.2971136997498</v>
      </c>
      <c r="G18">
        <v>3827.588176344625</v>
      </c>
      <c r="H18">
        <v>3777.8792389894998</v>
      </c>
      <c r="I18">
        <v>3728.1703016343749</v>
      </c>
      <c r="J18">
        <v>3678.4613642792501</v>
      </c>
      <c r="K18">
        <v>3628.7524269241248</v>
      </c>
      <c r="L18">
        <v>3579.043489569</v>
      </c>
      <c r="M18">
        <v>3529.3345522138748</v>
      </c>
      <c r="N18">
        <v>3479.6256148587499</v>
      </c>
      <c r="O18">
        <v>3429.9166775036251</v>
      </c>
      <c r="P18">
        <v>3380.2077401484999</v>
      </c>
      <c r="Q18">
        <v>3330.498802793375</v>
      </c>
      <c r="R18">
        <v>3280.7898654382498</v>
      </c>
      <c r="S18">
        <v>3231.0809280831249</v>
      </c>
      <c r="T18">
        <v>3181.3719907280001</v>
      </c>
      <c r="U18">
        <v>3131.6630533728749</v>
      </c>
      <c r="V18">
        <v>3081.95411601775</v>
      </c>
      <c r="W18">
        <v>3032.2451786626248</v>
      </c>
      <c r="X18">
        <v>2982.5362413074999</v>
      </c>
      <c r="Y18">
        <v>2962.1224377003286</v>
      </c>
      <c r="Z18">
        <v>2941.7086340931573</v>
      </c>
      <c r="AA18">
        <v>2921.294830485986</v>
      </c>
      <c r="AB18">
        <v>2900.8810268788147</v>
      </c>
      <c r="AC18">
        <v>2880.4672232716434</v>
      </c>
      <c r="AD18">
        <v>2860.0534196644721</v>
      </c>
      <c r="AE18">
        <v>2839.6396160573004</v>
      </c>
      <c r="AF18">
        <v>2819.2258124501291</v>
      </c>
      <c r="AG18">
        <v>2798.8120088429578</v>
      </c>
      <c r="AH18">
        <v>2778.3982052357865</v>
      </c>
      <c r="AI18">
        <v>2757.9844016286152</v>
      </c>
      <c r="AJ18">
        <v>2737.5705980214439</v>
      </c>
      <c r="AK18">
        <v>2717.1567944142726</v>
      </c>
      <c r="AL18">
        <v>2696.7429908071013</v>
      </c>
      <c r="AM18">
        <v>2676.3291871999299</v>
      </c>
    </row>
    <row r="19" spans="1:39">
      <c r="A19" t="s">
        <v>131</v>
      </c>
      <c r="B19" t="s">
        <v>206</v>
      </c>
      <c r="C19">
        <v>3976.7149884099999</v>
      </c>
      <c r="D19">
        <v>3976.7149884099999</v>
      </c>
      <c r="E19">
        <v>3976.7149884099999</v>
      </c>
      <c r="F19">
        <v>3976.7149884099999</v>
      </c>
      <c r="G19">
        <v>3976.7149884099999</v>
      </c>
      <c r="H19">
        <v>3976.7149884099999</v>
      </c>
      <c r="I19">
        <v>3976.7149884099999</v>
      </c>
      <c r="J19">
        <v>3976.7149884099999</v>
      </c>
      <c r="K19">
        <v>3976.7149884099999</v>
      </c>
      <c r="L19">
        <v>3976.7149884099999</v>
      </c>
      <c r="M19">
        <v>3976.7149884099999</v>
      </c>
      <c r="N19">
        <v>3976.7149884099999</v>
      </c>
      <c r="O19">
        <v>3976.7149884099999</v>
      </c>
      <c r="P19">
        <v>3976.7149884099999</v>
      </c>
      <c r="Q19">
        <v>3976.7149884099999</v>
      </c>
      <c r="R19">
        <v>3976.7149884099999</v>
      </c>
      <c r="S19">
        <v>3976.7149884099999</v>
      </c>
      <c r="T19">
        <v>3976.7149884099999</v>
      </c>
      <c r="U19">
        <v>3976.7149884099999</v>
      </c>
      <c r="V19">
        <v>3976.7149884099999</v>
      </c>
      <c r="W19">
        <v>3976.7149884099999</v>
      </c>
      <c r="X19">
        <v>3976.7149884099999</v>
      </c>
      <c r="Y19">
        <v>3976.7149884099999</v>
      </c>
      <c r="Z19">
        <v>3976.7149884099999</v>
      </c>
      <c r="AA19">
        <v>3976.7149884099999</v>
      </c>
      <c r="AB19">
        <v>3976.7149884099999</v>
      </c>
      <c r="AC19">
        <v>3976.7149884099999</v>
      </c>
      <c r="AD19">
        <v>3976.7149884099999</v>
      </c>
      <c r="AE19">
        <v>3976.7149884099999</v>
      </c>
      <c r="AF19">
        <v>3976.7149884099999</v>
      </c>
      <c r="AG19">
        <v>3976.7149884099999</v>
      </c>
      <c r="AH19">
        <v>3976.7149884099999</v>
      </c>
      <c r="AI19">
        <v>3976.7149884099999</v>
      </c>
      <c r="AJ19">
        <v>3976.7149884099999</v>
      </c>
      <c r="AK19">
        <v>3976.7149884099999</v>
      </c>
      <c r="AL19">
        <v>3976.7149884099999</v>
      </c>
      <c r="AM19">
        <v>3976.7149884099999</v>
      </c>
    </row>
    <row r="20" spans="1:39">
      <c r="A20" t="s">
        <v>131</v>
      </c>
      <c r="B20" t="s">
        <v>207</v>
      </c>
      <c r="C20">
        <v>3976.7149884099999</v>
      </c>
      <c r="D20">
        <v>3976.7149884099999</v>
      </c>
      <c r="E20">
        <v>3976.7149884099999</v>
      </c>
      <c r="F20">
        <v>3976.7149884099999</v>
      </c>
      <c r="G20">
        <v>3976.7149884099999</v>
      </c>
      <c r="H20">
        <v>3976.7149884099999</v>
      </c>
      <c r="I20">
        <v>3976.7149884099999</v>
      </c>
      <c r="J20">
        <v>3976.7149884099999</v>
      </c>
      <c r="K20">
        <v>3976.7149884099999</v>
      </c>
      <c r="L20">
        <v>3976.7149884099999</v>
      </c>
      <c r="M20">
        <v>3976.7149884099999</v>
      </c>
      <c r="N20">
        <v>3976.7149884099999</v>
      </c>
      <c r="O20">
        <v>3976.7149884099999</v>
      </c>
      <c r="P20">
        <v>3976.7149884099999</v>
      </c>
      <c r="Q20">
        <v>3976.7149884099999</v>
      </c>
      <c r="R20">
        <v>3976.7149884099999</v>
      </c>
      <c r="S20">
        <v>3976.7149884099999</v>
      </c>
      <c r="T20">
        <v>3976.7149884099999</v>
      </c>
      <c r="U20">
        <v>3976.7149884099999</v>
      </c>
      <c r="V20">
        <v>3976.7149884099999</v>
      </c>
      <c r="W20">
        <v>3976.7149884099999</v>
      </c>
      <c r="X20">
        <v>3976.7149884099999</v>
      </c>
      <c r="Y20">
        <v>3976.7149884099999</v>
      </c>
      <c r="Z20">
        <v>3976.7149884099999</v>
      </c>
      <c r="AA20">
        <v>3976.7149884099999</v>
      </c>
      <c r="AB20">
        <v>3976.7149884099999</v>
      </c>
      <c r="AC20">
        <v>3976.7149884099999</v>
      </c>
      <c r="AD20">
        <v>3976.7149884099999</v>
      </c>
      <c r="AE20">
        <v>3976.7149884099999</v>
      </c>
      <c r="AF20">
        <v>3976.7149884099999</v>
      </c>
      <c r="AG20">
        <v>3976.7149884099999</v>
      </c>
      <c r="AH20">
        <v>3976.7149884099999</v>
      </c>
      <c r="AI20">
        <v>3976.7149884099999</v>
      </c>
      <c r="AJ20">
        <v>3976.7149884099999</v>
      </c>
      <c r="AK20">
        <v>3976.7149884099999</v>
      </c>
      <c r="AL20">
        <v>3976.7149884099999</v>
      </c>
      <c r="AM20">
        <v>3976.7149884099999</v>
      </c>
    </row>
    <row r="21" spans="1:39">
      <c r="A21" t="s">
        <v>131</v>
      </c>
      <c r="B21" t="s">
        <v>208</v>
      </c>
      <c r="C21">
        <v>3749.3454306399999</v>
      </c>
      <c r="D21">
        <v>3749.3454306399999</v>
      </c>
      <c r="E21">
        <v>3702.4786127570001</v>
      </c>
      <c r="F21">
        <v>3655.6117948739998</v>
      </c>
      <c r="G21">
        <v>3608.7449769909999</v>
      </c>
      <c r="H21">
        <v>3561.8781591079996</v>
      </c>
      <c r="I21">
        <v>3515.0113412249998</v>
      </c>
      <c r="J21">
        <v>3468.144523342</v>
      </c>
      <c r="K21">
        <v>3421.2777054589997</v>
      </c>
      <c r="L21">
        <v>3374.4108875759998</v>
      </c>
      <c r="M21">
        <v>3327.5440696929995</v>
      </c>
      <c r="N21">
        <v>3280.6772518099997</v>
      </c>
      <c r="O21">
        <v>3233.8104339270003</v>
      </c>
      <c r="P21">
        <v>3186.943616044</v>
      </c>
      <c r="Q21">
        <v>3140.0767981610002</v>
      </c>
      <c r="R21">
        <v>3093.2099802779999</v>
      </c>
      <c r="S21">
        <v>3046.343162395</v>
      </c>
      <c r="T21">
        <v>2999.4763445120002</v>
      </c>
      <c r="U21">
        <v>2952.6095266289999</v>
      </c>
      <c r="V21">
        <v>2905.7427087460001</v>
      </c>
      <c r="W21">
        <v>2858.8758908629998</v>
      </c>
      <c r="X21">
        <v>2812.0090729799999</v>
      </c>
      <c r="Y21">
        <v>2792.7624331027146</v>
      </c>
      <c r="Z21">
        <v>2773.5157932254292</v>
      </c>
      <c r="AA21">
        <v>2754.2691533481438</v>
      </c>
      <c r="AB21">
        <v>2735.0225134708589</v>
      </c>
      <c r="AC21">
        <v>2715.7758735935736</v>
      </c>
      <c r="AD21">
        <v>2696.5292337162882</v>
      </c>
      <c r="AE21">
        <v>2677.2825938390024</v>
      </c>
      <c r="AF21">
        <v>2658.035953961717</v>
      </c>
      <c r="AG21">
        <v>2638.7893140844317</v>
      </c>
      <c r="AH21">
        <v>2619.5426742071468</v>
      </c>
      <c r="AI21">
        <v>2600.2960343298614</v>
      </c>
      <c r="AJ21">
        <v>2581.0493944525761</v>
      </c>
      <c r="AK21">
        <v>2561.8027545752907</v>
      </c>
      <c r="AL21">
        <v>2542.5561146980053</v>
      </c>
      <c r="AM21">
        <v>2523.30947482072</v>
      </c>
    </row>
    <row r="22" spans="1:39">
      <c r="A22" t="s">
        <v>131</v>
      </c>
      <c r="B22" t="s">
        <v>209</v>
      </c>
      <c r="C22">
        <v>3749.3454306399999</v>
      </c>
      <c r="D22">
        <v>3749.3454306399999</v>
      </c>
      <c r="E22">
        <v>3749.3454306399999</v>
      </c>
      <c r="F22">
        <v>3749.3454306399999</v>
      </c>
      <c r="G22">
        <v>3749.3454306399999</v>
      </c>
      <c r="H22">
        <v>3749.3454306399999</v>
      </c>
      <c r="I22">
        <v>3749.3454306399999</v>
      </c>
      <c r="J22">
        <v>3749.3454306399999</v>
      </c>
      <c r="K22">
        <v>3749.3454306399999</v>
      </c>
      <c r="L22">
        <v>3749.3454306399999</v>
      </c>
      <c r="M22">
        <v>3749.3454306399999</v>
      </c>
      <c r="N22">
        <v>3749.3454306399999</v>
      </c>
      <c r="O22">
        <v>3749.3454306399999</v>
      </c>
      <c r="P22">
        <v>3749.3454306399999</v>
      </c>
      <c r="Q22">
        <v>3749.3454306399999</v>
      </c>
      <c r="R22">
        <v>3749.3454306399999</v>
      </c>
      <c r="S22">
        <v>3749.3454306399999</v>
      </c>
      <c r="T22">
        <v>3749.3454306399999</v>
      </c>
      <c r="U22">
        <v>3749.3454306399999</v>
      </c>
      <c r="V22">
        <v>3749.3454306399999</v>
      </c>
      <c r="W22">
        <v>3749.3454306399999</v>
      </c>
      <c r="X22">
        <v>3749.3454306399999</v>
      </c>
      <c r="Y22">
        <v>3749.3454306399999</v>
      </c>
      <c r="Z22">
        <v>3749.3454306399999</v>
      </c>
      <c r="AA22">
        <v>3749.3454306399999</v>
      </c>
      <c r="AB22">
        <v>3749.3454306399999</v>
      </c>
      <c r="AC22">
        <v>3749.3454306399999</v>
      </c>
      <c r="AD22">
        <v>3749.3454306399999</v>
      </c>
      <c r="AE22">
        <v>3749.3454306399999</v>
      </c>
      <c r="AF22">
        <v>3749.3454306399999</v>
      </c>
      <c r="AG22">
        <v>3749.3454306399999</v>
      </c>
      <c r="AH22">
        <v>3749.3454306399999</v>
      </c>
      <c r="AI22">
        <v>3749.3454306399999</v>
      </c>
      <c r="AJ22">
        <v>3749.3454306399999</v>
      </c>
      <c r="AK22">
        <v>3749.3454306399999</v>
      </c>
      <c r="AL22">
        <v>3749.3454306399999</v>
      </c>
      <c r="AM22">
        <v>3749.3454306399999</v>
      </c>
    </row>
    <row r="23" spans="1:39">
      <c r="A23" t="s">
        <v>131</v>
      </c>
      <c r="B23" t="s">
        <v>210</v>
      </c>
      <c r="C23">
        <v>3749.3454306399999</v>
      </c>
      <c r="D23">
        <v>3749.3454306399999</v>
      </c>
      <c r="E23">
        <v>3749.3454306399999</v>
      </c>
      <c r="F23">
        <v>3749.3454306399999</v>
      </c>
      <c r="G23">
        <v>3749.3454306399999</v>
      </c>
      <c r="H23">
        <v>3749.3454306399999</v>
      </c>
      <c r="I23">
        <v>3749.3454306399999</v>
      </c>
      <c r="J23">
        <v>3749.3454306399999</v>
      </c>
      <c r="K23">
        <v>3749.3454306399999</v>
      </c>
      <c r="L23">
        <v>3749.3454306399999</v>
      </c>
      <c r="M23">
        <v>3749.3454306399999</v>
      </c>
      <c r="N23">
        <v>3749.3454306399999</v>
      </c>
      <c r="O23">
        <v>3749.3454306399999</v>
      </c>
      <c r="P23">
        <v>3749.3454306399999</v>
      </c>
      <c r="Q23">
        <v>3749.3454306399999</v>
      </c>
      <c r="R23">
        <v>3749.3454306399999</v>
      </c>
      <c r="S23">
        <v>3749.3454306399999</v>
      </c>
      <c r="T23">
        <v>3749.3454306399999</v>
      </c>
      <c r="U23">
        <v>3749.3454306399999</v>
      </c>
      <c r="V23">
        <v>3749.3454306399999</v>
      </c>
      <c r="W23">
        <v>3749.3454306399999</v>
      </c>
      <c r="X23">
        <v>3749.3454306399999</v>
      </c>
      <c r="Y23">
        <v>3749.3454306399999</v>
      </c>
      <c r="Z23">
        <v>3749.3454306399999</v>
      </c>
      <c r="AA23">
        <v>3749.3454306399999</v>
      </c>
      <c r="AB23">
        <v>3749.3454306399999</v>
      </c>
      <c r="AC23">
        <v>3749.3454306399999</v>
      </c>
      <c r="AD23">
        <v>3749.3454306399999</v>
      </c>
      <c r="AE23">
        <v>3749.3454306399999</v>
      </c>
      <c r="AF23">
        <v>3749.3454306399999</v>
      </c>
      <c r="AG23">
        <v>3749.3454306399999</v>
      </c>
      <c r="AH23">
        <v>3749.3454306399999</v>
      </c>
      <c r="AI23">
        <v>3749.3454306399999</v>
      </c>
      <c r="AJ23">
        <v>3749.3454306399999</v>
      </c>
      <c r="AK23">
        <v>3749.3454306399999</v>
      </c>
      <c r="AL23">
        <v>3749.3454306399999</v>
      </c>
      <c r="AM23">
        <v>3749.3454306399999</v>
      </c>
    </row>
    <row r="24" spans="1:39">
      <c r="A24" t="s">
        <v>131</v>
      </c>
      <c r="B24" t="s">
        <v>211</v>
      </c>
      <c r="C24">
        <v>6997.72266167</v>
      </c>
      <c r="D24">
        <v>6997.72266167</v>
      </c>
      <c r="E24">
        <v>6892.7568217449498</v>
      </c>
      <c r="F24">
        <v>6787.7909818198996</v>
      </c>
      <c r="G24">
        <v>6682.8251418948494</v>
      </c>
      <c r="H24">
        <v>6577.8593019697992</v>
      </c>
      <c r="I24">
        <v>6472.8934620447499</v>
      </c>
      <c r="J24">
        <v>6367.9276221196997</v>
      </c>
      <c r="K24">
        <v>6262.9617821946504</v>
      </c>
      <c r="L24">
        <v>6157.9959422696002</v>
      </c>
      <c r="M24">
        <v>6053.03010234455</v>
      </c>
      <c r="N24">
        <v>5948.0642624194998</v>
      </c>
      <c r="O24">
        <v>5843.0984224944496</v>
      </c>
      <c r="P24">
        <v>5738.1325825693993</v>
      </c>
      <c r="Q24">
        <v>5633.1667426443491</v>
      </c>
      <c r="R24">
        <v>5528.2009027192998</v>
      </c>
      <c r="S24">
        <v>5423.2350627942496</v>
      </c>
      <c r="T24">
        <v>5318.2692228692003</v>
      </c>
      <c r="U24">
        <v>5213.3033829441492</v>
      </c>
      <c r="V24">
        <v>5108.3375430190999</v>
      </c>
      <c r="W24">
        <v>5003.3717030940497</v>
      </c>
      <c r="X24">
        <v>4898.4058631689995</v>
      </c>
      <c r="Y24">
        <v>4873.6805764310993</v>
      </c>
      <c r="Z24">
        <v>4848.9552896931982</v>
      </c>
      <c r="AA24">
        <v>4824.230002955298</v>
      </c>
      <c r="AB24">
        <v>4799.5047162173969</v>
      </c>
      <c r="AC24">
        <v>4774.7794294794967</v>
      </c>
      <c r="AD24">
        <v>4750.0541427415956</v>
      </c>
      <c r="AE24">
        <v>4725.3288560036954</v>
      </c>
      <c r="AF24">
        <v>4700.6035692657942</v>
      </c>
      <c r="AG24">
        <v>4675.878282527894</v>
      </c>
      <c r="AH24">
        <v>4651.1529957899929</v>
      </c>
      <c r="AI24">
        <v>4626.4277090520927</v>
      </c>
      <c r="AJ24">
        <v>4601.7024223141916</v>
      </c>
      <c r="AK24">
        <v>4576.9771355762914</v>
      </c>
      <c r="AL24">
        <v>4552.2518488383912</v>
      </c>
      <c r="AM24">
        <v>4527.5265621004901</v>
      </c>
    </row>
    <row r="25" spans="1:39">
      <c r="A25" t="s">
        <v>131</v>
      </c>
      <c r="B25" t="s">
        <v>212</v>
      </c>
      <c r="C25">
        <v>6997.72266167</v>
      </c>
      <c r="D25">
        <v>6988.7607482344256</v>
      </c>
      <c r="E25">
        <v>6979.7988347988521</v>
      </c>
      <c r="F25">
        <v>6961.943830530081</v>
      </c>
      <c r="G25">
        <v>6944.0888262613098</v>
      </c>
      <c r="H25">
        <v>6926.3251422732747</v>
      </c>
      <c r="I25">
        <v>6908.5614582852386</v>
      </c>
      <c r="J25">
        <v>6890.8887097031911</v>
      </c>
      <c r="K25">
        <v>6873.2159611211428</v>
      </c>
      <c r="L25">
        <v>6855.6335881272707</v>
      </c>
      <c r="M25">
        <v>6838.0512151333987</v>
      </c>
      <c r="N25">
        <v>6820.5587978643416</v>
      </c>
      <c r="O25">
        <v>6803.0663805952863</v>
      </c>
      <c r="P25">
        <v>6785.6634641990731</v>
      </c>
      <c r="Q25">
        <v>6768.260547802859</v>
      </c>
      <c r="R25">
        <v>6750.9466774275152</v>
      </c>
      <c r="S25">
        <v>6733.6328070521713</v>
      </c>
      <c r="T25">
        <v>6716.407527845724</v>
      </c>
      <c r="U25">
        <v>6699.1822486392775</v>
      </c>
      <c r="V25">
        <v>6682.0450707611399</v>
      </c>
      <c r="W25">
        <v>6664.9078928830031</v>
      </c>
      <c r="X25">
        <v>6647.8583964698182</v>
      </c>
      <c r="Y25">
        <v>6630.8089000566324</v>
      </c>
      <c r="Z25">
        <v>6613.8466302564239</v>
      </c>
      <c r="AA25">
        <v>6596.8843604562153</v>
      </c>
      <c r="AB25">
        <v>6580.0088974056252</v>
      </c>
      <c r="AC25">
        <v>6563.1334343550352</v>
      </c>
      <c r="AD25">
        <v>6546.3442882134759</v>
      </c>
      <c r="AE25">
        <v>6529.5551420719175</v>
      </c>
      <c r="AF25">
        <v>6512.8518929760312</v>
      </c>
      <c r="AG25">
        <v>6496.1486438801448</v>
      </c>
      <c r="AH25">
        <v>6479.5308719665709</v>
      </c>
      <c r="AI25">
        <v>6462.913100052996</v>
      </c>
      <c r="AJ25">
        <v>6446.3803154811485</v>
      </c>
      <c r="AK25">
        <v>6429.8475309093001</v>
      </c>
      <c r="AL25">
        <v>6413.3993488044316</v>
      </c>
      <c r="AM25">
        <v>6396.9511666995631</v>
      </c>
    </row>
    <row r="26" spans="1:39">
      <c r="A26" t="s">
        <v>131</v>
      </c>
      <c r="B26" t="s">
        <v>213</v>
      </c>
      <c r="C26">
        <v>6997.72266167</v>
      </c>
      <c r="D26">
        <v>6997.72266167</v>
      </c>
      <c r="E26">
        <v>6997.72266167</v>
      </c>
      <c r="F26">
        <v>6997.72266167</v>
      </c>
      <c r="G26">
        <v>6997.72266167</v>
      </c>
      <c r="H26">
        <v>6997.72266167</v>
      </c>
      <c r="I26">
        <v>6997.72266167</v>
      </c>
      <c r="J26">
        <v>6997.72266167</v>
      </c>
      <c r="K26">
        <v>6997.72266167</v>
      </c>
      <c r="L26">
        <v>6997.72266167</v>
      </c>
      <c r="M26">
        <v>6997.72266167</v>
      </c>
      <c r="N26">
        <v>6997.72266167</v>
      </c>
      <c r="O26">
        <v>6997.72266167</v>
      </c>
      <c r="P26">
        <v>6997.72266167</v>
      </c>
      <c r="Q26">
        <v>6997.72266167</v>
      </c>
      <c r="R26">
        <v>6997.72266167</v>
      </c>
      <c r="S26">
        <v>6997.72266167</v>
      </c>
      <c r="T26">
        <v>6997.72266167</v>
      </c>
      <c r="U26">
        <v>6997.72266167</v>
      </c>
      <c r="V26">
        <v>6997.72266167</v>
      </c>
      <c r="W26">
        <v>6997.72266167</v>
      </c>
      <c r="X26">
        <v>6997.72266167</v>
      </c>
      <c r="Y26">
        <v>6997.72266167</v>
      </c>
      <c r="Z26">
        <v>6997.72266167</v>
      </c>
      <c r="AA26">
        <v>6997.72266167</v>
      </c>
      <c r="AB26">
        <v>6997.72266167</v>
      </c>
      <c r="AC26">
        <v>6997.72266167</v>
      </c>
      <c r="AD26">
        <v>6997.72266167</v>
      </c>
      <c r="AE26">
        <v>6997.72266167</v>
      </c>
      <c r="AF26">
        <v>6997.72266167</v>
      </c>
      <c r="AG26">
        <v>6997.72266167</v>
      </c>
      <c r="AH26">
        <v>6997.72266167</v>
      </c>
      <c r="AI26">
        <v>6997.72266167</v>
      </c>
      <c r="AJ26">
        <v>6997.72266167</v>
      </c>
      <c r="AK26">
        <v>6997.72266167</v>
      </c>
      <c r="AL26">
        <v>6997.72266167</v>
      </c>
      <c r="AM26">
        <v>6997.72266167</v>
      </c>
    </row>
    <row r="27" spans="1:39">
      <c r="A27" t="s">
        <v>131</v>
      </c>
      <c r="B27" t="s">
        <v>214</v>
      </c>
      <c r="C27">
        <v>6247.0408507000002</v>
      </c>
      <c r="D27">
        <v>6247.0408507000002</v>
      </c>
      <c r="E27">
        <v>6153.3352379395001</v>
      </c>
      <c r="F27">
        <v>6059.629625179</v>
      </c>
      <c r="G27">
        <v>5965.9240124184998</v>
      </c>
      <c r="H27">
        <v>5872.2183996579997</v>
      </c>
      <c r="I27">
        <v>5778.5127868975005</v>
      </c>
      <c r="J27">
        <v>5684.8071741369995</v>
      </c>
      <c r="K27">
        <v>5591.1015613765003</v>
      </c>
      <c r="L27">
        <v>5497.3959486160002</v>
      </c>
      <c r="M27">
        <v>5403.6903358555001</v>
      </c>
      <c r="N27">
        <v>5309.9847230949999</v>
      </c>
      <c r="O27">
        <v>5216.2791103344998</v>
      </c>
      <c r="P27">
        <v>5122.5734975739997</v>
      </c>
      <c r="Q27">
        <v>5028.8678848134996</v>
      </c>
      <c r="R27">
        <v>4935.1622720529995</v>
      </c>
      <c r="S27">
        <v>4841.4566592924994</v>
      </c>
      <c r="T27">
        <v>4747.7510465320001</v>
      </c>
      <c r="U27">
        <v>4654.0454337714991</v>
      </c>
      <c r="V27">
        <v>4560.3398210109999</v>
      </c>
      <c r="W27">
        <v>4466.6342082504998</v>
      </c>
      <c r="X27">
        <v>4372.9285954899997</v>
      </c>
      <c r="Y27">
        <v>4350.855717817527</v>
      </c>
      <c r="Z27">
        <v>4328.7828401450533</v>
      </c>
      <c r="AA27">
        <v>4306.7099624725806</v>
      </c>
      <c r="AB27">
        <v>4284.6370848001061</v>
      </c>
      <c r="AC27">
        <v>4262.5642071276334</v>
      </c>
      <c r="AD27">
        <v>4240.4913294551598</v>
      </c>
      <c r="AE27">
        <v>4218.418451782687</v>
      </c>
      <c r="AF27">
        <v>4196.3455741102134</v>
      </c>
      <c r="AG27">
        <v>4174.2726964377398</v>
      </c>
      <c r="AH27">
        <v>4152.1998187652662</v>
      </c>
      <c r="AI27">
        <v>4130.1269410927935</v>
      </c>
      <c r="AJ27">
        <v>4108.0540634203198</v>
      </c>
      <c r="AK27">
        <v>4085.9811857478471</v>
      </c>
      <c r="AL27">
        <v>4063.908308075374</v>
      </c>
      <c r="AM27">
        <v>4041.8354304029003</v>
      </c>
    </row>
    <row r="28" spans="1:39">
      <c r="A28" t="s">
        <v>131</v>
      </c>
      <c r="B28" t="s">
        <v>215</v>
      </c>
      <c r="C28">
        <v>6247.0408507000002</v>
      </c>
      <c r="D28">
        <v>6239.0403279529173</v>
      </c>
      <c r="E28">
        <v>6231.0398052058345</v>
      </c>
      <c r="F28">
        <v>6215.100199358435</v>
      </c>
      <c r="G28">
        <v>6199.1605935110356</v>
      </c>
      <c r="H28">
        <v>6183.3025115467381</v>
      </c>
      <c r="I28">
        <v>6167.4444295824405</v>
      </c>
      <c r="J28">
        <v>6151.6675279139981</v>
      </c>
      <c r="K28">
        <v>6135.8906262455548</v>
      </c>
      <c r="L28">
        <v>6120.1944051096989</v>
      </c>
      <c r="M28">
        <v>6104.4981839738421</v>
      </c>
      <c r="N28">
        <v>6088.8822685481218</v>
      </c>
      <c r="O28">
        <v>6073.2663531224016</v>
      </c>
      <c r="P28">
        <v>6057.7303373491623</v>
      </c>
      <c r="Q28">
        <v>6042.194321575922</v>
      </c>
      <c r="R28">
        <v>6026.7377993975078</v>
      </c>
      <c r="S28">
        <v>6011.2812772190928</v>
      </c>
      <c r="T28">
        <v>5995.9038425778481</v>
      </c>
      <c r="U28">
        <v>5980.5264079366034</v>
      </c>
      <c r="V28">
        <v>5965.2276235396685</v>
      </c>
      <c r="W28">
        <v>5949.9288391427335</v>
      </c>
      <c r="X28">
        <v>5934.7083301676594</v>
      </c>
      <c r="Y28">
        <v>5919.4878211925834</v>
      </c>
      <c r="Z28">
        <v>5904.3451815817116</v>
      </c>
      <c r="AA28">
        <v>5889.2025419708407</v>
      </c>
      <c r="AB28">
        <v>5874.1373969017222</v>
      </c>
      <c r="AC28">
        <v>5859.0722518326047</v>
      </c>
      <c r="AD28">
        <v>5844.084164012379</v>
      </c>
      <c r="AE28">
        <v>5829.0960761921542</v>
      </c>
      <c r="AF28">
        <v>5814.1846707983714</v>
      </c>
      <c r="AG28">
        <v>5799.2732654045894</v>
      </c>
      <c r="AH28">
        <v>5784.4381676147977</v>
      </c>
      <c r="AI28">
        <v>5769.6030698250061</v>
      </c>
      <c r="AJ28">
        <v>5754.8438423463467</v>
      </c>
      <c r="AK28">
        <v>5740.0846148676874</v>
      </c>
      <c r="AL28">
        <v>5725.4009141129127</v>
      </c>
      <c r="AM28">
        <v>5710.717213358138</v>
      </c>
    </row>
    <row r="29" spans="1:39">
      <c r="A29" t="s">
        <v>131</v>
      </c>
      <c r="B29" t="s">
        <v>216</v>
      </c>
      <c r="C29">
        <v>6247.0408507000002</v>
      </c>
      <c r="D29">
        <v>6247.0408507000002</v>
      </c>
      <c r="E29">
        <v>6247.0408507000002</v>
      </c>
      <c r="F29">
        <v>6247.0408507000002</v>
      </c>
      <c r="G29">
        <v>6247.0408507000002</v>
      </c>
      <c r="H29">
        <v>6247.0408507000002</v>
      </c>
      <c r="I29">
        <v>6247.0408507000002</v>
      </c>
      <c r="J29">
        <v>6247.0408507000002</v>
      </c>
      <c r="K29">
        <v>6247.0408507000002</v>
      </c>
      <c r="L29">
        <v>6247.0408507000002</v>
      </c>
      <c r="M29">
        <v>6247.0408507000002</v>
      </c>
      <c r="N29">
        <v>6247.0408507000002</v>
      </c>
      <c r="O29">
        <v>6247.0408507000002</v>
      </c>
      <c r="P29">
        <v>6247.0408507000002</v>
      </c>
      <c r="Q29">
        <v>6247.0408507000002</v>
      </c>
      <c r="R29">
        <v>6247.0408507000002</v>
      </c>
      <c r="S29">
        <v>6247.0408507000002</v>
      </c>
      <c r="T29">
        <v>6247.0408507000002</v>
      </c>
      <c r="U29">
        <v>6247.0408507000002</v>
      </c>
      <c r="V29">
        <v>6247.0408507000002</v>
      </c>
      <c r="W29">
        <v>6247.0408507000002</v>
      </c>
      <c r="X29">
        <v>6247.0408507000002</v>
      </c>
      <c r="Y29">
        <v>6247.0408507000002</v>
      </c>
      <c r="Z29">
        <v>6247.0408507000002</v>
      </c>
      <c r="AA29">
        <v>6247.0408507000002</v>
      </c>
      <c r="AB29">
        <v>6247.0408507000002</v>
      </c>
      <c r="AC29">
        <v>6247.0408507000002</v>
      </c>
      <c r="AD29">
        <v>6247.0408507000002</v>
      </c>
      <c r="AE29">
        <v>6247.0408507000002</v>
      </c>
      <c r="AF29">
        <v>6247.0408507000002</v>
      </c>
      <c r="AG29">
        <v>6247.0408507000002</v>
      </c>
      <c r="AH29">
        <v>6247.0408507000002</v>
      </c>
      <c r="AI29">
        <v>6247.0408507000002</v>
      </c>
      <c r="AJ29">
        <v>6247.0408507000002</v>
      </c>
      <c r="AK29">
        <v>6247.0408507000002</v>
      </c>
      <c r="AL29">
        <v>6247.0408507000002</v>
      </c>
      <c r="AM29">
        <v>6247.0408507000002</v>
      </c>
    </row>
    <row r="30" spans="1:39">
      <c r="A30" t="s">
        <v>131</v>
      </c>
      <c r="B30" t="s">
        <v>217</v>
      </c>
      <c r="C30">
        <v>6118.6170122000003</v>
      </c>
      <c r="D30">
        <v>6118.6170122000003</v>
      </c>
      <c r="E30">
        <v>6026.8377570170005</v>
      </c>
      <c r="F30">
        <v>5935.0585018339998</v>
      </c>
      <c r="G30">
        <v>5843.279246651</v>
      </c>
      <c r="H30">
        <v>5751.4999914680002</v>
      </c>
      <c r="I30">
        <v>5659.7207362850004</v>
      </c>
      <c r="J30">
        <v>5567.9414811019997</v>
      </c>
      <c r="K30">
        <v>5476.1622259190008</v>
      </c>
      <c r="L30">
        <v>5384.3829707360001</v>
      </c>
      <c r="M30">
        <v>5292.6037155530003</v>
      </c>
      <c r="N30">
        <v>5200.8244603700005</v>
      </c>
      <c r="O30">
        <v>5109.0452051869997</v>
      </c>
      <c r="P30">
        <v>5017.2659500039999</v>
      </c>
      <c r="Q30">
        <v>4925.4866948210001</v>
      </c>
      <c r="R30">
        <v>4833.7074396379994</v>
      </c>
      <c r="S30">
        <v>4741.9281844549996</v>
      </c>
      <c r="T30">
        <v>4650.1489292720007</v>
      </c>
      <c r="U30">
        <v>4558.3696740889991</v>
      </c>
      <c r="V30">
        <v>4466.5904189060002</v>
      </c>
      <c r="W30">
        <v>4374.8111637230004</v>
      </c>
      <c r="X30">
        <v>4283.0319085399997</v>
      </c>
      <c r="Y30">
        <v>4261.4127950968932</v>
      </c>
      <c r="Z30">
        <v>4239.7936816537867</v>
      </c>
      <c r="AA30">
        <v>4218.1745682106803</v>
      </c>
      <c r="AB30">
        <v>4196.5554547675729</v>
      </c>
      <c r="AC30">
        <v>4174.9363413244673</v>
      </c>
      <c r="AD30">
        <v>4153.3172278813599</v>
      </c>
      <c r="AE30">
        <v>4131.6981144382535</v>
      </c>
      <c r="AF30">
        <v>4110.079000995147</v>
      </c>
      <c r="AG30">
        <v>4088.4598875520405</v>
      </c>
      <c r="AH30">
        <v>4066.8407741089331</v>
      </c>
      <c r="AI30">
        <v>4045.2216606658271</v>
      </c>
      <c r="AJ30">
        <v>4023.6025472227202</v>
      </c>
      <c r="AK30">
        <v>4001.9834337796137</v>
      </c>
      <c r="AL30">
        <v>3980.3643203365073</v>
      </c>
      <c r="AM30">
        <v>3958.7452068934003</v>
      </c>
    </row>
    <row r="31" spans="1:39">
      <c r="A31" t="s">
        <v>131</v>
      </c>
      <c r="B31" t="s">
        <v>218</v>
      </c>
      <c r="C31">
        <v>6118.6170122000003</v>
      </c>
      <c r="D31">
        <v>6110.780960578646</v>
      </c>
      <c r="E31">
        <v>6102.9449089572918</v>
      </c>
      <c r="F31">
        <v>6087.3329823128979</v>
      </c>
      <c r="G31">
        <v>6071.7210556685031</v>
      </c>
      <c r="H31">
        <v>6056.1889769761192</v>
      </c>
      <c r="I31">
        <v>6040.6568982837343</v>
      </c>
      <c r="J31">
        <v>6025.204331019424</v>
      </c>
      <c r="K31">
        <v>6009.7517637551118</v>
      </c>
      <c r="L31">
        <v>5994.3782184295142</v>
      </c>
      <c r="M31">
        <v>5979.0046731039147</v>
      </c>
      <c r="N31">
        <v>5963.7097826000081</v>
      </c>
      <c r="O31">
        <v>5948.4148920961015</v>
      </c>
      <c r="P31">
        <v>5933.1982587037819</v>
      </c>
      <c r="Q31">
        <v>5917.9816253114604</v>
      </c>
      <c r="R31">
        <v>5902.84285132062</v>
      </c>
      <c r="S31">
        <v>5887.7040773297795</v>
      </c>
      <c r="T31">
        <v>5872.642765030314</v>
      </c>
      <c r="U31">
        <v>5857.5814527308476</v>
      </c>
      <c r="V31">
        <v>5842.5971738195649</v>
      </c>
      <c r="W31">
        <v>5827.6128949082831</v>
      </c>
      <c r="X31">
        <v>5812.7052822681635</v>
      </c>
      <c r="Y31">
        <v>5797.7976696280439</v>
      </c>
      <c r="Z31">
        <v>5782.9663255489813</v>
      </c>
      <c r="AA31">
        <v>5768.1349814699197</v>
      </c>
      <c r="AB31">
        <v>5753.3795388348926</v>
      </c>
      <c r="AC31">
        <v>5738.6240961998674</v>
      </c>
      <c r="AD31">
        <v>5723.9441267056864</v>
      </c>
      <c r="AE31">
        <v>5709.2641572115053</v>
      </c>
      <c r="AF31">
        <v>5694.6592937411497</v>
      </c>
      <c r="AG31">
        <v>5680.054430270794</v>
      </c>
      <c r="AH31">
        <v>5665.5243057072421</v>
      </c>
      <c r="AI31">
        <v>5650.9941811436902</v>
      </c>
      <c r="AJ31">
        <v>5636.5383671837517</v>
      </c>
      <c r="AK31">
        <v>5622.0825532238132</v>
      </c>
      <c r="AL31">
        <v>5607.7007133435518</v>
      </c>
      <c r="AM31">
        <v>5593.3188734632904</v>
      </c>
    </row>
    <row r="32" spans="1:39">
      <c r="A32" t="s">
        <v>131</v>
      </c>
      <c r="B32" t="s">
        <v>219</v>
      </c>
      <c r="C32">
        <v>6118.6170122000003</v>
      </c>
      <c r="D32">
        <v>6118.6170122000003</v>
      </c>
      <c r="E32">
        <v>6118.6170122000003</v>
      </c>
      <c r="F32">
        <v>6118.6170122000003</v>
      </c>
      <c r="G32">
        <v>6118.6170122000003</v>
      </c>
      <c r="H32">
        <v>6118.6170122000003</v>
      </c>
      <c r="I32">
        <v>6118.6170122000003</v>
      </c>
      <c r="J32">
        <v>6118.6170122000003</v>
      </c>
      <c r="K32">
        <v>6118.6170122000003</v>
      </c>
      <c r="L32">
        <v>6118.6170122000003</v>
      </c>
      <c r="M32">
        <v>6118.6170122000003</v>
      </c>
      <c r="N32">
        <v>6118.6170122000003</v>
      </c>
      <c r="O32">
        <v>6118.6170122000003</v>
      </c>
      <c r="P32">
        <v>6118.6170122000003</v>
      </c>
      <c r="Q32">
        <v>6118.6170122000003</v>
      </c>
      <c r="R32">
        <v>6118.6170122000003</v>
      </c>
      <c r="S32">
        <v>6118.6170122000003</v>
      </c>
      <c r="T32">
        <v>6118.6170122000003</v>
      </c>
      <c r="U32">
        <v>6118.6170122000003</v>
      </c>
      <c r="V32">
        <v>6118.6170122000003</v>
      </c>
      <c r="W32">
        <v>6118.6170122000003</v>
      </c>
      <c r="X32">
        <v>6118.6170122000003</v>
      </c>
      <c r="Y32">
        <v>6118.6170122000003</v>
      </c>
      <c r="Z32">
        <v>6118.6170122000003</v>
      </c>
      <c r="AA32">
        <v>6118.6170122000003</v>
      </c>
      <c r="AB32">
        <v>6118.6170122000003</v>
      </c>
      <c r="AC32">
        <v>6118.6170122000003</v>
      </c>
      <c r="AD32">
        <v>6118.6170122000003</v>
      </c>
      <c r="AE32">
        <v>6118.6170122000003</v>
      </c>
      <c r="AF32">
        <v>6118.6170122000003</v>
      </c>
      <c r="AG32">
        <v>6118.6170122000003</v>
      </c>
      <c r="AH32">
        <v>6118.6170122000003</v>
      </c>
      <c r="AI32">
        <v>6118.6170122000003</v>
      </c>
      <c r="AJ32">
        <v>6118.6170122000003</v>
      </c>
      <c r="AK32">
        <v>6118.6170122000003</v>
      </c>
      <c r="AL32">
        <v>6118.6170122000003</v>
      </c>
      <c r="AM32">
        <v>6118.6170122000003</v>
      </c>
    </row>
    <row r="33" spans="1:39">
      <c r="A33" t="s">
        <v>131</v>
      </c>
      <c r="B33" t="s">
        <v>220</v>
      </c>
      <c r="C33">
        <v>5508.1456035900001</v>
      </c>
      <c r="D33">
        <v>5508.1456035900001</v>
      </c>
      <c r="E33">
        <v>5425.52341953615</v>
      </c>
      <c r="F33">
        <v>5342.9012354822999</v>
      </c>
      <c r="G33">
        <v>5260.2790514284497</v>
      </c>
      <c r="H33">
        <v>5177.6568673745996</v>
      </c>
      <c r="I33">
        <v>5095.0346833207504</v>
      </c>
      <c r="J33">
        <v>5012.4124992668994</v>
      </c>
      <c r="K33">
        <v>4929.7903152130502</v>
      </c>
      <c r="L33">
        <v>4847.1681311592001</v>
      </c>
      <c r="M33">
        <v>4764.54594710535</v>
      </c>
      <c r="N33">
        <v>4681.9237630514999</v>
      </c>
      <c r="O33">
        <v>4599.3015789976498</v>
      </c>
      <c r="P33">
        <v>4516.6793949437997</v>
      </c>
      <c r="Q33">
        <v>4434.0572108899496</v>
      </c>
      <c r="R33">
        <v>4351.4350268360995</v>
      </c>
      <c r="S33">
        <v>4268.8128427822494</v>
      </c>
      <c r="T33">
        <v>4186.1906587284002</v>
      </c>
      <c r="U33">
        <v>4103.5684746745492</v>
      </c>
      <c r="V33">
        <v>4020.9462906207</v>
      </c>
      <c r="W33">
        <v>3938.3241065668499</v>
      </c>
      <c r="X33">
        <v>3855.7019225129998</v>
      </c>
      <c r="Y33">
        <v>3836.239808046982</v>
      </c>
      <c r="Z33">
        <v>3816.7776935809638</v>
      </c>
      <c r="AA33">
        <v>3797.3155791149461</v>
      </c>
      <c r="AB33">
        <v>3777.8534646489279</v>
      </c>
      <c r="AC33">
        <v>3758.3913501829102</v>
      </c>
      <c r="AD33">
        <v>3738.929235716892</v>
      </c>
      <c r="AE33">
        <v>3719.4671212508742</v>
      </c>
      <c r="AF33">
        <v>3700.0050067848561</v>
      </c>
      <c r="AG33">
        <v>3680.5428923188383</v>
      </c>
      <c r="AH33">
        <v>3661.0807778528197</v>
      </c>
      <c r="AI33">
        <v>3641.6186633868019</v>
      </c>
      <c r="AJ33">
        <v>3622.1565489207837</v>
      </c>
      <c r="AK33">
        <v>3602.694434454766</v>
      </c>
      <c r="AL33">
        <v>3583.2323199887483</v>
      </c>
      <c r="AM33">
        <v>3563.7702055227301</v>
      </c>
    </row>
    <row r="34" spans="1:39">
      <c r="A34" t="s">
        <v>131</v>
      </c>
      <c r="B34" t="s">
        <v>221</v>
      </c>
      <c r="C34">
        <v>5508.1456035900001</v>
      </c>
      <c r="D34">
        <v>5501.091376596939</v>
      </c>
      <c r="E34">
        <v>5494.037149603877</v>
      </c>
      <c r="F34">
        <v>5479.9828682297648</v>
      </c>
      <c r="G34">
        <v>5465.9285868556526</v>
      </c>
      <c r="H34">
        <v>5451.9461867816681</v>
      </c>
      <c r="I34">
        <v>5437.9637867076826</v>
      </c>
      <c r="J34">
        <v>5424.0529649858163</v>
      </c>
      <c r="K34">
        <v>5410.142143263949</v>
      </c>
      <c r="L34">
        <v>5396.3024592425527</v>
      </c>
      <c r="M34">
        <v>5382.4627752211563</v>
      </c>
      <c r="N34">
        <v>5368.693898411494</v>
      </c>
      <c r="O34">
        <v>5354.9250216018327</v>
      </c>
      <c r="P34">
        <v>5341.2265939744411</v>
      </c>
      <c r="Q34">
        <v>5327.5281663470487</v>
      </c>
      <c r="R34">
        <v>5313.8998298724619</v>
      </c>
      <c r="S34">
        <v>5300.2714933978759</v>
      </c>
      <c r="T34">
        <v>5286.7128900466305</v>
      </c>
      <c r="U34">
        <v>5273.154286695386</v>
      </c>
      <c r="V34">
        <v>5259.6650308972894</v>
      </c>
      <c r="W34">
        <v>5246.1757750991937</v>
      </c>
      <c r="X34">
        <v>5232.7555363655119</v>
      </c>
      <c r="Y34">
        <v>5219.3352976318283</v>
      </c>
      <c r="Z34">
        <v>5205.9837179330943</v>
      </c>
      <c r="AA34">
        <v>5192.6321382343604</v>
      </c>
      <c r="AB34">
        <v>5179.3488870818392</v>
      </c>
      <c r="AC34">
        <v>5166.065635929318</v>
      </c>
      <c r="AD34">
        <v>5152.8503277528162</v>
      </c>
      <c r="AE34">
        <v>5139.6350195763143</v>
      </c>
      <c r="AF34">
        <v>5126.4873238870978</v>
      </c>
      <c r="AG34">
        <v>5113.3396281978812</v>
      </c>
      <c r="AH34">
        <v>5100.2592145072113</v>
      </c>
      <c r="AI34">
        <v>5087.1788008165413</v>
      </c>
      <c r="AJ34">
        <v>5074.1652835542282</v>
      </c>
      <c r="AK34">
        <v>5061.151766291915</v>
      </c>
      <c r="AL34">
        <v>5048.2048425099483</v>
      </c>
      <c r="AM34">
        <v>5035.2579187279816</v>
      </c>
    </row>
    <row r="35" spans="1:39">
      <c r="A35" t="s">
        <v>131</v>
      </c>
      <c r="B35" t="s">
        <v>222</v>
      </c>
      <c r="C35">
        <v>5508.1456035900001</v>
      </c>
      <c r="D35">
        <v>5508.1456035900001</v>
      </c>
      <c r="E35">
        <v>5508.1456035900001</v>
      </c>
      <c r="F35">
        <v>5508.1456035900001</v>
      </c>
      <c r="G35">
        <v>5508.1456035900001</v>
      </c>
      <c r="H35">
        <v>5508.1456035900001</v>
      </c>
      <c r="I35">
        <v>5508.1456035900001</v>
      </c>
      <c r="J35">
        <v>5508.1456035900001</v>
      </c>
      <c r="K35">
        <v>5508.1456035900001</v>
      </c>
      <c r="L35">
        <v>5508.1456035900001</v>
      </c>
      <c r="M35">
        <v>5508.1456035900001</v>
      </c>
      <c r="N35">
        <v>5508.1456035900001</v>
      </c>
      <c r="O35">
        <v>5508.1456035900001</v>
      </c>
      <c r="P35">
        <v>5508.1456035900001</v>
      </c>
      <c r="Q35">
        <v>5508.1456035900001</v>
      </c>
      <c r="R35">
        <v>5508.1456035900001</v>
      </c>
      <c r="S35">
        <v>5508.1456035900001</v>
      </c>
      <c r="T35">
        <v>5508.1456035900001</v>
      </c>
      <c r="U35">
        <v>5508.1456035900001</v>
      </c>
      <c r="V35">
        <v>5508.1456035900001</v>
      </c>
      <c r="W35">
        <v>5508.1456035900001</v>
      </c>
      <c r="X35">
        <v>5508.1456035900001</v>
      </c>
      <c r="Y35">
        <v>5508.1456035900001</v>
      </c>
      <c r="Z35">
        <v>5508.1456035900001</v>
      </c>
      <c r="AA35">
        <v>5508.1456035900001</v>
      </c>
      <c r="AB35">
        <v>5508.1456035900001</v>
      </c>
      <c r="AC35">
        <v>5508.1456035900001</v>
      </c>
      <c r="AD35">
        <v>5508.1456035900001</v>
      </c>
      <c r="AE35">
        <v>5508.1456035900001</v>
      </c>
      <c r="AF35">
        <v>5508.1456035900001</v>
      </c>
      <c r="AG35">
        <v>5508.1456035900001</v>
      </c>
      <c r="AH35">
        <v>5508.1456035900001</v>
      </c>
      <c r="AI35">
        <v>5508.1456035900001</v>
      </c>
      <c r="AJ35">
        <v>5508.1456035900001</v>
      </c>
      <c r="AK35">
        <v>5508.1456035900001</v>
      </c>
      <c r="AL35">
        <v>5508.1456035900001</v>
      </c>
      <c r="AM35">
        <v>5508.1456035900001</v>
      </c>
    </row>
    <row r="36" spans="1:39">
      <c r="A36" t="s">
        <v>126</v>
      </c>
      <c r="B36" t="s">
        <v>223</v>
      </c>
      <c r="C36">
        <v>5486.0752926746272</v>
      </c>
      <c r="D36">
        <v>5486.0752926746272</v>
      </c>
      <c r="E36">
        <v>5486.0752926746272</v>
      </c>
      <c r="F36">
        <v>5486.0752926746272</v>
      </c>
      <c r="G36">
        <v>5486.0752926746272</v>
      </c>
      <c r="H36">
        <v>5486.0752926746272</v>
      </c>
      <c r="I36">
        <v>5486.0752926746272</v>
      </c>
      <c r="J36">
        <v>5486.0752926746272</v>
      </c>
      <c r="K36">
        <v>5486.0752926746272</v>
      </c>
      <c r="L36">
        <v>5456.941915280695</v>
      </c>
      <c r="M36">
        <v>5427.8146075422128</v>
      </c>
      <c r="N36">
        <v>5398.6820007496799</v>
      </c>
      <c r="O36">
        <v>5369.554129275567</v>
      </c>
      <c r="P36">
        <v>5340.4236280942096</v>
      </c>
      <c r="Q36">
        <v>5311.2919735167416</v>
      </c>
      <c r="R36">
        <v>5282.1649602154803</v>
      </c>
      <c r="S36">
        <v>5253.033366304574</v>
      </c>
      <c r="T36">
        <v>5223.8993712422762</v>
      </c>
      <c r="U36">
        <v>5194.7715493250989</v>
      </c>
      <c r="V36">
        <v>5165.6423864073486</v>
      </c>
      <c r="W36">
        <v>5136.5121041657794</v>
      </c>
      <c r="X36">
        <v>5107.3811547755313</v>
      </c>
      <c r="Y36">
        <v>5078.2492803038613</v>
      </c>
      <c r="Z36">
        <v>5049.1202056943148</v>
      </c>
      <c r="AA36">
        <v>5019.9890377112424</v>
      </c>
      <c r="AB36">
        <v>4990.8610303601599</v>
      </c>
      <c r="AC36">
        <v>4961.7269185916175</v>
      </c>
      <c r="AD36">
        <v>4932.5962738203216</v>
      </c>
      <c r="AE36">
        <v>4903.4656290490257</v>
      </c>
      <c r="AF36">
        <v>4874.3349842777297</v>
      </c>
      <c r="AG36">
        <v>4845.2043395064338</v>
      </c>
      <c r="AH36">
        <v>4816.0736947351379</v>
      </c>
      <c r="AI36">
        <v>4786.943049963842</v>
      </c>
      <c r="AJ36">
        <v>4757.8124051925461</v>
      </c>
      <c r="AK36">
        <v>4728.6817604212501</v>
      </c>
      <c r="AL36">
        <v>4699.5511156499542</v>
      </c>
      <c r="AM36">
        <v>4670.4204708786583</v>
      </c>
    </row>
    <row r="37" spans="1:39">
      <c r="A37" t="s">
        <v>135</v>
      </c>
      <c r="B37" t="s">
        <v>224</v>
      </c>
      <c r="C37">
        <v>6846</v>
      </c>
      <c r="D37">
        <v>6470.5</v>
      </c>
      <c r="E37">
        <v>6095</v>
      </c>
      <c r="F37">
        <v>5719.5</v>
      </c>
      <c r="G37">
        <v>5343.9999999999991</v>
      </c>
      <c r="H37">
        <v>4968.4999999999991</v>
      </c>
      <c r="I37">
        <v>4593</v>
      </c>
      <c r="J37">
        <v>4289.3999999999996</v>
      </c>
      <c r="K37">
        <v>3985.8</v>
      </c>
      <c r="L37">
        <v>3682.2</v>
      </c>
      <c r="M37">
        <v>3378.6</v>
      </c>
      <c r="N37">
        <v>3075</v>
      </c>
      <c r="O37">
        <v>3017.593469053299</v>
      </c>
      <c r="P37">
        <v>2964.8560988497466</v>
      </c>
      <c r="Q37">
        <v>2916.1194698419463</v>
      </c>
      <c r="R37">
        <v>2870.8487025610348</v>
      </c>
      <c r="S37">
        <v>2828.6091111083806</v>
      </c>
      <c r="T37">
        <v>2789.0426456530035</v>
      </c>
      <c r="U37">
        <v>2751.8508708004974</v>
      </c>
      <c r="V37">
        <v>2716.7824203272044</v>
      </c>
      <c r="W37">
        <v>2683.6235872892566</v>
      </c>
      <c r="X37">
        <v>2652.1911544600166</v>
      </c>
      <c r="Y37">
        <v>2622.3268543554586</v>
      </c>
      <c r="Z37">
        <v>2593.8930337600796</v>
      </c>
      <c r="AA37">
        <v>2566.769221587529</v>
      </c>
      <c r="AB37">
        <v>2540.8493831895535</v>
      </c>
      <c r="AC37">
        <v>2516.03970264602</v>
      </c>
      <c r="AD37">
        <v>2492.2567756404369</v>
      </c>
      <c r="AE37">
        <v>2469.426124902076</v>
      </c>
      <c r="AF37">
        <v>2447.4809714509611</v>
      </c>
      <c r="AG37">
        <v>2426.3612104630743</v>
      </c>
      <c r="AH37">
        <v>2406.0125521496225</v>
      </c>
      <c r="AI37">
        <v>2386.3857967025447</v>
      </c>
      <c r="AJ37">
        <v>2367.4362189371036</v>
      </c>
      <c r="AK37">
        <v>2349.1230432739289</v>
      </c>
      <c r="AL37">
        <v>2331.4089935847323</v>
      </c>
      <c r="AM37">
        <v>2314.2599054286479</v>
      </c>
    </row>
    <row r="38" spans="1:39">
      <c r="A38" t="s">
        <v>135</v>
      </c>
      <c r="B38" t="s">
        <v>225</v>
      </c>
      <c r="C38">
        <v>6846</v>
      </c>
      <c r="D38">
        <v>6470.5</v>
      </c>
      <c r="E38">
        <v>6095</v>
      </c>
      <c r="F38">
        <v>5719.5</v>
      </c>
      <c r="G38">
        <v>5343.9999999999991</v>
      </c>
      <c r="H38">
        <v>4968.4999999999991</v>
      </c>
      <c r="I38">
        <v>4593</v>
      </c>
      <c r="J38">
        <v>4441.2</v>
      </c>
      <c r="K38">
        <v>4289.3999999999996</v>
      </c>
      <c r="L38">
        <v>4137.6000000000004</v>
      </c>
      <c r="M38">
        <v>3985.8</v>
      </c>
      <c r="N38">
        <v>3834</v>
      </c>
      <c r="O38">
        <v>3682.2</v>
      </c>
      <c r="P38">
        <v>3530.4</v>
      </c>
      <c r="Q38">
        <v>3378.6</v>
      </c>
      <c r="R38">
        <v>3226.8</v>
      </c>
      <c r="S38">
        <v>3075</v>
      </c>
      <c r="T38">
        <v>3075</v>
      </c>
      <c r="U38">
        <v>3075</v>
      </c>
      <c r="V38">
        <v>3075</v>
      </c>
      <c r="W38">
        <v>3075</v>
      </c>
      <c r="X38">
        <v>3075</v>
      </c>
      <c r="Y38">
        <v>3075</v>
      </c>
      <c r="Z38">
        <v>3075</v>
      </c>
      <c r="AA38">
        <v>3075</v>
      </c>
      <c r="AB38">
        <v>3075</v>
      </c>
      <c r="AC38">
        <v>3075</v>
      </c>
      <c r="AD38">
        <v>3075</v>
      </c>
      <c r="AE38">
        <v>3075</v>
      </c>
      <c r="AF38">
        <v>3075</v>
      </c>
      <c r="AG38">
        <v>3075</v>
      </c>
      <c r="AH38">
        <v>3075</v>
      </c>
      <c r="AI38">
        <v>3075</v>
      </c>
      <c r="AJ38">
        <v>3075</v>
      </c>
      <c r="AK38">
        <v>3075</v>
      </c>
      <c r="AL38">
        <v>3075</v>
      </c>
      <c r="AM38">
        <v>3075</v>
      </c>
    </row>
    <row r="39" spans="1:39">
      <c r="A39" t="s">
        <v>135</v>
      </c>
      <c r="B39" t="s">
        <v>226</v>
      </c>
      <c r="C39">
        <v>6846</v>
      </c>
      <c r="D39">
        <v>6846</v>
      </c>
      <c r="E39">
        <v>6846</v>
      </c>
      <c r="F39">
        <v>6846</v>
      </c>
      <c r="G39">
        <v>6846</v>
      </c>
      <c r="H39">
        <v>6846</v>
      </c>
      <c r="I39">
        <v>6846</v>
      </c>
      <c r="J39">
        <v>6846</v>
      </c>
      <c r="K39">
        <v>6846</v>
      </c>
      <c r="L39">
        <v>6846</v>
      </c>
      <c r="M39">
        <v>6846</v>
      </c>
      <c r="N39">
        <v>6846</v>
      </c>
      <c r="O39">
        <v>6846</v>
      </c>
      <c r="P39">
        <v>6846</v>
      </c>
      <c r="Q39">
        <v>6846</v>
      </c>
      <c r="R39">
        <v>6846</v>
      </c>
      <c r="S39">
        <v>6846</v>
      </c>
      <c r="T39">
        <v>6846</v>
      </c>
      <c r="U39">
        <v>6846</v>
      </c>
      <c r="V39">
        <v>6846</v>
      </c>
      <c r="W39">
        <v>6846</v>
      </c>
      <c r="X39">
        <v>6846</v>
      </c>
      <c r="Y39">
        <v>6846</v>
      </c>
      <c r="Z39">
        <v>6846</v>
      </c>
      <c r="AA39">
        <v>6846</v>
      </c>
      <c r="AB39">
        <v>6846</v>
      </c>
      <c r="AC39">
        <v>6846</v>
      </c>
      <c r="AD39">
        <v>6846</v>
      </c>
      <c r="AE39">
        <v>6846</v>
      </c>
      <c r="AF39">
        <v>6846</v>
      </c>
      <c r="AG39">
        <v>6846</v>
      </c>
      <c r="AH39">
        <v>6846</v>
      </c>
      <c r="AI39">
        <v>6846</v>
      </c>
      <c r="AJ39">
        <v>6846</v>
      </c>
      <c r="AK39">
        <v>6846</v>
      </c>
      <c r="AL39">
        <v>6846</v>
      </c>
      <c r="AM39">
        <v>6846</v>
      </c>
    </row>
    <row r="40" spans="1:39">
      <c r="A40" t="s">
        <v>135</v>
      </c>
      <c r="B40" t="s">
        <v>227</v>
      </c>
      <c r="C40">
        <v>6846</v>
      </c>
      <c r="D40">
        <v>6470.5</v>
      </c>
      <c r="E40">
        <v>6095</v>
      </c>
      <c r="F40">
        <v>5719.5</v>
      </c>
      <c r="G40">
        <v>5343.9999999999991</v>
      </c>
      <c r="H40">
        <v>4968.4999999999991</v>
      </c>
      <c r="I40">
        <v>4593</v>
      </c>
      <c r="J40">
        <v>4289.3999999999996</v>
      </c>
      <c r="K40">
        <v>3985.8</v>
      </c>
      <c r="L40">
        <v>3682.2</v>
      </c>
      <c r="M40">
        <v>3378.6</v>
      </c>
      <c r="N40">
        <v>3075</v>
      </c>
      <c r="O40">
        <v>3017.593469053299</v>
      </c>
      <c r="P40">
        <v>2964.8560988497466</v>
      </c>
      <c r="Q40">
        <v>2916.1194698419463</v>
      </c>
      <c r="R40">
        <v>2870.8487025610348</v>
      </c>
      <c r="S40">
        <v>2828.6091111083806</v>
      </c>
      <c r="T40">
        <v>2789.0426456530035</v>
      </c>
      <c r="U40">
        <v>2751.8508708004974</v>
      </c>
      <c r="V40">
        <v>2716.7824203272044</v>
      </c>
      <c r="W40">
        <v>2683.6235872892566</v>
      </c>
      <c r="X40">
        <v>2652.1911544600166</v>
      </c>
      <c r="Y40">
        <v>2622.3268543554586</v>
      </c>
      <c r="Z40">
        <v>2593.8930337600796</v>
      </c>
      <c r="AA40">
        <v>2566.769221587529</v>
      </c>
      <c r="AB40">
        <v>2540.8493831895535</v>
      </c>
      <c r="AC40">
        <v>2516.03970264602</v>
      </c>
      <c r="AD40">
        <v>2492.2567756404369</v>
      </c>
      <c r="AE40">
        <v>2469.426124902076</v>
      </c>
      <c r="AF40">
        <v>2447.4809714509611</v>
      </c>
      <c r="AG40">
        <v>2426.3612104630743</v>
      </c>
      <c r="AH40">
        <v>2406.0125521496225</v>
      </c>
      <c r="AI40">
        <v>2386.3857967025447</v>
      </c>
      <c r="AJ40">
        <v>2367.4362189371036</v>
      </c>
      <c r="AK40">
        <v>2349.1230432739289</v>
      </c>
      <c r="AL40">
        <v>2331.4089935847323</v>
      </c>
      <c r="AM40">
        <v>2314.2599054286479</v>
      </c>
    </row>
    <row r="41" spans="1:39">
      <c r="A41" t="s">
        <v>135</v>
      </c>
      <c r="B41" t="s">
        <v>228</v>
      </c>
      <c r="C41">
        <v>6846</v>
      </c>
      <c r="D41">
        <v>6470.5</v>
      </c>
      <c r="E41">
        <v>6095</v>
      </c>
      <c r="F41">
        <v>5719.5</v>
      </c>
      <c r="G41">
        <v>5343.9999999999991</v>
      </c>
      <c r="H41">
        <v>4968.4999999999991</v>
      </c>
      <c r="I41">
        <v>4593</v>
      </c>
      <c r="J41">
        <v>4441.2</v>
      </c>
      <c r="K41">
        <v>4289.3999999999996</v>
      </c>
      <c r="L41">
        <v>4137.6000000000004</v>
      </c>
      <c r="M41">
        <v>3985.8</v>
      </c>
      <c r="N41">
        <v>3834</v>
      </c>
      <c r="O41">
        <v>3682.2</v>
      </c>
      <c r="P41">
        <v>3530.4</v>
      </c>
      <c r="Q41">
        <v>3378.6</v>
      </c>
      <c r="R41">
        <v>3226.8</v>
      </c>
      <c r="S41">
        <v>3075</v>
      </c>
      <c r="T41">
        <v>3075</v>
      </c>
      <c r="U41">
        <v>3075</v>
      </c>
      <c r="V41">
        <v>3075</v>
      </c>
      <c r="W41">
        <v>3075</v>
      </c>
      <c r="X41">
        <v>3075</v>
      </c>
      <c r="Y41">
        <v>3075</v>
      </c>
      <c r="Z41">
        <v>3075</v>
      </c>
      <c r="AA41">
        <v>3075</v>
      </c>
      <c r="AB41">
        <v>3075</v>
      </c>
      <c r="AC41">
        <v>3075</v>
      </c>
      <c r="AD41">
        <v>3075</v>
      </c>
      <c r="AE41">
        <v>3075</v>
      </c>
      <c r="AF41">
        <v>3075</v>
      </c>
      <c r="AG41">
        <v>3075</v>
      </c>
      <c r="AH41">
        <v>3075</v>
      </c>
      <c r="AI41">
        <v>3075</v>
      </c>
      <c r="AJ41">
        <v>3075</v>
      </c>
      <c r="AK41">
        <v>3075</v>
      </c>
      <c r="AL41">
        <v>3075</v>
      </c>
      <c r="AM41">
        <v>3075</v>
      </c>
    </row>
    <row r="42" spans="1:39">
      <c r="A42" t="s">
        <v>135</v>
      </c>
      <c r="B42" t="s">
        <v>229</v>
      </c>
      <c r="C42">
        <v>6846</v>
      </c>
      <c r="D42">
        <v>6846</v>
      </c>
      <c r="E42">
        <v>6846</v>
      </c>
      <c r="F42">
        <v>6846</v>
      </c>
      <c r="G42">
        <v>6846</v>
      </c>
      <c r="H42">
        <v>6846</v>
      </c>
      <c r="I42">
        <v>6846</v>
      </c>
      <c r="J42">
        <v>6846</v>
      </c>
      <c r="K42">
        <v>6846</v>
      </c>
      <c r="L42">
        <v>6846</v>
      </c>
      <c r="M42">
        <v>6846</v>
      </c>
      <c r="N42">
        <v>6846</v>
      </c>
      <c r="O42">
        <v>6846</v>
      </c>
      <c r="P42">
        <v>6846</v>
      </c>
      <c r="Q42">
        <v>6846</v>
      </c>
      <c r="R42">
        <v>6846</v>
      </c>
      <c r="S42">
        <v>6846</v>
      </c>
      <c r="T42">
        <v>6846</v>
      </c>
      <c r="U42">
        <v>6846</v>
      </c>
      <c r="V42">
        <v>6846</v>
      </c>
      <c r="W42">
        <v>6846</v>
      </c>
      <c r="X42">
        <v>6846</v>
      </c>
      <c r="Y42">
        <v>6846</v>
      </c>
      <c r="Z42">
        <v>6846</v>
      </c>
      <c r="AA42">
        <v>6846</v>
      </c>
      <c r="AB42">
        <v>6846</v>
      </c>
      <c r="AC42">
        <v>6846</v>
      </c>
      <c r="AD42">
        <v>6846</v>
      </c>
      <c r="AE42">
        <v>6846</v>
      </c>
      <c r="AF42">
        <v>6846</v>
      </c>
      <c r="AG42">
        <v>6846</v>
      </c>
      <c r="AH42">
        <v>6846</v>
      </c>
      <c r="AI42">
        <v>6846</v>
      </c>
      <c r="AJ42">
        <v>6846</v>
      </c>
      <c r="AK42">
        <v>6846</v>
      </c>
      <c r="AL42">
        <v>6846</v>
      </c>
      <c r="AM42">
        <v>6846</v>
      </c>
    </row>
    <row r="43" spans="1:39">
      <c r="A43" t="s">
        <v>135</v>
      </c>
      <c r="B43" t="s">
        <v>230</v>
      </c>
      <c r="C43">
        <v>6846</v>
      </c>
      <c r="D43">
        <v>6470.5</v>
      </c>
      <c r="E43">
        <v>6095</v>
      </c>
      <c r="F43">
        <v>5719.5</v>
      </c>
      <c r="G43">
        <v>5343.9999999999991</v>
      </c>
      <c r="H43">
        <v>4968.4999999999991</v>
      </c>
      <c r="I43">
        <v>4593</v>
      </c>
      <c r="J43">
        <v>4289.3999999999996</v>
      </c>
      <c r="K43">
        <v>3985.8</v>
      </c>
      <c r="L43">
        <v>3682.2</v>
      </c>
      <c r="M43">
        <v>3378.6</v>
      </c>
      <c r="N43">
        <v>3075</v>
      </c>
      <c r="O43">
        <v>3017.593469053299</v>
      </c>
      <c r="P43">
        <v>2964.8560988497466</v>
      </c>
      <c r="Q43">
        <v>2916.1194698419463</v>
      </c>
      <c r="R43">
        <v>2870.8487025610348</v>
      </c>
      <c r="S43">
        <v>2828.6091111083806</v>
      </c>
      <c r="T43">
        <v>2789.0426456530035</v>
      </c>
      <c r="U43">
        <v>2751.8508708004974</v>
      </c>
      <c r="V43">
        <v>2716.7824203272044</v>
      </c>
      <c r="W43">
        <v>2683.6235872892566</v>
      </c>
      <c r="X43">
        <v>2652.1911544600166</v>
      </c>
      <c r="Y43">
        <v>2622.3268543554586</v>
      </c>
      <c r="Z43">
        <v>2593.8930337600796</v>
      </c>
      <c r="AA43">
        <v>2566.769221587529</v>
      </c>
      <c r="AB43">
        <v>2540.8493831895535</v>
      </c>
      <c r="AC43">
        <v>2516.03970264602</v>
      </c>
      <c r="AD43">
        <v>2492.2567756404369</v>
      </c>
      <c r="AE43">
        <v>2469.426124902076</v>
      </c>
      <c r="AF43">
        <v>2447.4809714509611</v>
      </c>
      <c r="AG43">
        <v>2426.3612104630743</v>
      </c>
      <c r="AH43">
        <v>2406.0125521496225</v>
      </c>
      <c r="AI43">
        <v>2386.3857967025447</v>
      </c>
      <c r="AJ43">
        <v>2367.4362189371036</v>
      </c>
      <c r="AK43">
        <v>2349.1230432739289</v>
      </c>
      <c r="AL43">
        <v>2331.4089935847323</v>
      </c>
      <c r="AM43">
        <v>2314.2599054286479</v>
      </c>
    </row>
    <row r="44" spans="1:39">
      <c r="A44" t="s">
        <v>135</v>
      </c>
      <c r="B44" t="s">
        <v>231</v>
      </c>
      <c r="C44">
        <v>6846</v>
      </c>
      <c r="D44">
        <v>6470.5</v>
      </c>
      <c r="E44">
        <v>6095</v>
      </c>
      <c r="F44">
        <v>5719.5</v>
      </c>
      <c r="G44">
        <v>5343.9999999999991</v>
      </c>
      <c r="H44">
        <v>4968.4999999999991</v>
      </c>
      <c r="I44">
        <v>4593</v>
      </c>
      <c r="J44">
        <v>4441.2</v>
      </c>
      <c r="K44">
        <v>4289.3999999999996</v>
      </c>
      <c r="L44">
        <v>4137.6000000000004</v>
      </c>
      <c r="M44">
        <v>3985.8</v>
      </c>
      <c r="N44">
        <v>3834</v>
      </c>
      <c r="O44">
        <v>3682.2</v>
      </c>
      <c r="P44">
        <v>3530.4</v>
      </c>
      <c r="Q44">
        <v>3378.6</v>
      </c>
      <c r="R44">
        <v>3226.8</v>
      </c>
      <c r="S44">
        <v>3075</v>
      </c>
      <c r="T44">
        <v>3075</v>
      </c>
      <c r="U44">
        <v>3075</v>
      </c>
      <c r="V44">
        <v>3075</v>
      </c>
      <c r="W44">
        <v>3075</v>
      </c>
      <c r="X44">
        <v>3075</v>
      </c>
      <c r="Y44">
        <v>3075</v>
      </c>
      <c r="Z44">
        <v>3075</v>
      </c>
      <c r="AA44">
        <v>3075</v>
      </c>
      <c r="AB44">
        <v>3075</v>
      </c>
      <c r="AC44">
        <v>3075</v>
      </c>
      <c r="AD44">
        <v>3075</v>
      </c>
      <c r="AE44">
        <v>3075</v>
      </c>
      <c r="AF44">
        <v>3075</v>
      </c>
      <c r="AG44">
        <v>3075</v>
      </c>
      <c r="AH44">
        <v>3075</v>
      </c>
      <c r="AI44">
        <v>3075</v>
      </c>
      <c r="AJ44">
        <v>3075</v>
      </c>
      <c r="AK44">
        <v>3075</v>
      </c>
      <c r="AL44">
        <v>3075</v>
      </c>
      <c r="AM44">
        <v>3075</v>
      </c>
    </row>
    <row r="45" spans="1:39">
      <c r="A45" t="s">
        <v>135</v>
      </c>
      <c r="B45" t="s">
        <v>232</v>
      </c>
      <c r="C45">
        <v>6846</v>
      </c>
      <c r="D45">
        <v>6846</v>
      </c>
      <c r="E45">
        <v>6846</v>
      </c>
      <c r="F45">
        <v>6846</v>
      </c>
      <c r="G45">
        <v>6846</v>
      </c>
      <c r="H45">
        <v>6846</v>
      </c>
      <c r="I45">
        <v>6846</v>
      </c>
      <c r="J45">
        <v>6846</v>
      </c>
      <c r="K45">
        <v>6846</v>
      </c>
      <c r="L45">
        <v>6846</v>
      </c>
      <c r="M45">
        <v>6846</v>
      </c>
      <c r="N45">
        <v>6846</v>
      </c>
      <c r="O45">
        <v>6846</v>
      </c>
      <c r="P45">
        <v>6846</v>
      </c>
      <c r="Q45">
        <v>6846</v>
      </c>
      <c r="R45">
        <v>6846</v>
      </c>
      <c r="S45">
        <v>6846</v>
      </c>
      <c r="T45">
        <v>6846</v>
      </c>
      <c r="U45">
        <v>6846</v>
      </c>
      <c r="V45">
        <v>6846</v>
      </c>
      <c r="W45">
        <v>6846</v>
      </c>
      <c r="X45">
        <v>6846</v>
      </c>
      <c r="Y45">
        <v>6846</v>
      </c>
      <c r="Z45">
        <v>6846</v>
      </c>
      <c r="AA45">
        <v>6846</v>
      </c>
      <c r="AB45">
        <v>6846</v>
      </c>
      <c r="AC45">
        <v>6846</v>
      </c>
      <c r="AD45">
        <v>6846</v>
      </c>
      <c r="AE45">
        <v>6846</v>
      </c>
      <c r="AF45">
        <v>6846</v>
      </c>
      <c r="AG45">
        <v>6846</v>
      </c>
      <c r="AH45">
        <v>6846</v>
      </c>
      <c r="AI45">
        <v>6846</v>
      </c>
      <c r="AJ45">
        <v>6846</v>
      </c>
      <c r="AK45">
        <v>6846</v>
      </c>
      <c r="AL45">
        <v>6846</v>
      </c>
      <c r="AM45">
        <v>6846</v>
      </c>
    </row>
    <row r="46" spans="1:39">
      <c r="A46" t="s">
        <v>135</v>
      </c>
      <c r="B46" t="s">
        <v>233</v>
      </c>
      <c r="C46">
        <v>8024.8</v>
      </c>
      <c r="D46">
        <v>7618.9666666666672</v>
      </c>
      <c r="E46">
        <v>7213.1333333333323</v>
      </c>
      <c r="F46">
        <v>6807.3</v>
      </c>
      <c r="G46">
        <v>6401.4666666666653</v>
      </c>
      <c r="H46">
        <v>5995.6333333333323</v>
      </c>
      <c r="I46">
        <v>5589.8</v>
      </c>
      <c r="J46">
        <v>5178.6000000000004</v>
      </c>
      <c r="K46">
        <v>4767.3999999999996</v>
      </c>
      <c r="L46">
        <v>4356.2</v>
      </c>
      <c r="M46">
        <v>3945</v>
      </c>
      <c r="N46">
        <v>3533.8</v>
      </c>
      <c r="O46">
        <v>3471.6686658690255</v>
      </c>
      <c r="P46">
        <v>3414.5682612589681</v>
      </c>
      <c r="Q46">
        <v>3361.7799878568567</v>
      </c>
      <c r="R46">
        <v>3312.7284941024159</v>
      </c>
      <c r="S46">
        <v>3266.946081344076</v>
      </c>
      <c r="T46">
        <v>3224.047411581701</v>
      </c>
      <c r="U46">
        <v>3183.7112284171449</v>
      </c>
      <c r="V46">
        <v>3145.66688229582</v>
      </c>
      <c r="W46">
        <v>3109.6842214713138</v>
      </c>
      <c r="X46">
        <v>3075.565888334756</v>
      </c>
      <c r="Y46">
        <v>3043.1413656845384</v>
      </c>
      <c r="Z46">
        <v>3012.2623166701351</v>
      </c>
      <c r="AA46">
        <v>2982.7988951025327</v>
      </c>
      <c r="AB46">
        <v>2954.6367932632411</v>
      </c>
      <c r="AC46">
        <v>2927.6748570429681</v>
      </c>
      <c r="AD46">
        <v>2901.8231423274815</v>
      </c>
      <c r="AE46">
        <v>2877.0013180860142</v>
      </c>
      <c r="AF46">
        <v>2853.1373444392179</v>
      </c>
      <c r="AG46">
        <v>2830.1663707151115</v>
      </c>
      <c r="AH46">
        <v>2808.0298109344353</v>
      </c>
      <c r="AI46">
        <v>2786.6745634665122</v>
      </c>
      <c r="AJ46">
        <v>2766.0523486638094</v>
      </c>
      <c r="AK46">
        <v>2746.1191436672866</v>
      </c>
      <c r="AL46">
        <v>2726.8346977456517</v>
      </c>
      <c r="AM46">
        <v>2708.1621147580863</v>
      </c>
    </row>
    <row r="47" spans="1:39">
      <c r="A47" t="s">
        <v>135</v>
      </c>
      <c r="B47" t="s">
        <v>234</v>
      </c>
      <c r="C47">
        <v>8024.8</v>
      </c>
      <c r="D47">
        <v>7618.9666666666672</v>
      </c>
      <c r="E47">
        <v>7213.1333333333323</v>
      </c>
      <c r="F47">
        <v>6807.3</v>
      </c>
      <c r="G47">
        <v>6401.4666666666653</v>
      </c>
      <c r="H47">
        <v>5995.6333333333323</v>
      </c>
      <c r="I47">
        <v>5589.8</v>
      </c>
      <c r="J47">
        <v>5384.2</v>
      </c>
      <c r="K47">
        <v>5178.6000000000004</v>
      </c>
      <c r="L47">
        <v>4973</v>
      </c>
      <c r="M47">
        <v>4767.3999999999996</v>
      </c>
      <c r="N47">
        <v>4561.8</v>
      </c>
      <c r="O47">
        <v>4356.2</v>
      </c>
      <c r="P47">
        <v>4150.6000000000004</v>
      </c>
      <c r="Q47">
        <v>3945</v>
      </c>
      <c r="R47">
        <v>3739.4</v>
      </c>
      <c r="S47">
        <v>3533.8</v>
      </c>
      <c r="T47">
        <v>3533.8</v>
      </c>
      <c r="U47">
        <v>3533.8</v>
      </c>
      <c r="V47">
        <v>3533.8</v>
      </c>
      <c r="W47">
        <v>3533.8</v>
      </c>
      <c r="X47">
        <v>3533.8</v>
      </c>
      <c r="Y47">
        <v>3533.8</v>
      </c>
      <c r="Z47">
        <v>3533.8</v>
      </c>
      <c r="AA47">
        <v>3533.8</v>
      </c>
      <c r="AB47">
        <v>3533.8</v>
      </c>
      <c r="AC47">
        <v>3533.8</v>
      </c>
      <c r="AD47">
        <v>3533.8</v>
      </c>
      <c r="AE47">
        <v>3533.8</v>
      </c>
      <c r="AF47">
        <v>3533.8</v>
      </c>
      <c r="AG47">
        <v>3533.8</v>
      </c>
      <c r="AH47">
        <v>3533.8</v>
      </c>
      <c r="AI47">
        <v>3533.8</v>
      </c>
      <c r="AJ47">
        <v>3533.8</v>
      </c>
      <c r="AK47">
        <v>3533.8</v>
      </c>
      <c r="AL47">
        <v>3533.8</v>
      </c>
      <c r="AM47">
        <v>3533.8</v>
      </c>
    </row>
    <row r="48" spans="1:39">
      <c r="A48" t="s">
        <v>135</v>
      </c>
      <c r="B48" t="s">
        <v>235</v>
      </c>
      <c r="C48">
        <v>8024.8</v>
      </c>
      <c r="D48">
        <v>8024.8</v>
      </c>
      <c r="E48">
        <v>8024.8</v>
      </c>
      <c r="F48">
        <v>8024.8</v>
      </c>
      <c r="G48">
        <v>8024.8</v>
      </c>
      <c r="H48">
        <v>8024.8</v>
      </c>
      <c r="I48">
        <v>8024.8</v>
      </c>
      <c r="J48">
        <v>8024.8</v>
      </c>
      <c r="K48">
        <v>8024.8</v>
      </c>
      <c r="L48">
        <v>8024.8</v>
      </c>
      <c r="M48">
        <v>8024.8</v>
      </c>
      <c r="N48">
        <v>8024.8</v>
      </c>
      <c r="O48">
        <v>8024.8</v>
      </c>
      <c r="P48">
        <v>8024.8</v>
      </c>
      <c r="Q48">
        <v>8024.8</v>
      </c>
      <c r="R48">
        <v>8024.8</v>
      </c>
      <c r="S48">
        <v>8024.8</v>
      </c>
      <c r="T48">
        <v>8024.8</v>
      </c>
      <c r="U48">
        <v>8024.8</v>
      </c>
      <c r="V48">
        <v>8024.8</v>
      </c>
      <c r="W48">
        <v>8024.8</v>
      </c>
      <c r="X48">
        <v>8024.8</v>
      </c>
      <c r="Y48">
        <v>8024.8</v>
      </c>
      <c r="Z48">
        <v>8024.8</v>
      </c>
      <c r="AA48">
        <v>8024.8</v>
      </c>
      <c r="AB48">
        <v>8024.8</v>
      </c>
      <c r="AC48">
        <v>8024.8</v>
      </c>
      <c r="AD48">
        <v>8024.8</v>
      </c>
      <c r="AE48">
        <v>8024.8</v>
      </c>
      <c r="AF48">
        <v>8024.8</v>
      </c>
      <c r="AG48">
        <v>8024.8</v>
      </c>
      <c r="AH48">
        <v>8024.8</v>
      </c>
      <c r="AI48">
        <v>8024.8</v>
      </c>
      <c r="AJ48">
        <v>8024.8</v>
      </c>
      <c r="AK48">
        <v>8024.8</v>
      </c>
      <c r="AL48">
        <v>8024.8</v>
      </c>
      <c r="AM48">
        <v>8024.8</v>
      </c>
    </row>
    <row r="49" spans="1:39">
      <c r="A49" t="s">
        <v>135</v>
      </c>
      <c r="B49" t="s">
        <v>236</v>
      </c>
      <c r="C49">
        <v>8024.8</v>
      </c>
      <c r="D49">
        <v>7618.9666666666672</v>
      </c>
      <c r="E49">
        <v>7213.1333333333323</v>
      </c>
      <c r="F49">
        <v>6807.3</v>
      </c>
      <c r="G49">
        <v>6401.4666666666653</v>
      </c>
      <c r="H49">
        <v>5995.6333333333323</v>
      </c>
      <c r="I49">
        <v>5589.8</v>
      </c>
      <c r="J49">
        <v>5178.6000000000004</v>
      </c>
      <c r="K49">
        <v>4767.3999999999996</v>
      </c>
      <c r="L49">
        <v>4356.2</v>
      </c>
      <c r="M49">
        <v>3945</v>
      </c>
      <c r="N49">
        <v>3533.8</v>
      </c>
      <c r="O49">
        <v>3471.6686658690255</v>
      </c>
      <c r="P49">
        <v>3414.5682612589681</v>
      </c>
      <c r="Q49">
        <v>3361.7799878568567</v>
      </c>
      <c r="R49">
        <v>3312.7284941024159</v>
      </c>
      <c r="S49">
        <v>3266.946081344076</v>
      </c>
      <c r="T49">
        <v>3224.047411581701</v>
      </c>
      <c r="U49">
        <v>3183.7112284171449</v>
      </c>
      <c r="V49">
        <v>3145.66688229582</v>
      </c>
      <c r="W49">
        <v>3109.6842214713138</v>
      </c>
      <c r="X49">
        <v>3075.565888334756</v>
      </c>
      <c r="Y49">
        <v>3043.1413656845384</v>
      </c>
      <c r="Z49">
        <v>3012.2623166701351</v>
      </c>
      <c r="AA49">
        <v>2982.7988951025327</v>
      </c>
      <c r="AB49">
        <v>2954.6367932632411</v>
      </c>
      <c r="AC49">
        <v>2927.6748570429681</v>
      </c>
      <c r="AD49">
        <v>2901.8231423274815</v>
      </c>
      <c r="AE49">
        <v>2877.0013180860142</v>
      </c>
      <c r="AF49">
        <v>2853.1373444392179</v>
      </c>
      <c r="AG49">
        <v>2830.1663707151115</v>
      </c>
      <c r="AH49">
        <v>2808.0298109344353</v>
      </c>
      <c r="AI49">
        <v>2786.6745634665122</v>
      </c>
      <c r="AJ49">
        <v>2766.0523486638094</v>
      </c>
      <c r="AK49">
        <v>2746.1191436672866</v>
      </c>
      <c r="AL49">
        <v>2726.8346977456517</v>
      </c>
      <c r="AM49">
        <v>2708.1621147580863</v>
      </c>
    </row>
    <row r="50" spans="1:39">
      <c r="A50" t="s">
        <v>135</v>
      </c>
      <c r="B50" t="s">
        <v>237</v>
      </c>
      <c r="C50">
        <v>8024.8</v>
      </c>
      <c r="D50">
        <v>7618.9666666666672</v>
      </c>
      <c r="E50">
        <v>7213.1333333333323</v>
      </c>
      <c r="F50">
        <v>6807.3</v>
      </c>
      <c r="G50">
        <v>6401.4666666666653</v>
      </c>
      <c r="H50">
        <v>5995.6333333333323</v>
      </c>
      <c r="I50">
        <v>5589.8</v>
      </c>
      <c r="J50">
        <v>5384.2</v>
      </c>
      <c r="K50">
        <v>5178.6000000000004</v>
      </c>
      <c r="L50">
        <v>4973</v>
      </c>
      <c r="M50">
        <v>4767.3999999999996</v>
      </c>
      <c r="N50">
        <v>4561.8</v>
      </c>
      <c r="O50">
        <v>4356.2</v>
      </c>
      <c r="P50">
        <v>4150.6000000000004</v>
      </c>
      <c r="Q50">
        <v>3945</v>
      </c>
      <c r="R50">
        <v>3739.4</v>
      </c>
      <c r="S50">
        <v>3533.8</v>
      </c>
      <c r="T50">
        <v>3533.8</v>
      </c>
      <c r="U50">
        <v>3533.8</v>
      </c>
      <c r="V50">
        <v>3533.8</v>
      </c>
      <c r="W50">
        <v>3533.8</v>
      </c>
      <c r="X50">
        <v>3533.8</v>
      </c>
      <c r="Y50">
        <v>3533.8</v>
      </c>
      <c r="Z50">
        <v>3533.8</v>
      </c>
      <c r="AA50">
        <v>3533.8</v>
      </c>
      <c r="AB50">
        <v>3533.8</v>
      </c>
      <c r="AC50">
        <v>3533.8</v>
      </c>
      <c r="AD50">
        <v>3533.8</v>
      </c>
      <c r="AE50">
        <v>3533.8</v>
      </c>
      <c r="AF50">
        <v>3533.8</v>
      </c>
      <c r="AG50">
        <v>3533.8</v>
      </c>
      <c r="AH50">
        <v>3533.8</v>
      </c>
      <c r="AI50">
        <v>3533.8</v>
      </c>
      <c r="AJ50">
        <v>3533.8</v>
      </c>
      <c r="AK50">
        <v>3533.8</v>
      </c>
      <c r="AL50">
        <v>3533.8</v>
      </c>
      <c r="AM50">
        <v>3533.8</v>
      </c>
    </row>
    <row r="51" spans="1:39">
      <c r="A51" t="s">
        <v>135</v>
      </c>
      <c r="B51" t="s">
        <v>238</v>
      </c>
      <c r="C51">
        <v>8024.8</v>
      </c>
      <c r="D51">
        <v>8024.8</v>
      </c>
      <c r="E51">
        <v>8024.8</v>
      </c>
      <c r="F51">
        <v>8024.8</v>
      </c>
      <c r="G51">
        <v>8024.8</v>
      </c>
      <c r="H51">
        <v>8024.8</v>
      </c>
      <c r="I51">
        <v>8024.8</v>
      </c>
      <c r="J51">
        <v>8024.8</v>
      </c>
      <c r="K51">
        <v>8024.8</v>
      </c>
      <c r="L51">
        <v>8024.8</v>
      </c>
      <c r="M51">
        <v>8024.8</v>
      </c>
      <c r="N51">
        <v>8024.8</v>
      </c>
      <c r="O51">
        <v>8024.8</v>
      </c>
      <c r="P51">
        <v>8024.8</v>
      </c>
      <c r="Q51">
        <v>8024.8</v>
      </c>
      <c r="R51">
        <v>8024.8</v>
      </c>
      <c r="S51">
        <v>8024.8</v>
      </c>
      <c r="T51">
        <v>8024.8</v>
      </c>
      <c r="U51">
        <v>8024.8</v>
      </c>
      <c r="V51">
        <v>8024.8</v>
      </c>
      <c r="W51">
        <v>8024.8</v>
      </c>
      <c r="X51">
        <v>8024.8</v>
      </c>
      <c r="Y51">
        <v>8024.8</v>
      </c>
      <c r="Z51">
        <v>8024.8</v>
      </c>
      <c r="AA51">
        <v>8024.8</v>
      </c>
      <c r="AB51">
        <v>8024.8</v>
      </c>
      <c r="AC51">
        <v>8024.8</v>
      </c>
      <c r="AD51">
        <v>8024.8</v>
      </c>
      <c r="AE51">
        <v>8024.8</v>
      </c>
      <c r="AF51">
        <v>8024.8</v>
      </c>
      <c r="AG51">
        <v>8024.8</v>
      </c>
      <c r="AH51">
        <v>8024.8</v>
      </c>
      <c r="AI51">
        <v>8024.8</v>
      </c>
      <c r="AJ51">
        <v>8024.8</v>
      </c>
      <c r="AK51">
        <v>8024.8</v>
      </c>
      <c r="AL51">
        <v>8024.8</v>
      </c>
      <c r="AM51">
        <v>8024.8</v>
      </c>
    </row>
    <row r="52" spans="1:39">
      <c r="A52" t="s">
        <v>135</v>
      </c>
      <c r="B52" t="s">
        <v>239</v>
      </c>
      <c r="C52">
        <v>8024.8</v>
      </c>
      <c r="D52">
        <v>7618.9666666666672</v>
      </c>
      <c r="E52">
        <v>7213.1333333333323</v>
      </c>
      <c r="F52">
        <v>6807.3</v>
      </c>
      <c r="G52">
        <v>6401.4666666666653</v>
      </c>
      <c r="H52">
        <v>5995.6333333333323</v>
      </c>
      <c r="I52">
        <v>5589.8</v>
      </c>
      <c r="J52">
        <v>5178.6000000000004</v>
      </c>
      <c r="K52">
        <v>4767.3999999999996</v>
      </c>
      <c r="L52">
        <v>4356.2</v>
      </c>
      <c r="M52">
        <v>3945</v>
      </c>
      <c r="N52">
        <v>3533.8</v>
      </c>
      <c r="O52">
        <v>3471.6686658690255</v>
      </c>
      <c r="P52">
        <v>3414.5682612589681</v>
      </c>
      <c r="Q52">
        <v>3361.7799878568567</v>
      </c>
      <c r="R52">
        <v>3312.7284941024159</v>
      </c>
      <c r="S52">
        <v>3266.946081344076</v>
      </c>
      <c r="T52">
        <v>3224.047411581701</v>
      </c>
      <c r="U52">
        <v>3183.7112284171449</v>
      </c>
      <c r="V52">
        <v>3145.66688229582</v>
      </c>
      <c r="W52">
        <v>3109.6842214713138</v>
      </c>
      <c r="X52">
        <v>3075.565888334756</v>
      </c>
      <c r="Y52">
        <v>3043.1413656845384</v>
      </c>
      <c r="Z52">
        <v>3012.2623166701351</v>
      </c>
      <c r="AA52">
        <v>2982.7988951025327</v>
      </c>
      <c r="AB52">
        <v>2954.6367932632411</v>
      </c>
      <c r="AC52">
        <v>2927.6748570429681</v>
      </c>
      <c r="AD52">
        <v>2901.8231423274815</v>
      </c>
      <c r="AE52">
        <v>2877.0013180860142</v>
      </c>
      <c r="AF52">
        <v>2853.1373444392179</v>
      </c>
      <c r="AG52">
        <v>2830.1663707151115</v>
      </c>
      <c r="AH52">
        <v>2808.0298109344353</v>
      </c>
      <c r="AI52">
        <v>2786.6745634665122</v>
      </c>
      <c r="AJ52">
        <v>2766.0523486638094</v>
      </c>
      <c r="AK52">
        <v>2746.1191436672866</v>
      </c>
      <c r="AL52">
        <v>2726.8346977456517</v>
      </c>
      <c r="AM52">
        <v>2708.1621147580863</v>
      </c>
    </row>
    <row r="53" spans="1:39">
      <c r="A53" t="s">
        <v>135</v>
      </c>
      <c r="B53" t="s">
        <v>240</v>
      </c>
      <c r="C53">
        <v>8024.8</v>
      </c>
      <c r="D53">
        <v>7618.9666666666672</v>
      </c>
      <c r="E53">
        <v>7213.1333333333323</v>
      </c>
      <c r="F53">
        <v>6807.3</v>
      </c>
      <c r="G53">
        <v>6401.4666666666653</v>
      </c>
      <c r="H53">
        <v>5995.6333333333323</v>
      </c>
      <c r="I53">
        <v>5589.8</v>
      </c>
      <c r="J53">
        <v>5384.2</v>
      </c>
      <c r="K53">
        <v>5178.6000000000004</v>
      </c>
      <c r="L53">
        <v>4973</v>
      </c>
      <c r="M53">
        <v>4767.3999999999996</v>
      </c>
      <c r="N53">
        <v>4561.8</v>
      </c>
      <c r="O53">
        <v>4356.2</v>
      </c>
      <c r="P53">
        <v>4150.6000000000004</v>
      </c>
      <c r="Q53">
        <v>3945</v>
      </c>
      <c r="R53">
        <v>3739.4</v>
      </c>
      <c r="S53">
        <v>3533.8</v>
      </c>
      <c r="T53">
        <v>3533.8</v>
      </c>
      <c r="U53">
        <v>3533.8</v>
      </c>
      <c r="V53">
        <v>3533.8</v>
      </c>
      <c r="W53">
        <v>3533.8</v>
      </c>
      <c r="X53">
        <v>3533.8</v>
      </c>
      <c r="Y53">
        <v>3533.8</v>
      </c>
      <c r="Z53">
        <v>3533.8</v>
      </c>
      <c r="AA53">
        <v>3533.8</v>
      </c>
      <c r="AB53">
        <v>3533.8</v>
      </c>
      <c r="AC53">
        <v>3533.8</v>
      </c>
      <c r="AD53">
        <v>3533.8</v>
      </c>
      <c r="AE53">
        <v>3533.8</v>
      </c>
      <c r="AF53">
        <v>3533.8</v>
      </c>
      <c r="AG53">
        <v>3533.8</v>
      </c>
      <c r="AH53">
        <v>3533.8</v>
      </c>
      <c r="AI53">
        <v>3533.8</v>
      </c>
      <c r="AJ53">
        <v>3533.8</v>
      </c>
      <c r="AK53">
        <v>3533.8</v>
      </c>
      <c r="AL53">
        <v>3533.8</v>
      </c>
      <c r="AM53">
        <v>3533.8</v>
      </c>
    </row>
    <row r="54" spans="1:39">
      <c r="A54" t="s">
        <v>135</v>
      </c>
      <c r="B54" t="s">
        <v>241</v>
      </c>
      <c r="C54">
        <v>8024.8</v>
      </c>
      <c r="D54">
        <v>8024.8</v>
      </c>
      <c r="E54">
        <v>8024.8</v>
      </c>
      <c r="F54">
        <v>8024.8</v>
      </c>
      <c r="G54">
        <v>8024.8</v>
      </c>
      <c r="H54">
        <v>8024.8</v>
      </c>
      <c r="I54">
        <v>8024.8</v>
      </c>
      <c r="J54">
        <v>8024.8</v>
      </c>
      <c r="K54">
        <v>8024.8</v>
      </c>
      <c r="L54">
        <v>8024.8</v>
      </c>
      <c r="M54">
        <v>8024.8</v>
      </c>
      <c r="N54">
        <v>8024.8</v>
      </c>
      <c r="O54">
        <v>8024.8</v>
      </c>
      <c r="P54">
        <v>8024.8</v>
      </c>
      <c r="Q54">
        <v>8024.8</v>
      </c>
      <c r="R54">
        <v>8024.8</v>
      </c>
      <c r="S54">
        <v>8024.8</v>
      </c>
      <c r="T54">
        <v>8024.8</v>
      </c>
      <c r="U54">
        <v>8024.8</v>
      </c>
      <c r="V54">
        <v>8024.8</v>
      </c>
      <c r="W54">
        <v>8024.8</v>
      </c>
      <c r="X54">
        <v>8024.8</v>
      </c>
      <c r="Y54">
        <v>8024.8</v>
      </c>
      <c r="Z54">
        <v>8024.8</v>
      </c>
      <c r="AA54">
        <v>8024.8</v>
      </c>
      <c r="AB54">
        <v>8024.8</v>
      </c>
      <c r="AC54">
        <v>8024.8</v>
      </c>
      <c r="AD54">
        <v>8024.8</v>
      </c>
      <c r="AE54">
        <v>8024.8</v>
      </c>
      <c r="AF54">
        <v>8024.8</v>
      </c>
      <c r="AG54">
        <v>8024.8</v>
      </c>
      <c r="AH54">
        <v>8024.8</v>
      </c>
      <c r="AI54">
        <v>8024.8</v>
      </c>
      <c r="AJ54">
        <v>8024.8</v>
      </c>
      <c r="AK54">
        <v>8024.8</v>
      </c>
      <c r="AL54">
        <v>8024.8</v>
      </c>
      <c r="AM54">
        <v>8024.8</v>
      </c>
    </row>
    <row r="55" spans="1:39">
      <c r="A55" t="s">
        <v>128</v>
      </c>
      <c r="B55" t="s">
        <v>242</v>
      </c>
      <c r="C55">
        <v>3717.5439999999999</v>
      </c>
      <c r="D55">
        <v>3710.9490289887999</v>
      </c>
      <c r="E55">
        <v>3704.3540579775995</v>
      </c>
      <c r="F55">
        <v>3652.80402779631</v>
      </c>
      <c r="G55">
        <v>3636.1527608365041</v>
      </c>
      <c r="H55">
        <v>3639.8391614884681</v>
      </c>
      <c r="I55">
        <v>3625.9568981595094</v>
      </c>
      <c r="J55">
        <v>3612.0725828713853</v>
      </c>
      <c r="K55">
        <v>3598.1888247685265</v>
      </c>
      <c r="L55">
        <v>3584.3027744005512</v>
      </c>
      <c r="M55">
        <v>3570.4209071152109</v>
      </c>
      <c r="N55">
        <v>3556.5352891022026</v>
      </c>
      <c r="O55">
        <v>3542.6533450968104</v>
      </c>
      <c r="P55">
        <v>3528.7691420415908</v>
      </c>
      <c r="Q55">
        <v>3514.884050486261</v>
      </c>
      <c r="R55">
        <v>3501.002716309647</v>
      </c>
      <c r="S55">
        <v>3487.1179545018231</v>
      </c>
      <c r="T55">
        <v>3473.2313565139352</v>
      </c>
      <c r="U55">
        <v>3459.3489857460058</v>
      </c>
      <c r="V55">
        <v>3445.4664885180396</v>
      </c>
      <c r="W55">
        <v>3431.5823174600864</v>
      </c>
      <c r="X55">
        <v>3417.697796194253</v>
      </c>
      <c r="Y55">
        <v>3403.8125760455455</v>
      </c>
      <c r="Z55">
        <v>3389.9296760843818</v>
      </c>
      <c r="AA55">
        <v>3376.0451562449302</v>
      </c>
      <c r="AB55">
        <v>3362.1626677838681</v>
      </c>
      <c r="AC55">
        <v>3348.2762839866841</v>
      </c>
      <c r="AD55">
        <v>3334.3921169351702</v>
      </c>
      <c r="AE55">
        <v>3320.5079498836562</v>
      </c>
      <c r="AF55">
        <v>3306.6237828321423</v>
      </c>
      <c r="AG55">
        <v>3292.7396157806284</v>
      </c>
      <c r="AH55">
        <v>3278.8554487291144</v>
      </c>
      <c r="AI55">
        <v>3264.9712816776005</v>
      </c>
      <c r="AJ55">
        <v>3251.0871146260865</v>
      </c>
      <c r="AK55">
        <v>3237.2029475745726</v>
      </c>
      <c r="AL55">
        <v>3223.3187805230586</v>
      </c>
      <c r="AM55">
        <v>3209.4346134715447</v>
      </c>
    </row>
    <row r="56" spans="1:39">
      <c r="A56" t="s">
        <v>128</v>
      </c>
      <c r="B56" t="s">
        <v>243</v>
      </c>
      <c r="C56">
        <v>3717.5439999999999</v>
      </c>
      <c r="D56">
        <v>3710.9490289887999</v>
      </c>
      <c r="E56">
        <v>3704.3540579775995</v>
      </c>
      <c r="F56">
        <v>3652.80402779631</v>
      </c>
      <c r="G56">
        <v>3636.1527608365041</v>
      </c>
      <c r="H56">
        <v>3639.8391614884681</v>
      </c>
      <c r="I56">
        <v>3625.9568981595094</v>
      </c>
      <c r="J56">
        <v>3612.0725828713853</v>
      </c>
      <c r="K56">
        <v>3598.1888247685265</v>
      </c>
      <c r="L56">
        <v>3584.3027744005512</v>
      </c>
      <c r="M56">
        <v>3570.4209071152109</v>
      </c>
      <c r="N56">
        <v>3556.5352891022026</v>
      </c>
      <c r="O56">
        <v>3542.6533450968104</v>
      </c>
      <c r="P56">
        <v>3528.7691420415908</v>
      </c>
      <c r="Q56">
        <v>3514.884050486261</v>
      </c>
      <c r="R56">
        <v>3501.002716309647</v>
      </c>
      <c r="S56">
        <v>3487.1179545018231</v>
      </c>
      <c r="T56">
        <v>3473.2313565139352</v>
      </c>
      <c r="U56">
        <v>3459.3489857460058</v>
      </c>
      <c r="V56">
        <v>3445.4664885180396</v>
      </c>
      <c r="W56">
        <v>3431.5823174600864</v>
      </c>
      <c r="X56">
        <v>3417.697796194253</v>
      </c>
      <c r="Y56">
        <v>3403.8125760455455</v>
      </c>
      <c r="Z56">
        <v>3389.9296760843818</v>
      </c>
      <c r="AA56">
        <v>3376.0451562449302</v>
      </c>
      <c r="AB56">
        <v>3362.1626677838681</v>
      </c>
      <c r="AC56">
        <v>3348.2762839866841</v>
      </c>
      <c r="AD56">
        <v>3334.3921169351702</v>
      </c>
      <c r="AE56">
        <v>3320.5079498836562</v>
      </c>
      <c r="AF56">
        <v>3306.6237828321423</v>
      </c>
      <c r="AG56">
        <v>3292.7396157806284</v>
      </c>
      <c r="AH56">
        <v>3278.8554487291144</v>
      </c>
      <c r="AI56">
        <v>3264.9712816776005</v>
      </c>
      <c r="AJ56">
        <v>3251.0871146260865</v>
      </c>
      <c r="AK56">
        <v>3237.2029475745726</v>
      </c>
      <c r="AL56">
        <v>3223.3187805230586</v>
      </c>
      <c r="AM56">
        <v>3209.4346134715447</v>
      </c>
    </row>
    <row r="57" spans="1:39">
      <c r="A57" t="s">
        <v>128</v>
      </c>
      <c r="B57" t="s">
        <v>244</v>
      </c>
      <c r="C57">
        <v>3717.5439999999999</v>
      </c>
      <c r="D57">
        <v>3710.9490289887999</v>
      </c>
      <c r="E57">
        <v>3704.3540579775995</v>
      </c>
      <c r="F57">
        <v>3652.80402779631</v>
      </c>
      <c r="G57">
        <v>3636.1527608365041</v>
      </c>
      <c r="H57">
        <v>3639.8391614884681</v>
      </c>
      <c r="I57">
        <v>3625.9568981595094</v>
      </c>
      <c r="J57">
        <v>3612.0725828713853</v>
      </c>
      <c r="K57">
        <v>3598.1888247685265</v>
      </c>
      <c r="L57">
        <v>3584.3027744005512</v>
      </c>
      <c r="M57">
        <v>3570.4209071152109</v>
      </c>
      <c r="N57">
        <v>3556.5352891022026</v>
      </c>
      <c r="O57">
        <v>3542.6533450968104</v>
      </c>
      <c r="P57">
        <v>3528.7691420415908</v>
      </c>
      <c r="Q57">
        <v>3514.884050486261</v>
      </c>
      <c r="R57">
        <v>3501.002716309647</v>
      </c>
      <c r="S57">
        <v>3487.1179545018231</v>
      </c>
      <c r="T57">
        <v>3473.2313565139352</v>
      </c>
      <c r="U57">
        <v>3459.3489857460058</v>
      </c>
      <c r="V57">
        <v>3445.4664885180396</v>
      </c>
      <c r="W57">
        <v>3431.5823174600864</v>
      </c>
      <c r="X57">
        <v>3417.697796194253</v>
      </c>
      <c r="Y57">
        <v>3403.8125760455455</v>
      </c>
      <c r="Z57">
        <v>3389.9296760843818</v>
      </c>
      <c r="AA57">
        <v>3376.0451562449302</v>
      </c>
      <c r="AB57">
        <v>3362.1626677838681</v>
      </c>
      <c r="AC57">
        <v>3348.2762839866841</v>
      </c>
      <c r="AD57">
        <v>3334.3921169351702</v>
      </c>
      <c r="AE57">
        <v>3320.5079498836562</v>
      </c>
      <c r="AF57">
        <v>3306.6237828321423</v>
      </c>
      <c r="AG57">
        <v>3292.7396157806284</v>
      </c>
      <c r="AH57">
        <v>3278.8554487291144</v>
      </c>
      <c r="AI57">
        <v>3264.9712816776005</v>
      </c>
      <c r="AJ57">
        <v>3251.0871146260865</v>
      </c>
      <c r="AK57">
        <v>3237.2029475745726</v>
      </c>
      <c r="AL57">
        <v>3223.3187805230586</v>
      </c>
      <c r="AM57">
        <v>3209.4346134715447</v>
      </c>
    </row>
    <row r="58" spans="1:39">
      <c r="A58" t="s">
        <v>128</v>
      </c>
      <c r="B58" t="s">
        <v>245</v>
      </c>
      <c r="C58">
        <v>3829.4706747999999</v>
      </c>
      <c r="D58">
        <v>3829.4706747999999</v>
      </c>
      <c r="E58">
        <v>3829.4706747999999</v>
      </c>
      <c r="F58">
        <v>3786.4984756975882</v>
      </c>
      <c r="G58">
        <v>3776.7917858449173</v>
      </c>
      <c r="H58">
        <v>3786.5605630822392</v>
      </c>
      <c r="I58">
        <v>3777.7673768673831</v>
      </c>
      <c r="J58">
        <v>3768.9715745398594</v>
      </c>
      <c r="K58">
        <v>3760.1761455135784</v>
      </c>
      <c r="L58">
        <v>3751.3785241791838</v>
      </c>
      <c r="M58">
        <v>3742.5855247199493</v>
      </c>
      <c r="N58">
        <v>3733.7881984332084</v>
      </c>
      <c r="O58">
        <v>3724.9950856573073</v>
      </c>
      <c r="P58">
        <v>3716.1990322504685</v>
      </c>
      <c r="Q58">
        <v>3707.4030275161676</v>
      </c>
      <c r="R58">
        <v>3698.6100208118155</v>
      </c>
      <c r="S58">
        <v>3689.8139781524605</v>
      </c>
      <c r="T58">
        <v>3681.0160666269694</v>
      </c>
      <c r="U58">
        <v>3672.2223566741864</v>
      </c>
      <c r="V58">
        <v>3663.4282219302031</v>
      </c>
      <c r="W58">
        <v>3654.6325345240239</v>
      </c>
      <c r="X58">
        <v>3645.8368104774627</v>
      </c>
      <c r="Y58">
        <v>3637.0402169200461</v>
      </c>
      <c r="Z58">
        <v>3628.2459332058643</v>
      </c>
      <c r="AA58">
        <v>3619.4499993446084</v>
      </c>
      <c r="AB58">
        <v>3610.655961559356</v>
      </c>
      <c r="AC58">
        <v>3601.8583775951356</v>
      </c>
      <c r="AD58">
        <v>3593.0628175394031</v>
      </c>
      <c r="AE58">
        <v>3584.2672574836706</v>
      </c>
      <c r="AF58">
        <v>3575.4716974279381</v>
      </c>
      <c r="AG58">
        <v>3566.6761373722056</v>
      </c>
      <c r="AH58">
        <v>3557.8805773164731</v>
      </c>
      <c r="AI58">
        <v>3549.0850172607406</v>
      </c>
      <c r="AJ58">
        <v>3540.2894572050081</v>
      </c>
      <c r="AK58">
        <v>3531.4938971492757</v>
      </c>
      <c r="AL58">
        <v>3522.6983370935432</v>
      </c>
      <c r="AM58">
        <v>3513.9027770378107</v>
      </c>
    </row>
    <row r="59" spans="1:39">
      <c r="A59" t="s">
        <v>128</v>
      </c>
      <c r="B59" t="s">
        <v>246</v>
      </c>
      <c r="C59">
        <v>3829.4706747999999</v>
      </c>
      <c r="D59">
        <v>3829.4706747999999</v>
      </c>
      <c r="E59">
        <v>3829.4706747999999</v>
      </c>
      <c r="F59">
        <v>3786.4984756975882</v>
      </c>
      <c r="G59">
        <v>3776.7917858449173</v>
      </c>
      <c r="H59">
        <v>3786.5605630822392</v>
      </c>
      <c r="I59">
        <v>3777.7673768673831</v>
      </c>
      <c r="J59">
        <v>3768.9715745398594</v>
      </c>
      <c r="K59">
        <v>3760.1761455135784</v>
      </c>
      <c r="L59">
        <v>3751.3785241791838</v>
      </c>
      <c r="M59">
        <v>3742.5855247199493</v>
      </c>
      <c r="N59">
        <v>3733.7881984332084</v>
      </c>
      <c r="O59">
        <v>3724.9950856573073</v>
      </c>
      <c r="P59">
        <v>3716.1990322504685</v>
      </c>
      <c r="Q59">
        <v>3707.4030275161676</v>
      </c>
      <c r="R59">
        <v>3698.6100208118155</v>
      </c>
      <c r="S59">
        <v>3689.8139781524605</v>
      </c>
      <c r="T59">
        <v>3681.0160666269694</v>
      </c>
      <c r="U59">
        <v>3672.2223566741864</v>
      </c>
      <c r="V59">
        <v>3663.4282219302031</v>
      </c>
      <c r="W59">
        <v>3654.6325345240239</v>
      </c>
      <c r="X59">
        <v>3645.8368104774627</v>
      </c>
      <c r="Y59">
        <v>3637.0402169200461</v>
      </c>
      <c r="Z59">
        <v>3628.2459332058643</v>
      </c>
      <c r="AA59">
        <v>3619.4499993446084</v>
      </c>
      <c r="AB59">
        <v>3610.655961559356</v>
      </c>
      <c r="AC59">
        <v>3601.8583775951356</v>
      </c>
      <c r="AD59">
        <v>3593.0628175394031</v>
      </c>
      <c r="AE59">
        <v>3584.2672574836706</v>
      </c>
      <c r="AF59">
        <v>3575.4716974279381</v>
      </c>
      <c r="AG59">
        <v>3566.6761373722056</v>
      </c>
      <c r="AH59">
        <v>3557.8805773164731</v>
      </c>
      <c r="AI59">
        <v>3549.0850172607406</v>
      </c>
      <c r="AJ59">
        <v>3540.2894572050081</v>
      </c>
      <c r="AK59">
        <v>3531.4938971492757</v>
      </c>
      <c r="AL59">
        <v>3522.6983370935432</v>
      </c>
      <c r="AM59">
        <v>3513.9027770378107</v>
      </c>
    </row>
    <row r="60" spans="1:39">
      <c r="A60" t="s">
        <v>128</v>
      </c>
      <c r="B60" t="s">
        <v>247</v>
      </c>
      <c r="C60">
        <v>3829.4706747999999</v>
      </c>
      <c r="D60">
        <v>3829.4706747999999</v>
      </c>
      <c r="E60">
        <v>3829.4706747999999</v>
      </c>
      <c r="F60">
        <v>3786.4984756975882</v>
      </c>
      <c r="G60">
        <v>3776.7917858449173</v>
      </c>
      <c r="H60">
        <v>3786.5605630822392</v>
      </c>
      <c r="I60">
        <v>3777.7673768673831</v>
      </c>
      <c r="J60">
        <v>3768.9715745398594</v>
      </c>
      <c r="K60">
        <v>3760.1761455135784</v>
      </c>
      <c r="L60">
        <v>3751.3785241791838</v>
      </c>
      <c r="M60">
        <v>3742.5855247199493</v>
      </c>
      <c r="N60">
        <v>3733.7881984332084</v>
      </c>
      <c r="O60">
        <v>3724.9950856573073</v>
      </c>
      <c r="P60">
        <v>3716.1990322504685</v>
      </c>
      <c r="Q60">
        <v>3707.4030275161676</v>
      </c>
      <c r="R60">
        <v>3698.6100208118155</v>
      </c>
      <c r="S60">
        <v>3689.8139781524605</v>
      </c>
      <c r="T60">
        <v>3681.0160666269694</v>
      </c>
      <c r="U60">
        <v>3672.2223566741864</v>
      </c>
      <c r="V60">
        <v>3663.4282219302031</v>
      </c>
      <c r="W60">
        <v>3654.6325345240239</v>
      </c>
      <c r="X60">
        <v>3645.8368104774627</v>
      </c>
      <c r="Y60">
        <v>3637.0402169200461</v>
      </c>
      <c r="Z60">
        <v>3628.2459332058643</v>
      </c>
      <c r="AA60">
        <v>3619.4499993446084</v>
      </c>
      <c r="AB60">
        <v>3610.655961559356</v>
      </c>
      <c r="AC60">
        <v>3601.8583775951356</v>
      </c>
      <c r="AD60">
        <v>3593.0628175394031</v>
      </c>
      <c r="AE60">
        <v>3584.2672574836706</v>
      </c>
      <c r="AF60">
        <v>3575.4716974279381</v>
      </c>
      <c r="AG60">
        <v>3566.6761373722056</v>
      </c>
      <c r="AH60">
        <v>3557.8805773164731</v>
      </c>
      <c r="AI60">
        <v>3549.0850172607406</v>
      </c>
      <c r="AJ60">
        <v>3540.2894572050081</v>
      </c>
      <c r="AK60">
        <v>3531.4938971492757</v>
      </c>
      <c r="AL60">
        <v>3522.6983370935432</v>
      </c>
      <c r="AM60">
        <v>3513.9027770378107</v>
      </c>
    </row>
    <row r="61" spans="1:39">
      <c r="A61" t="s">
        <v>128</v>
      </c>
      <c r="B61" t="s">
        <v>248</v>
      </c>
      <c r="C61">
        <v>3829.4706747999999</v>
      </c>
      <c r="D61">
        <v>3829.4706747999999</v>
      </c>
      <c r="E61">
        <v>3829.4706747999999</v>
      </c>
      <c r="F61">
        <v>3786.4984756975882</v>
      </c>
      <c r="G61">
        <v>3776.7917858449173</v>
      </c>
      <c r="H61">
        <v>3786.5605630822392</v>
      </c>
      <c r="I61">
        <v>3777.7673768673831</v>
      </c>
      <c r="J61">
        <v>3768.9715745398594</v>
      </c>
      <c r="K61">
        <v>3760.1761455135784</v>
      </c>
      <c r="L61">
        <v>3751.3785241791838</v>
      </c>
      <c r="M61">
        <v>3742.5855247199493</v>
      </c>
      <c r="N61">
        <v>3733.7881984332084</v>
      </c>
      <c r="O61">
        <v>3724.9950856573073</v>
      </c>
      <c r="P61">
        <v>3716.1990322504685</v>
      </c>
      <c r="Q61">
        <v>3707.4030275161676</v>
      </c>
      <c r="R61">
        <v>3698.6100208118155</v>
      </c>
      <c r="S61">
        <v>3689.8139781524605</v>
      </c>
      <c r="T61">
        <v>3681.0160666269694</v>
      </c>
      <c r="U61">
        <v>3672.2223566741864</v>
      </c>
      <c r="V61">
        <v>3663.4282219302031</v>
      </c>
      <c r="W61">
        <v>3654.6325345240239</v>
      </c>
      <c r="X61">
        <v>3645.8368104774627</v>
      </c>
      <c r="Y61">
        <v>3637.0402169200461</v>
      </c>
      <c r="Z61">
        <v>3628.2459332058643</v>
      </c>
      <c r="AA61">
        <v>3619.4499993446084</v>
      </c>
      <c r="AB61">
        <v>3610.655961559356</v>
      </c>
      <c r="AC61">
        <v>3601.8583775951356</v>
      </c>
      <c r="AD61">
        <v>3593.0628175394031</v>
      </c>
      <c r="AE61">
        <v>3584.2672574836706</v>
      </c>
      <c r="AF61">
        <v>3575.4716974279381</v>
      </c>
      <c r="AG61">
        <v>3566.6761373722056</v>
      </c>
      <c r="AH61">
        <v>3557.8805773164731</v>
      </c>
      <c r="AI61">
        <v>3549.0850172607406</v>
      </c>
      <c r="AJ61">
        <v>3540.2894572050081</v>
      </c>
      <c r="AK61">
        <v>3531.4938971492757</v>
      </c>
      <c r="AL61">
        <v>3522.6983370935432</v>
      </c>
      <c r="AM61">
        <v>3513.9027770378107</v>
      </c>
    </row>
    <row r="62" spans="1:39">
      <c r="A62" t="s">
        <v>128</v>
      </c>
      <c r="B62" t="s">
        <v>249</v>
      </c>
      <c r="C62">
        <v>3829.4706747999999</v>
      </c>
      <c r="D62">
        <v>3829.4706747999999</v>
      </c>
      <c r="E62">
        <v>3829.4706747999999</v>
      </c>
      <c r="F62">
        <v>3786.4984756975882</v>
      </c>
      <c r="G62">
        <v>3776.7917858449173</v>
      </c>
      <c r="H62">
        <v>3786.5605630822392</v>
      </c>
      <c r="I62">
        <v>3777.7673768673831</v>
      </c>
      <c r="J62">
        <v>3768.9715745398594</v>
      </c>
      <c r="K62">
        <v>3760.1761455135784</v>
      </c>
      <c r="L62">
        <v>3751.3785241791838</v>
      </c>
      <c r="M62">
        <v>3742.5855247199493</v>
      </c>
      <c r="N62">
        <v>3733.7881984332084</v>
      </c>
      <c r="O62">
        <v>3724.9950856573073</v>
      </c>
      <c r="P62">
        <v>3716.1990322504685</v>
      </c>
      <c r="Q62">
        <v>3707.4030275161676</v>
      </c>
      <c r="R62">
        <v>3698.6100208118155</v>
      </c>
      <c r="S62">
        <v>3689.8139781524605</v>
      </c>
      <c r="T62">
        <v>3681.0160666269694</v>
      </c>
      <c r="U62">
        <v>3672.2223566741864</v>
      </c>
      <c r="V62">
        <v>3663.4282219302031</v>
      </c>
      <c r="W62">
        <v>3654.6325345240239</v>
      </c>
      <c r="X62">
        <v>3645.8368104774627</v>
      </c>
      <c r="Y62">
        <v>3637.0402169200461</v>
      </c>
      <c r="Z62">
        <v>3628.2459332058643</v>
      </c>
      <c r="AA62">
        <v>3619.4499993446084</v>
      </c>
      <c r="AB62">
        <v>3610.655961559356</v>
      </c>
      <c r="AC62">
        <v>3601.8583775951356</v>
      </c>
      <c r="AD62">
        <v>3593.0628175394031</v>
      </c>
      <c r="AE62">
        <v>3584.2672574836706</v>
      </c>
      <c r="AF62">
        <v>3575.4716974279381</v>
      </c>
      <c r="AG62">
        <v>3566.6761373722056</v>
      </c>
      <c r="AH62">
        <v>3557.8805773164731</v>
      </c>
      <c r="AI62">
        <v>3549.0850172607406</v>
      </c>
      <c r="AJ62">
        <v>3540.2894572050081</v>
      </c>
      <c r="AK62">
        <v>3531.4938971492757</v>
      </c>
      <c r="AL62">
        <v>3522.6983370935432</v>
      </c>
      <c r="AM62">
        <v>3513.9027770378107</v>
      </c>
    </row>
    <row r="63" spans="1:39">
      <c r="A63" t="s">
        <v>128</v>
      </c>
      <c r="B63" t="s">
        <v>250</v>
      </c>
      <c r="C63">
        <v>3829.4706747999999</v>
      </c>
      <c r="D63">
        <v>3829.4706747999999</v>
      </c>
      <c r="E63">
        <v>3829.4706747999999</v>
      </c>
      <c r="F63">
        <v>3786.4984756975882</v>
      </c>
      <c r="G63">
        <v>3776.7917858449173</v>
      </c>
      <c r="H63">
        <v>3786.5605630822392</v>
      </c>
      <c r="I63">
        <v>3777.7673768673831</v>
      </c>
      <c r="J63">
        <v>3768.9715745398594</v>
      </c>
      <c r="K63">
        <v>3760.1761455135784</v>
      </c>
      <c r="L63">
        <v>3751.3785241791838</v>
      </c>
      <c r="M63">
        <v>3742.5855247199493</v>
      </c>
      <c r="N63">
        <v>3733.7881984332084</v>
      </c>
      <c r="O63">
        <v>3724.9950856573073</v>
      </c>
      <c r="P63">
        <v>3716.1990322504685</v>
      </c>
      <c r="Q63">
        <v>3707.4030275161676</v>
      </c>
      <c r="R63">
        <v>3698.6100208118155</v>
      </c>
      <c r="S63">
        <v>3689.8139781524605</v>
      </c>
      <c r="T63">
        <v>3681.0160666269694</v>
      </c>
      <c r="U63">
        <v>3672.2223566741864</v>
      </c>
      <c r="V63">
        <v>3663.4282219302031</v>
      </c>
      <c r="W63">
        <v>3654.6325345240239</v>
      </c>
      <c r="X63">
        <v>3645.8368104774627</v>
      </c>
      <c r="Y63">
        <v>3637.0402169200461</v>
      </c>
      <c r="Z63">
        <v>3628.2459332058643</v>
      </c>
      <c r="AA63">
        <v>3619.4499993446084</v>
      </c>
      <c r="AB63">
        <v>3610.655961559356</v>
      </c>
      <c r="AC63">
        <v>3601.8583775951356</v>
      </c>
      <c r="AD63">
        <v>3593.0628175394031</v>
      </c>
      <c r="AE63">
        <v>3584.2672574836706</v>
      </c>
      <c r="AF63">
        <v>3575.4716974279381</v>
      </c>
      <c r="AG63">
        <v>3566.6761373722056</v>
      </c>
      <c r="AH63">
        <v>3557.8805773164731</v>
      </c>
      <c r="AI63">
        <v>3549.0850172607406</v>
      </c>
      <c r="AJ63">
        <v>3540.2894572050081</v>
      </c>
      <c r="AK63">
        <v>3531.4938971492757</v>
      </c>
      <c r="AL63">
        <v>3522.6983370935432</v>
      </c>
      <c r="AM63">
        <v>3513.9027770378107</v>
      </c>
    </row>
    <row r="64" spans="1:39">
      <c r="A64" t="s">
        <v>129</v>
      </c>
      <c r="B64" t="s">
        <v>251</v>
      </c>
      <c r="C64">
        <v>4567</v>
      </c>
      <c r="D64">
        <v>4567</v>
      </c>
      <c r="E64">
        <v>4544.1650000000009</v>
      </c>
      <c r="F64">
        <v>4521.3300000000017</v>
      </c>
      <c r="G64">
        <v>4498.4950000000026</v>
      </c>
      <c r="H64">
        <v>4475.6599999999962</v>
      </c>
      <c r="I64">
        <v>4452.8249999999971</v>
      </c>
      <c r="J64">
        <v>4429.989999999998</v>
      </c>
      <c r="K64">
        <v>4407.1549999999988</v>
      </c>
      <c r="L64">
        <v>4384.32</v>
      </c>
      <c r="M64">
        <v>4361.4850000000006</v>
      </c>
      <c r="N64">
        <v>4338.6500000000015</v>
      </c>
      <c r="O64">
        <v>4315.8150000000023</v>
      </c>
      <c r="P64">
        <v>4292.9799999999959</v>
      </c>
      <c r="Q64">
        <v>4270.1449999999968</v>
      </c>
      <c r="R64">
        <v>4247.3099999999977</v>
      </c>
      <c r="S64">
        <v>4224.4749999999985</v>
      </c>
      <c r="T64">
        <v>4201.6399999999994</v>
      </c>
      <c r="U64">
        <v>4178.8050000000003</v>
      </c>
      <c r="V64">
        <v>4155.9700000000012</v>
      </c>
      <c r="W64">
        <v>4133.135000000002</v>
      </c>
      <c r="X64">
        <v>4110.3</v>
      </c>
      <c r="Y64">
        <v>4087.4649999999965</v>
      </c>
      <c r="Z64">
        <v>4064.6299999999974</v>
      </c>
      <c r="AA64">
        <v>4041.7949999999983</v>
      </c>
      <c r="AB64">
        <v>4018.9599999999991</v>
      </c>
      <c r="AC64">
        <v>3996.125</v>
      </c>
      <c r="AD64">
        <v>3973.2900000000009</v>
      </c>
      <c r="AE64">
        <v>3950.4550000000017</v>
      </c>
      <c r="AF64">
        <v>3927.6200000000026</v>
      </c>
      <c r="AG64">
        <v>3904.7849999999962</v>
      </c>
      <c r="AH64">
        <v>3881.9499999999971</v>
      </c>
      <c r="AI64">
        <v>3859.114999999998</v>
      </c>
      <c r="AJ64">
        <v>3836.2799999999988</v>
      </c>
      <c r="AK64">
        <v>3813.4449999999997</v>
      </c>
      <c r="AL64">
        <v>3790.6100000000006</v>
      </c>
      <c r="AM64">
        <v>3767.7750000000015</v>
      </c>
    </row>
    <row r="65" spans="1:39">
      <c r="A65" t="s">
        <v>129</v>
      </c>
      <c r="B65" t="s">
        <v>252</v>
      </c>
      <c r="C65">
        <v>4567</v>
      </c>
      <c r="D65">
        <v>4567</v>
      </c>
      <c r="E65">
        <v>4567</v>
      </c>
      <c r="F65">
        <v>4567</v>
      </c>
      <c r="G65">
        <v>4567</v>
      </c>
      <c r="H65">
        <v>4567</v>
      </c>
      <c r="I65">
        <v>4567</v>
      </c>
      <c r="J65">
        <v>4567</v>
      </c>
      <c r="K65">
        <v>4567</v>
      </c>
      <c r="L65">
        <v>4567</v>
      </c>
      <c r="M65">
        <v>4567</v>
      </c>
      <c r="N65">
        <v>4567</v>
      </c>
      <c r="O65">
        <v>4567</v>
      </c>
      <c r="P65">
        <v>4567</v>
      </c>
      <c r="Q65">
        <v>4567</v>
      </c>
      <c r="R65">
        <v>4567</v>
      </c>
      <c r="S65">
        <v>4567</v>
      </c>
      <c r="T65">
        <v>4567</v>
      </c>
      <c r="U65">
        <v>4567</v>
      </c>
      <c r="V65">
        <v>4567</v>
      </c>
      <c r="W65">
        <v>4567</v>
      </c>
      <c r="X65">
        <v>4567</v>
      </c>
      <c r="Y65">
        <v>4567</v>
      </c>
      <c r="Z65">
        <v>4567</v>
      </c>
      <c r="AA65">
        <v>4567</v>
      </c>
      <c r="AB65">
        <v>4567</v>
      </c>
      <c r="AC65">
        <v>4567</v>
      </c>
      <c r="AD65">
        <v>4567</v>
      </c>
      <c r="AE65">
        <v>4567</v>
      </c>
      <c r="AF65">
        <v>4567</v>
      </c>
      <c r="AG65">
        <v>4567</v>
      </c>
      <c r="AH65">
        <v>4567</v>
      </c>
      <c r="AI65">
        <v>4567</v>
      </c>
      <c r="AJ65">
        <v>4567</v>
      </c>
      <c r="AK65">
        <v>4567</v>
      </c>
      <c r="AL65">
        <v>4567</v>
      </c>
      <c r="AM65">
        <v>4567</v>
      </c>
    </row>
    <row r="66" spans="1:39">
      <c r="A66" t="s">
        <v>129</v>
      </c>
      <c r="B66" t="s">
        <v>253</v>
      </c>
      <c r="C66">
        <v>4567</v>
      </c>
      <c r="D66">
        <v>4567</v>
      </c>
      <c r="E66">
        <v>4567</v>
      </c>
      <c r="F66">
        <v>4567</v>
      </c>
      <c r="G66">
        <v>4567</v>
      </c>
      <c r="H66">
        <v>4567</v>
      </c>
      <c r="I66">
        <v>4567</v>
      </c>
      <c r="J66">
        <v>4567</v>
      </c>
      <c r="K66">
        <v>4567</v>
      </c>
      <c r="L66">
        <v>4567</v>
      </c>
      <c r="M66">
        <v>4567</v>
      </c>
      <c r="N66">
        <v>4567</v>
      </c>
      <c r="O66">
        <v>4567</v>
      </c>
      <c r="P66">
        <v>4567</v>
      </c>
      <c r="Q66">
        <v>4567</v>
      </c>
      <c r="R66">
        <v>4567</v>
      </c>
      <c r="S66">
        <v>4567</v>
      </c>
      <c r="T66">
        <v>4567</v>
      </c>
      <c r="U66">
        <v>4567</v>
      </c>
      <c r="V66">
        <v>4567</v>
      </c>
      <c r="W66">
        <v>4567</v>
      </c>
      <c r="X66">
        <v>4567</v>
      </c>
      <c r="Y66">
        <v>4567</v>
      </c>
      <c r="Z66">
        <v>4567</v>
      </c>
      <c r="AA66">
        <v>4567</v>
      </c>
      <c r="AB66">
        <v>4567</v>
      </c>
      <c r="AC66">
        <v>4567</v>
      </c>
      <c r="AD66">
        <v>4567</v>
      </c>
      <c r="AE66">
        <v>4567</v>
      </c>
      <c r="AF66">
        <v>4567</v>
      </c>
      <c r="AG66">
        <v>4567</v>
      </c>
      <c r="AH66">
        <v>4567</v>
      </c>
      <c r="AI66">
        <v>4567</v>
      </c>
      <c r="AJ66">
        <v>4567</v>
      </c>
      <c r="AK66">
        <v>4567</v>
      </c>
      <c r="AL66">
        <v>4567</v>
      </c>
      <c r="AM66">
        <v>4567</v>
      </c>
    </row>
    <row r="67" spans="1:39">
      <c r="A67" t="s">
        <v>129</v>
      </c>
      <c r="B67" t="s">
        <v>254</v>
      </c>
      <c r="C67">
        <v>5465</v>
      </c>
      <c r="D67">
        <v>5465</v>
      </c>
      <c r="E67">
        <v>5437.6750000000029</v>
      </c>
      <c r="F67">
        <v>5410.3499999999985</v>
      </c>
      <c r="G67">
        <v>5383.0250000000015</v>
      </c>
      <c r="H67">
        <v>5355.7000000000044</v>
      </c>
      <c r="I67">
        <v>5328.375</v>
      </c>
      <c r="J67">
        <v>5301.0500000000029</v>
      </c>
      <c r="K67">
        <v>5273.7249999999985</v>
      </c>
      <c r="L67">
        <v>5246.4000000000015</v>
      </c>
      <c r="M67">
        <v>5219.0750000000044</v>
      </c>
      <c r="N67">
        <v>5191.75</v>
      </c>
      <c r="O67">
        <v>5164.4250000000029</v>
      </c>
      <c r="P67">
        <v>5137.0999999999985</v>
      </c>
      <c r="Q67">
        <v>5109.7750000000015</v>
      </c>
      <c r="R67">
        <v>5082.4500000000044</v>
      </c>
      <c r="S67">
        <v>5055.125</v>
      </c>
      <c r="T67">
        <v>5027.8000000000029</v>
      </c>
      <c r="U67">
        <v>5000.4749999999985</v>
      </c>
      <c r="V67">
        <v>4973.1500000000015</v>
      </c>
      <c r="W67">
        <v>4945.8250000000044</v>
      </c>
      <c r="X67">
        <v>4918.5</v>
      </c>
      <c r="Y67">
        <v>4891.1750000000029</v>
      </c>
      <c r="Z67">
        <v>4863.8499999999985</v>
      </c>
      <c r="AA67">
        <v>4836.5250000000015</v>
      </c>
      <c r="AB67">
        <v>4809.2000000000044</v>
      </c>
      <c r="AC67">
        <v>4781.875</v>
      </c>
      <c r="AD67">
        <v>4754.5500000000029</v>
      </c>
      <c r="AE67">
        <v>4727.2249999999985</v>
      </c>
      <c r="AF67">
        <v>4699.9000000000015</v>
      </c>
      <c r="AG67">
        <v>4672.5750000000044</v>
      </c>
      <c r="AH67">
        <v>4645.25</v>
      </c>
      <c r="AI67">
        <v>4617.9250000000029</v>
      </c>
      <c r="AJ67">
        <v>4590.5999999999985</v>
      </c>
      <c r="AK67">
        <v>4563.2750000000015</v>
      </c>
      <c r="AL67">
        <v>4535.9500000000044</v>
      </c>
      <c r="AM67">
        <v>4508.625</v>
      </c>
    </row>
    <row r="68" spans="1:39">
      <c r="A68" t="s">
        <v>129</v>
      </c>
      <c r="B68" t="s">
        <v>255</v>
      </c>
      <c r="C68">
        <v>5465</v>
      </c>
      <c r="D68">
        <v>5465</v>
      </c>
      <c r="E68">
        <v>5465</v>
      </c>
      <c r="F68">
        <v>5465</v>
      </c>
      <c r="G68">
        <v>5465</v>
      </c>
      <c r="H68">
        <v>5465</v>
      </c>
      <c r="I68">
        <v>5465</v>
      </c>
      <c r="J68">
        <v>5465</v>
      </c>
      <c r="K68">
        <v>5465</v>
      </c>
      <c r="L68">
        <v>5465</v>
      </c>
      <c r="M68">
        <v>5465</v>
      </c>
      <c r="N68">
        <v>5465</v>
      </c>
      <c r="O68">
        <v>5465</v>
      </c>
      <c r="P68">
        <v>5465</v>
      </c>
      <c r="Q68">
        <v>5465</v>
      </c>
      <c r="R68">
        <v>5465</v>
      </c>
      <c r="S68">
        <v>5465</v>
      </c>
      <c r="T68">
        <v>5465</v>
      </c>
      <c r="U68">
        <v>5465</v>
      </c>
      <c r="V68">
        <v>5465</v>
      </c>
      <c r="W68">
        <v>5465</v>
      </c>
      <c r="X68">
        <v>5465</v>
      </c>
      <c r="Y68">
        <v>5465</v>
      </c>
      <c r="Z68">
        <v>5465</v>
      </c>
      <c r="AA68">
        <v>5465</v>
      </c>
      <c r="AB68">
        <v>5465</v>
      </c>
      <c r="AC68">
        <v>5465</v>
      </c>
      <c r="AD68">
        <v>5465</v>
      </c>
      <c r="AE68">
        <v>5465</v>
      </c>
      <c r="AF68">
        <v>5465</v>
      </c>
      <c r="AG68">
        <v>5465</v>
      </c>
      <c r="AH68">
        <v>5465</v>
      </c>
      <c r="AI68">
        <v>5465</v>
      </c>
      <c r="AJ68">
        <v>5465</v>
      </c>
      <c r="AK68">
        <v>5465</v>
      </c>
      <c r="AL68">
        <v>5465</v>
      </c>
      <c r="AM68">
        <v>5465</v>
      </c>
    </row>
    <row r="69" spans="1:39">
      <c r="A69" t="s">
        <v>129</v>
      </c>
      <c r="B69" t="s">
        <v>256</v>
      </c>
      <c r="C69">
        <v>5465</v>
      </c>
      <c r="D69">
        <v>5465</v>
      </c>
      <c r="E69">
        <v>5465</v>
      </c>
      <c r="F69">
        <v>5465</v>
      </c>
      <c r="G69">
        <v>5465</v>
      </c>
      <c r="H69">
        <v>5465</v>
      </c>
      <c r="I69">
        <v>5465</v>
      </c>
      <c r="J69">
        <v>5465</v>
      </c>
      <c r="K69">
        <v>5465</v>
      </c>
      <c r="L69">
        <v>5465</v>
      </c>
      <c r="M69">
        <v>5465</v>
      </c>
      <c r="N69">
        <v>5465</v>
      </c>
      <c r="O69">
        <v>5465</v>
      </c>
      <c r="P69">
        <v>5465</v>
      </c>
      <c r="Q69">
        <v>5465</v>
      </c>
      <c r="R69">
        <v>5465</v>
      </c>
      <c r="S69">
        <v>5465</v>
      </c>
      <c r="T69">
        <v>5465</v>
      </c>
      <c r="U69">
        <v>5465</v>
      </c>
      <c r="V69">
        <v>5465</v>
      </c>
      <c r="W69">
        <v>5465</v>
      </c>
      <c r="X69">
        <v>5465</v>
      </c>
      <c r="Y69">
        <v>5465</v>
      </c>
      <c r="Z69">
        <v>5465</v>
      </c>
      <c r="AA69">
        <v>5465</v>
      </c>
      <c r="AB69">
        <v>5465</v>
      </c>
      <c r="AC69">
        <v>5465</v>
      </c>
      <c r="AD69">
        <v>5465</v>
      </c>
      <c r="AE69">
        <v>5465</v>
      </c>
      <c r="AF69">
        <v>5465</v>
      </c>
      <c r="AG69">
        <v>5465</v>
      </c>
      <c r="AH69">
        <v>5465</v>
      </c>
      <c r="AI69">
        <v>5465</v>
      </c>
      <c r="AJ69">
        <v>5465</v>
      </c>
      <c r="AK69">
        <v>5465</v>
      </c>
      <c r="AL69">
        <v>5465</v>
      </c>
      <c r="AM69">
        <v>5465</v>
      </c>
    </row>
    <row r="70" spans="1:39">
      <c r="A70" t="s">
        <v>129</v>
      </c>
      <c r="B70" t="s">
        <v>257</v>
      </c>
      <c r="C70">
        <v>8100</v>
      </c>
      <c r="D70">
        <v>8100</v>
      </c>
      <c r="E70">
        <v>8059.5</v>
      </c>
      <c r="F70">
        <v>8019</v>
      </c>
      <c r="G70">
        <v>7978.5</v>
      </c>
      <c r="H70">
        <v>7938</v>
      </c>
      <c r="I70">
        <v>7897.5</v>
      </c>
      <c r="J70">
        <v>7857</v>
      </c>
      <c r="K70">
        <v>7816.5</v>
      </c>
      <c r="L70">
        <v>7776</v>
      </c>
      <c r="M70">
        <v>7735.5</v>
      </c>
      <c r="N70">
        <v>7695</v>
      </c>
      <c r="O70">
        <v>7654.5</v>
      </c>
      <c r="P70">
        <v>7614</v>
      </c>
      <c r="Q70">
        <v>7573.5</v>
      </c>
      <c r="R70">
        <v>7533</v>
      </c>
      <c r="S70">
        <v>7492.5</v>
      </c>
      <c r="T70">
        <v>7452</v>
      </c>
      <c r="U70">
        <v>7411.5</v>
      </c>
      <c r="V70">
        <v>7371</v>
      </c>
      <c r="W70">
        <v>7330.5</v>
      </c>
      <c r="X70">
        <v>7290</v>
      </c>
      <c r="Y70">
        <v>7249.5</v>
      </c>
      <c r="Z70">
        <v>7209</v>
      </c>
      <c r="AA70">
        <v>7168.5</v>
      </c>
      <c r="AB70">
        <v>7128</v>
      </c>
      <c r="AC70">
        <v>7087.5</v>
      </c>
      <c r="AD70">
        <v>7047</v>
      </c>
      <c r="AE70">
        <v>7006.5</v>
      </c>
      <c r="AF70">
        <v>6966</v>
      </c>
      <c r="AG70">
        <v>6925.5</v>
      </c>
      <c r="AH70">
        <v>6885</v>
      </c>
      <c r="AI70">
        <v>6844.5</v>
      </c>
      <c r="AJ70">
        <v>6804</v>
      </c>
      <c r="AK70">
        <v>6763.5</v>
      </c>
      <c r="AL70">
        <v>6723</v>
      </c>
      <c r="AM70">
        <v>6682.5</v>
      </c>
    </row>
    <row r="71" spans="1:39">
      <c r="A71" t="s">
        <v>129</v>
      </c>
      <c r="B71" t="s">
        <v>258</v>
      </c>
      <c r="C71">
        <v>8100</v>
      </c>
      <c r="D71">
        <v>8100</v>
      </c>
      <c r="E71">
        <v>8100</v>
      </c>
      <c r="F71">
        <v>8100</v>
      </c>
      <c r="G71">
        <v>8100</v>
      </c>
      <c r="H71">
        <v>8100</v>
      </c>
      <c r="I71">
        <v>8100</v>
      </c>
      <c r="J71">
        <v>8100</v>
      </c>
      <c r="K71">
        <v>8100</v>
      </c>
      <c r="L71">
        <v>8100</v>
      </c>
      <c r="M71">
        <v>8100</v>
      </c>
      <c r="N71">
        <v>8100</v>
      </c>
      <c r="O71">
        <v>8100</v>
      </c>
      <c r="P71">
        <v>8100</v>
      </c>
      <c r="Q71">
        <v>8100</v>
      </c>
      <c r="R71">
        <v>8100</v>
      </c>
      <c r="S71">
        <v>8100</v>
      </c>
      <c r="T71">
        <v>8100</v>
      </c>
      <c r="U71">
        <v>8100</v>
      </c>
      <c r="V71">
        <v>8100</v>
      </c>
      <c r="W71">
        <v>8100</v>
      </c>
      <c r="X71">
        <v>8100</v>
      </c>
      <c r="Y71">
        <v>8100</v>
      </c>
      <c r="Z71">
        <v>8100</v>
      </c>
      <c r="AA71">
        <v>8100</v>
      </c>
      <c r="AB71">
        <v>8100</v>
      </c>
      <c r="AC71">
        <v>8100</v>
      </c>
      <c r="AD71">
        <v>8100</v>
      </c>
      <c r="AE71">
        <v>8100</v>
      </c>
      <c r="AF71">
        <v>8100</v>
      </c>
      <c r="AG71">
        <v>8100</v>
      </c>
      <c r="AH71">
        <v>8100</v>
      </c>
      <c r="AI71">
        <v>8100</v>
      </c>
      <c r="AJ71">
        <v>8100</v>
      </c>
      <c r="AK71">
        <v>8100</v>
      </c>
      <c r="AL71">
        <v>8100</v>
      </c>
      <c r="AM71">
        <v>8100</v>
      </c>
    </row>
    <row r="72" spans="1:39">
      <c r="A72" t="s">
        <v>129</v>
      </c>
      <c r="B72" t="s">
        <v>259</v>
      </c>
      <c r="C72">
        <v>8100</v>
      </c>
      <c r="D72">
        <v>8100</v>
      </c>
      <c r="E72">
        <v>8100</v>
      </c>
      <c r="F72">
        <v>8100</v>
      </c>
      <c r="G72">
        <v>8100</v>
      </c>
      <c r="H72">
        <v>8100</v>
      </c>
      <c r="I72">
        <v>8100</v>
      </c>
      <c r="J72">
        <v>8100</v>
      </c>
      <c r="K72">
        <v>8100</v>
      </c>
      <c r="L72">
        <v>8100</v>
      </c>
      <c r="M72">
        <v>8100</v>
      </c>
      <c r="N72">
        <v>8100</v>
      </c>
      <c r="O72">
        <v>8100</v>
      </c>
      <c r="P72">
        <v>8100</v>
      </c>
      <c r="Q72">
        <v>8100</v>
      </c>
      <c r="R72">
        <v>8100</v>
      </c>
      <c r="S72">
        <v>8100</v>
      </c>
      <c r="T72">
        <v>8100</v>
      </c>
      <c r="U72">
        <v>8100</v>
      </c>
      <c r="V72">
        <v>8100</v>
      </c>
      <c r="W72">
        <v>8100</v>
      </c>
      <c r="X72">
        <v>8100</v>
      </c>
      <c r="Y72">
        <v>8100</v>
      </c>
      <c r="Z72">
        <v>8100</v>
      </c>
      <c r="AA72">
        <v>8100</v>
      </c>
      <c r="AB72">
        <v>8100</v>
      </c>
      <c r="AC72">
        <v>8100</v>
      </c>
      <c r="AD72">
        <v>8100</v>
      </c>
      <c r="AE72">
        <v>8100</v>
      </c>
      <c r="AF72">
        <v>8100</v>
      </c>
      <c r="AG72">
        <v>8100</v>
      </c>
      <c r="AH72">
        <v>8100</v>
      </c>
      <c r="AI72">
        <v>8100</v>
      </c>
      <c r="AJ72">
        <v>8100</v>
      </c>
      <c r="AK72">
        <v>8100</v>
      </c>
      <c r="AL72">
        <v>8100</v>
      </c>
      <c r="AM72">
        <v>8100</v>
      </c>
    </row>
    <row r="73" spans="1:39">
      <c r="A73" t="s">
        <v>129</v>
      </c>
      <c r="B73" t="s">
        <v>260</v>
      </c>
      <c r="C73">
        <v>12179</v>
      </c>
      <c r="D73">
        <v>12179</v>
      </c>
      <c r="E73">
        <v>12118.104999999996</v>
      </c>
      <c r="F73">
        <v>12057.209999999992</v>
      </c>
      <c r="G73">
        <v>11996.315000000002</v>
      </c>
      <c r="H73">
        <v>11935.419999999998</v>
      </c>
      <c r="I73">
        <v>11874.524999999994</v>
      </c>
      <c r="J73">
        <v>11813.62999999999</v>
      </c>
      <c r="K73">
        <v>11752.735000000001</v>
      </c>
      <c r="L73">
        <v>11691.839999999997</v>
      </c>
      <c r="M73">
        <v>11630.944999999992</v>
      </c>
      <c r="N73">
        <v>11570.050000000003</v>
      </c>
      <c r="O73">
        <v>11509.154999999999</v>
      </c>
      <c r="P73">
        <v>11448.259999999995</v>
      </c>
      <c r="Q73">
        <v>11387.364999999991</v>
      </c>
      <c r="R73">
        <v>11326.470000000001</v>
      </c>
      <c r="S73">
        <v>11265.574999999997</v>
      </c>
      <c r="T73">
        <v>11204.679999999993</v>
      </c>
      <c r="U73">
        <v>11143.785000000003</v>
      </c>
      <c r="V73">
        <v>11082.89</v>
      </c>
      <c r="W73">
        <v>11021.994999999995</v>
      </c>
      <c r="X73">
        <v>10961.1</v>
      </c>
      <c r="Y73">
        <v>10900.205000000002</v>
      </c>
      <c r="Z73">
        <v>10839.309999999998</v>
      </c>
      <c r="AA73">
        <v>10778.414999999994</v>
      </c>
      <c r="AB73">
        <v>10717.51999999999</v>
      </c>
      <c r="AC73">
        <v>10656.625</v>
      </c>
      <c r="AD73">
        <v>10595.729999999996</v>
      </c>
      <c r="AE73">
        <v>10534.834999999992</v>
      </c>
      <c r="AF73">
        <v>10473.940000000002</v>
      </c>
      <c r="AG73">
        <v>10413.044999999998</v>
      </c>
      <c r="AH73">
        <v>10352.149999999994</v>
      </c>
      <c r="AI73">
        <v>10291.25499999999</v>
      </c>
      <c r="AJ73">
        <v>10230.36</v>
      </c>
      <c r="AK73">
        <v>10169.464999999997</v>
      </c>
      <c r="AL73">
        <v>10108.569999999992</v>
      </c>
      <c r="AM73">
        <v>10047.675000000003</v>
      </c>
    </row>
    <row r="74" spans="1:39">
      <c r="A74" t="s">
        <v>129</v>
      </c>
      <c r="B74" t="s">
        <v>261</v>
      </c>
      <c r="C74">
        <v>12179</v>
      </c>
      <c r="D74">
        <v>12179</v>
      </c>
      <c r="E74">
        <v>12179</v>
      </c>
      <c r="F74">
        <v>12179</v>
      </c>
      <c r="G74">
        <v>12179</v>
      </c>
      <c r="H74">
        <v>12179</v>
      </c>
      <c r="I74">
        <v>12179</v>
      </c>
      <c r="J74">
        <v>12179</v>
      </c>
      <c r="K74">
        <v>12179</v>
      </c>
      <c r="L74">
        <v>12179</v>
      </c>
      <c r="M74">
        <v>12179</v>
      </c>
      <c r="N74">
        <v>12179</v>
      </c>
      <c r="O74">
        <v>12179</v>
      </c>
      <c r="P74">
        <v>12179</v>
      </c>
      <c r="Q74">
        <v>12179</v>
      </c>
      <c r="R74">
        <v>12179</v>
      </c>
      <c r="S74">
        <v>12179</v>
      </c>
      <c r="T74">
        <v>12179</v>
      </c>
      <c r="U74">
        <v>12179</v>
      </c>
      <c r="V74">
        <v>12179</v>
      </c>
      <c r="W74">
        <v>12179</v>
      </c>
      <c r="X74">
        <v>12179</v>
      </c>
      <c r="Y74">
        <v>12179</v>
      </c>
      <c r="Z74">
        <v>12179</v>
      </c>
      <c r="AA74">
        <v>12179</v>
      </c>
      <c r="AB74">
        <v>12179</v>
      </c>
      <c r="AC74">
        <v>12179</v>
      </c>
      <c r="AD74">
        <v>12179</v>
      </c>
      <c r="AE74">
        <v>12179</v>
      </c>
      <c r="AF74">
        <v>12179</v>
      </c>
      <c r="AG74">
        <v>12179</v>
      </c>
      <c r="AH74">
        <v>12179</v>
      </c>
      <c r="AI74">
        <v>12179</v>
      </c>
      <c r="AJ74">
        <v>12179</v>
      </c>
      <c r="AK74">
        <v>12179</v>
      </c>
      <c r="AL74">
        <v>12179</v>
      </c>
      <c r="AM74">
        <v>12179</v>
      </c>
    </row>
    <row r="75" spans="1:39">
      <c r="A75" t="s">
        <v>129</v>
      </c>
      <c r="B75" t="s">
        <v>262</v>
      </c>
      <c r="C75">
        <v>12179</v>
      </c>
      <c r="D75">
        <v>12179</v>
      </c>
      <c r="E75">
        <v>12179</v>
      </c>
      <c r="F75">
        <v>12179</v>
      </c>
      <c r="G75">
        <v>12179</v>
      </c>
      <c r="H75">
        <v>12179</v>
      </c>
      <c r="I75">
        <v>12179</v>
      </c>
      <c r="J75">
        <v>12179</v>
      </c>
      <c r="K75">
        <v>12179</v>
      </c>
      <c r="L75">
        <v>12179</v>
      </c>
      <c r="M75">
        <v>12179</v>
      </c>
      <c r="N75">
        <v>12179</v>
      </c>
      <c r="O75">
        <v>12179</v>
      </c>
      <c r="P75">
        <v>12179</v>
      </c>
      <c r="Q75">
        <v>12179</v>
      </c>
      <c r="R75">
        <v>12179</v>
      </c>
      <c r="S75">
        <v>12179</v>
      </c>
      <c r="T75">
        <v>12179</v>
      </c>
      <c r="U75">
        <v>12179</v>
      </c>
      <c r="V75">
        <v>12179</v>
      </c>
      <c r="W75">
        <v>12179</v>
      </c>
      <c r="X75">
        <v>12179</v>
      </c>
      <c r="Y75">
        <v>12179</v>
      </c>
      <c r="Z75">
        <v>12179</v>
      </c>
      <c r="AA75">
        <v>12179</v>
      </c>
      <c r="AB75">
        <v>12179</v>
      </c>
      <c r="AC75">
        <v>12179</v>
      </c>
      <c r="AD75">
        <v>12179</v>
      </c>
      <c r="AE75">
        <v>12179</v>
      </c>
      <c r="AF75">
        <v>12179</v>
      </c>
      <c r="AG75">
        <v>12179</v>
      </c>
      <c r="AH75">
        <v>12179</v>
      </c>
      <c r="AI75">
        <v>12179</v>
      </c>
      <c r="AJ75">
        <v>12179</v>
      </c>
      <c r="AK75">
        <v>12179</v>
      </c>
      <c r="AL75">
        <v>12179</v>
      </c>
      <c r="AM75">
        <v>12179</v>
      </c>
    </row>
    <row r="76" spans="1:39">
      <c r="A76" t="s">
        <v>129</v>
      </c>
      <c r="B76" t="s">
        <v>263</v>
      </c>
      <c r="C76">
        <v>8100</v>
      </c>
      <c r="D76">
        <v>8100</v>
      </c>
      <c r="E76">
        <v>8059.5</v>
      </c>
      <c r="F76">
        <v>8019</v>
      </c>
      <c r="G76">
        <v>7978.5</v>
      </c>
      <c r="H76">
        <v>7938</v>
      </c>
      <c r="I76">
        <v>7897.5</v>
      </c>
      <c r="J76">
        <v>7857</v>
      </c>
      <c r="K76">
        <v>7816.5</v>
      </c>
      <c r="L76">
        <v>7776</v>
      </c>
      <c r="M76">
        <v>7735.5</v>
      </c>
      <c r="N76">
        <v>7695</v>
      </c>
      <c r="O76">
        <v>7654.5</v>
      </c>
      <c r="P76">
        <v>7614</v>
      </c>
      <c r="Q76">
        <v>7573.5</v>
      </c>
      <c r="R76">
        <v>7533</v>
      </c>
      <c r="S76">
        <v>7492.5</v>
      </c>
      <c r="T76">
        <v>7452</v>
      </c>
      <c r="U76">
        <v>7411.5</v>
      </c>
      <c r="V76">
        <v>7371</v>
      </c>
      <c r="W76">
        <v>7330.5</v>
      </c>
      <c r="X76">
        <v>7290</v>
      </c>
      <c r="Y76">
        <v>7249.5</v>
      </c>
      <c r="Z76">
        <v>7209</v>
      </c>
      <c r="AA76">
        <v>7168.5</v>
      </c>
      <c r="AB76">
        <v>7128</v>
      </c>
      <c r="AC76">
        <v>7087.5</v>
      </c>
      <c r="AD76">
        <v>7047</v>
      </c>
      <c r="AE76">
        <v>7006.5</v>
      </c>
      <c r="AF76">
        <v>6966</v>
      </c>
      <c r="AG76">
        <v>6925.5</v>
      </c>
      <c r="AH76">
        <v>6885</v>
      </c>
      <c r="AI76">
        <v>6844.5</v>
      </c>
      <c r="AJ76">
        <v>6804</v>
      </c>
      <c r="AK76">
        <v>6763.5</v>
      </c>
      <c r="AL76">
        <v>6723</v>
      </c>
      <c r="AM76">
        <v>6682.5</v>
      </c>
    </row>
    <row r="77" spans="1:39">
      <c r="A77" t="s">
        <v>129</v>
      </c>
      <c r="B77" t="s">
        <v>264</v>
      </c>
      <c r="C77">
        <v>8100</v>
      </c>
      <c r="D77">
        <v>8100</v>
      </c>
      <c r="E77">
        <v>8100</v>
      </c>
      <c r="F77">
        <v>8100</v>
      </c>
      <c r="G77">
        <v>8100</v>
      </c>
      <c r="H77">
        <v>8100</v>
      </c>
      <c r="I77">
        <v>8100</v>
      </c>
      <c r="J77">
        <v>8100</v>
      </c>
      <c r="K77">
        <v>8100</v>
      </c>
      <c r="L77">
        <v>8100</v>
      </c>
      <c r="M77">
        <v>8100</v>
      </c>
      <c r="N77">
        <v>8100</v>
      </c>
      <c r="O77">
        <v>8100</v>
      </c>
      <c r="P77">
        <v>8100</v>
      </c>
      <c r="Q77">
        <v>8100</v>
      </c>
      <c r="R77">
        <v>8100</v>
      </c>
      <c r="S77">
        <v>8100</v>
      </c>
      <c r="T77">
        <v>8100</v>
      </c>
      <c r="U77">
        <v>8100</v>
      </c>
      <c r="V77">
        <v>8100</v>
      </c>
      <c r="W77">
        <v>8100</v>
      </c>
      <c r="X77">
        <v>8100</v>
      </c>
      <c r="Y77">
        <v>8100</v>
      </c>
      <c r="Z77">
        <v>8100</v>
      </c>
      <c r="AA77">
        <v>8100</v>
      </c>
      <c r="AB77">
        <v>8100</v>
      </c>
      <c r="AC77">
        <v>8100</v>
      </c>
      <c r="AD77">
        <v>8100</v>
      </c>
      <c r="AE77">
        <v>8100</v>
      </c>
      <c r="AF77">
        <v>8100</v>
      </c>
      <c r="AG77">
        <v>8100</v>
      </c>
      <c r="AH77">
        <v>8100</v>
      </c>
      <c r="AI77">
        <v>8100</v>
      </c>
      <c r="AJ77">
        <v>8100</v>
      </c>
      <c r="AK77">
        <v>8100</v>
      </c>
      <c r="AL77">
        <v>8100</v>
      </c>
      <c r="AM77">
        <v>8100</v>
      </c>
    </row>
    <row r="78" spans="1:39">
      <c r="A78" t="s">
        <v>129</v>
      </c>
      <c r="B78" t="s">
        <v>265</v>
      </c>
      <c r="C78">
        <v>8100</v>
      </c>
      <c r="D78">
        <v>8100</v>
      </c>
      <c r="E78">
        <v>8100</v>
      </c>
      <c r="F78">
        <v>8100</v>
      </c>
      <c r="G78">
        <v>8100</v>
      </c>
      <c r="H78">
        <v>8100</v>
      </c>
      <c r="I78">
        <v>8100</v>
      </c>
      <c r="J78">
        <v>8100</v>
      </c>
      <c r="K78">
        <v>8100</v>
      </c>
      <c r="L78">
        <v>8100</v>
      </c>
      <c r="M78">
        <v>8100</v>
      </c>
      <c r="N78">
        <v>8100</v>
      </c>
      <c r="O78">
        <v>8100</v>
      </c>
      <c r="P78">
        <v>8100</v>
      </c>
      <c r="Q78">
        <v>8100</v>
      </c>
      <c r="R78">
        <v>8100</v>
      </c>
      <c r="S78">
        <v>8100</v>
      </c>
      <c r="T78">
        <v>8100</v>
      </c>
      <c r="U78">
        <v>8100</v>
      </c>
      <c r="V78">
        <v>8100</v>
      </c>
      <c r="W78">
        <v>8100</v>
      </c>
      <c r="X78">
        <v>8100</v>
      </c>
      <c r="Y78">
        <v>8100</v>
      </c>
      <c r="Z78">
        <v>8100</v>
      </c>
      <c r="AA78">
        <v>8100</v>
      </c>
      <c r="AB78">
        <v>8100</v>
      </c>
      <c r="AC78">
        <v>8100</v>
      </c>
      <c r="AD78">
        <v>8100</v>
      </c>
      <c r="AE78">
        <v>8100</v>
      </c>
      <c r="AF78">
        <v>8100</v>
      </c>
      <c r="AG78">
        <v>8100</v>
      </c>
      <c r="AH78">
        <v>8100</v>
      </c>
      <c r="AI78">
        <v>8100</v>
      </c>
      <c r="AJ78">
        <v>8100</v>
      </c>
      <c r="AK78">
        <v>8100</v>
      </c>
      <c r="AL78">
        <v>8100</v>
      </c>
      <c r="AM78">
        <v>8100</v>
      </c>
    </row>
    <row r="79" spans="1:39">
      <c r="A79" t="s">
        <v>129</v>
      </c>
      <c r="B79" t="s">
        <v>266</v>
      </c>
      <c r="C79">
        <v>12179</v>
      </c>
      <c r="D79">
        <v>12179</v>
      </c>
      <c r="E79">
        <v>12118.104999999996</v>
      </c>
      <c r="F79">
        <v>12057.209999999992</v>
      </c>
      <c r="G79">
        <v>11996.315000000002</v>
      </c>
      <c r="H79">
        <v>11935.419999999998</v>
      </c>
      <c r="I79">
        <v>11874.524999999994</v>
      </c>
      <c r="J79">
        <v>11813.62999999999</v>
      </c>
      <c r="K79">
        <v>11752.735000000001</v>
      </c>
      <c r="L79">
        <v>11691.839999999997</v>
      </c>
      <c r="M79">
        <v>11630.944999999992</v>
      </c>
      <c r="N79">
        <v>11570.050000000003</v>
      </c>
      <c r="O79">
        <v>11509.154999999999</v>
      </c>
      <c r="P79">
        <v>11448.259999999995</v>
      </c>
      <c r="Q79">
        <v>11387.364999999991</v>
      </c>
      <c r="R79">
        <v>11326.470000000001</v>
      </c>
      <c r="S79">
        <v>11265.574999999997</v>
      </c>
      <c r="T79">
        <v>11204.679999999993</v>
      </c>
      <c r="U79">
        <v>11143.785000000003</v>
      </c>
      <c r="V79">
        <v>11082.89</v>
      </c>
      <c r="W79">
        <v>11021.994999999995</v>
      </c>
      <c r="X79">
        <v>10961.1</v>
      </c>
      <c r="Y79">
        <v>10900.205000000002</v>
      </c>
      <c r="Z79">
        <v>10839.309999999998</v>
      </c>
      <c r="AA79">
        <v>10778.414999999994</v>
      </c>
      <c r="AB79">
        <v>10717.51999999999</v>
      </c>
      <c r="AC79">
        <v>10656.625</v>
      </c>
      <c r="AD79">
        <v>10595.729999999996</v>
      </c>
      <c r="AE79">
        <v>10534.834999999992</v>
      </c>
      <c r="AF79">
        <v>10473.940000000002</v>
      </c>
      <c r="AG79">
        <v>10413.044999999998</v>
      </c>
      <c r="AH79">
        <v>10352.149999999994</v>
      </c>
      <c r="AI79">
        <v>10291.25499999999</v>
      </c>
      <c r="AJ79">
        <v>10230.36</v>
      </c>
      <c r="AK79">
        <v>10169.464999999997</v>
      </c>
      <c r="AL79">
        <v>10108.569999999992</v>
      </c>
      <c r="AM79">
        <v>10047.675000000003</v>
      </c>
    </row>
    <row r="80" spans="1:39">
      <c r="A80" t="s">
        <v>129</v>
      </c>
      <c r="B80" t="s">
        <v>267</v>
      </c>
      <c r="C80">
        <v>12179</v>
      </c>
      <c r="D80">
        <v>12179</v>
      </c>
      <c r="E80">
        <v>12179</v>
      </c>
      <c r="F80">
        <v>12179</v>
      </c>
      <c r="G80">
        <v>12179</v>
      </c>
      <c r="H80">
        <v>12179</v>
      </c>
      <c r="I80">
        <v>12179</v>
      </c>
      <c r="J80">
        <v>12179</v>
      </c>
      <c r="K80">
        <v>12179</v>
      </c>
      <c r="L80">
        <v>12179</v>
      </c>
      <c r="M80">
        <v>12179</v>
      </c>
      <c r="N80">
        <v>12179</v>
      </c>
      <c r="O80">
        <v>12179</v>
      </c>
      <c r="P80">
        <v>12179</v>
      </c>
      <c r="Q80">
        <v>12179</v>
      </c>
      <c r="R80">
        <v>12179</v>
      </c>
      <c r="S80">
        <v>12179</v>
      </c>
      <c r="T80">
        <v>12179</v>
      </c>
      <c r="U80">
        <v>12179</v>
      </c>
      <c r="V80">
        <v>12179</v>
      </c>
      <c r="W80">
        <v>12179</v>
      </c>
      <c r="X80">
        <v>12179</v>
      </c>
      <c r="Y80">
        <v>12179</v>
      </c>
      <c r="Z80">
        <v>12179</v>
      </c>
      <c r="AA80">
        <v>12179</v>
      </c>
      <c r="AB80">
        <v>12179</v>
      </c>
      <c r="AC80">
        <v>12179</v>
      </c>
      <c r="AD80">
        <v>12179</v>
      </c>
      <c r="AE80">
        <v>12179</v>
      </c>
      <c r="AF80">
        <v>12179</v>
      </c>
      <c r="AG80">
        <v>12179</v>
      </c>
      <c r="AH80">
        <v>12179</v>
      </c>
      <c r="AI80">
        <v>12179</v>
      </c>
      <c r="AJ80">
        <v>12179</v>
      </c>
      <c r="AK80">
        <v>12179</v>
      </c>
      <c r="AL80">
        <v>12179</v>
      </c>
      <c r="AM80">
        <v>12179</v>
      </c>
    </row>
    <row r="81" spans="1:39">
      <c r="A81" t="s">
        <v>129</v>
      </c>
      <c r="B81" t="s">
        <v>268</v>
      </c>
      <c r="C81">
        <v>12179</v>
      </c>
      <c r="D81">
        <v>12179</v>
      </c>
      <c r="E81">
        <v>12179</v>
      </c>
      <c r="F81">
        <v>12179</v>
      </c>
      <c r="G81">
        <v>12179</v>
      </c>
      <c r="H81">
        <v>12179</v>
      </c>
      <c r="I81">
        <v>12179</v>
      </c>
      <c r="J81">
        <v>12179</v>
      </c>
      <c r="K81">
        <v>12179</v>
      </c>
      <c r="L81">
        <v>12179</v>
      </c>
      <c r="M81">
        <v>12179</v>
      </c>
      <c r="N81">
        <v>12179</v>
      </c>
      <c r="O81">
        <v>12179</v>
      </c>
      <c r="P81">
        <v>12179</v>
      </c>
      <c r="Q81">
        <v>12179</v>
      </c>
      <c r="R81">
        <v>12179</v>
      </c>
      <c r="S81">
        <v>12179</v>
      </c>
      <c r="T81">
        <v>12179</v>
      </c>
      <c r="U81">
        <v>12179</v>
      </c>
      <c r="V81">
        <v>12179</v>
      </c>
      <c r="W81">
        <v>12179</v>
      </c>
      <c r="X81">
        <v>12179</v>
      </c>
      <c r="Y81">
        <v>12179</v>
      </c>
      <c r="Z81">
        <v>12179</v>
      </c>
      <c r="AA81">
        <v>12179</v>
      </c>
      <c r="AB81">
        <v>12179</v>
      </c>
      <c r="AC81">
        <v>12179</v>
      </c>
      <c r="AD81">
        <v>12179</v>
      </c>
      <c r="AE81">
        <v>12179</v>
      </c>
      <c r="AF81">
        <v>12179</v>
      </c>
      <c r="AG81">
        <v>12179</v>
      </c>
      <c r="AH81">
        <v>12179</v>
      </c>
      <c r="AI81">
        <v>12179</v>
      </c>
      <c r="AJ81">
        <v>12179</v>
      </c>
      <c r="AK81">
        <v>12179</v>
      </c>
      <c r="AL81">
        <v>12179</v>
      </c>
      <c r="AM81">
        <v>12179</v>
      </c>
    </row>
    <row r="82" spans="1:39">
      <c r="A82" t="s">
        <v>124</v>
      </c>
      <c r="B82" t="s">
        <v>269</v>
      </c>
      <c r="C82">
        <v>869.1945425319999</v>
      </c>
      <c r="D82">
        <v>869.1945425319999</v>
      </c>
      <c r="E82">
        <v>869.1945425319999</v>
      </c>
      <c r="F82">
        <v>858.62741493637793</v>
      </c>
      <c r="G82">
        <v>856.06408958861391</v>
      </c>
      <c r="H82">
        <v>852.83490886891002</v>
      </c>
      <c r="I82">
        <v>847.03272752304963</v>
      </c>
      <c r="J82">
        <v>844.46920584429665</v>
      </c>
      <c r="K82">
        <v>841.8508735167876</v>
      </c>
      <c r="L82">
        <v>839.28702582250469</v>
      </c>
      <c r="M82">
        <v>836.72416172758733</v>
      </c>
      <c r="N82">
        <v>834.02901630504152</v>
      </c>
      <c r="O82">
        <v>825.53986956372273</v>
      </c>
      <c r="P82">
        <v>819.09585517208427</v>
      </c>
      <c r="Q82">
        <v>813.15208078780756</v>
      </c>
      <c r="R82">
        <v>809.04752589329939</v>
      </c>
      <c r="S82">
        <v>804.65823531380477</v>
      </c>
      <c r="T82">
        <v>800.71662122066573</v>
      </c>
      <c r="U82">
        <v>797.66732010864519</v>
      </c>
      <c r="V82">
        <v>795.00411868284925</v>
      </c>
      <c r="W82">
        <v>792.29618780335556</v>
      </c>
      <c r="X82">
        <v>789.20614826026861</v>
      </c>
      <c r="Y82">
        <v>786.09230759352158</v>
      </c>
      <c r="Z82">
        <v>783.46431021330568</v>
      </c>
      <c r="AA82">
        <v>780.16309431076229</v>
      </c>
      <c r="AB82">
        <v>777.53046299323228</v>
      </c>
      <c r="AC82">
        <v>774.45320894761869</v>
      </c>
      <c r="AD82">
        <v>771.43270631100006</v>
      </c>
      <c r="AE82">
        <v>768.41220367438143</v>
      </c>
      <c r="AF82">
        <v>765.3917010377628</v>
      </c>
      <c r="AG82">
        <v>762.37119840114417</v>
      </c>
      <c r="AH82">
        <v>759.35069576452554</v>
      </c>
      <c r="AI82">
        <v>756.33019312790691</v>
      </c>
      <c r="AJ82">
        <v>753.30969049128828</v>
      </c>
      <c r="AK82">
        <v>750.28918785466965</v>
      </c>
      <c r="AL82">
        <v>747.26868521805102</v>
      </c>
      <c r="AM82">
        <v>744.24818258143239</v>
      </c>
    </row>
    <row r="83" spans="1:39">
      <c r="A83" t="s">
        <v>124</v>
      </c>
      <c r="B83" t="s">
        <v>270</v>
      </c>
      <c r="C83">
        <v>869.1945425319999</v>
      </c>
      <c r="D83">
        <v>869.1945425319999</v>
      </c>
      <c r="E83">
        <v>869.1945425319999</v>
      </c>
      <c r="F83">
        <v>858.62741493637793</v>
      </c>
      <c r="G83">
        <v>856.06408958861391</v>
      </c>
      <c r="H83">
        <v>852.83490886891002</v>
      </c>
      <c r="I83">
        <v>847.03272752304963</v>
      </c>
      <c r="J83">
        <v>844.46920584429665</v>
      </c>
      <c r="K83">
        <v>841.8508735167876</v>
      </c>
      <c r="L83">
        <v>839.28702582250469</v>
      </c>
      <c r="M83">
        <v>836.72416172758733</v>
      </c>
      <c r="N83">
        <v>834.02901630504152</v>
      </c>
      <c r="O83">
        <v>825.53986956372273</v>
      </c>
      <c r="P83">
        <v>819.09585517208427</v>
      </c>
      <c r="Q83">
        <v>813.15208078780756</v>
      </c>
      <c r="R83">
        <v>809.04752589329939</v>
      </c>
      <c r="S83">
        <v>804.65823531380477</v>
      </c>
      <c r="T83">
        <v>800.71662122066573</v>
      </c>
      <c r="U83">
        <v>797.66732010864519</v>
      </c>
      <c r="V83">
        <v>795.00411868284925</v>
      </c>
      <c r="W83">
        <v>792.29618780335556</v>
      </c>
      <c r="X83">
        <v>789.20614826026861</v>
      </c>
      <c r="Y83">
        <v>786.09230759352158</v>
      </c>
      <c r="Z83">
        <v>783.46431021330568</v>
      </c>
      <c r="AA83">
        <v>780.16309431076229</v>
      </c>
      <c r="AB83">
        <v>777.53046299323228</v>
      </c>
      <c r="AC83">
        <v>774.45320894761869</v>
      </c>
      <c r="AD83">
        <v>771.43270631100006</v>
      </c>
      <c r="AE83">
        <v>768.41220367438143</v>
      </c>
      <c r="AF83">
        <v>765.3917010377628</v>
      </c>
      <c r="AG83">
        <v>762.37119840114417</v>
      </c>
      <c r="AH83">
        <v>759.35069576452554</v>
      </c>
      <c r="AI83">
        <v>756.33019312790691</v>
      </c>
      <c r="AJ83">
        <v>753.30969049128828</v>
      </c>
      <c r="AK83">
        <v>750.28918785466965</v>
      </c>
      <c r="AL83">
        <v>747.26868521805102</v>
      </c>
      <c r="AM83">
        <v>744.24818258143239</v>
      </c>
    </row>
    <row r="84" spans="1:39">
      <c r="A84" t="s">
        <v>124</v>
      </c>
      <c r="B84" t="s">
        <v>271</v>
      </c>
      <c r="C84">
        <v>869.1945425319999</v>
      </c>
      <c r="D84">
        <v>869.1945425319999</v>
      </c>
      <c r="E84">
        <v>869.1945425319999</v>
      </c>
      <c r="F84">
        <v>858.62741493637793</v>
      </c>
      <c r="G84">
        <v>856.06408958861391</v>
      </c>
      <c r="H84">
        <v>852.83490886891002</v>
      </c>
      <c r="I84">
        <v>847.03272752304963</v>
      </c>
      <c r="J84">
        <v>844.46920584429665</v>
      </c>
      <c r="K84">
        <v>841.8508735167876</v>
      </c>
      <c r="L84">
        <v>839.28702582250469</v>
      </c>
      <c r="M84">
        <v>836.72416172758733</v>
      </c>
      <c r="N84">
        <v>834.02901630504152</v>
      </c>
      <c r="O84">
        <v>825.53986956372273</v>
      </c>
      <c r="P84">
        <v>819.09585517208427</v>
      </c>
      <c r="Q84">
        <v>813.15208078780756</v>
      </c>
      <c r="R84">
        <v>809.04752589329939</v>
      </c>
      <c r="S84">
        <v>804.65823531380477</v>
      </c>
      <c r="T84">
        <v>800.71662122066573</v>
      </c>
      <c r="U84">
        <v>797.66732010864519</v>
      </c>
      <c r="V84">
        <v>795.00411868284925</v>
      </c>
      <c r="W84">
        <v>792.29618780335556</v>
      </c>
      <c r="X84">
        <v>789.20614826026861</v>
      </c>
      <c r="Y84">
        <v>786.09230759352158</v>
      </c>
      <c r="Z84">
        <v>783.46431021330568</v>
      </c>
      <c r="AA84">
        <v>780.16309431076229</v>
      </c>
      <c r="AB84">
        <v>777.53046299323228</v>
      </c>
      <c r="AC84">
        <v>774.45320894761869</v>
      </c>
      <c r="AD84">
        <v>771.43270631100006</v>
      </c>
      <c r="AE84">
        <v>768.41220367438143</v>
      </c>
      <c r="AF84">
        <v>765.3917010377628</v>
      </c>
      <c r="AG84">
        <v>762.37119840114417</v>
      </c>
      <c r="AH84">
        <v>759.35069576452554</v>
      </c>
      <c r="AI84">
        <v>756.33019312790691</v>
      </c>
      <c r="AJ84">
        <v>753.30969049128828</v>
      </c>
      <c r="AK84">
        <v>750.28918785466965</v>
      </c>
      <c r="AL84">
        <v>747.26868521805102</v>
      </c>
      <c r="AM84">
        <v>744.24818258143239</v>
      </c>
    </row>
    <row r="85" spans="1:39">
      <c r="A85" t="s">
        <v>134</v>
      </c>
      <c r="B85" t="s">
        <v>272</v>
      </c>
      <c r="C85">
        <v>5391.5126343022939</v>
      </c>
      <c r="D85">
        <v>5074.8167298440767</v>
      </c>
      <c r="E85">
        <v>4757.8205281140663</v>
      </c>
      <c r="F85">
        <v>4612.5306023211451</v>
      </c>
      <c r="G85">
        <v>4467.240676528223</v>
      </c>
      <c r="H85">
        <v>4321.9507507353028</v>
      </c>
      <c r="I85">
        <v>4176.6608249423807</v>
      </c>
      <c r="J85">
        <v>4000.5518239812632</v>
      </c>
      <c r="K85">
        <v>3824.4428230201461</v>
      </c>
      <c r="L85">
        <v>3648.3338220590294</v>
      </c>
      <c r="M85">
        <v>3595.5011217706947</v>
      </c>
      <c r="N85">
        <v>3542.6684214823595</v>
      </c>
      <c r="O85">
        <v>3489.8357211940242</v>
      </c>
      <c r="P85">
        <v>3437.0030209056895</v>
      </c>
      <c r="Q85">
        <v>3384.1703206173543</v>
      </c>
      <c r="R85">
        <v>3331.337620329019</v>
      </c>
      <c r="S85">
        <v>3278.5049200406843</v>
      </c>
      <c r="T85">
        <v>3252.0885698965167</v>
      </c>
      <c r="U85">
        <v>3225.6722197523491</v>
      </c>
      <c r="V85">
        <v>3199.2558696081815</v>
      </c>
      <c r="W85">
        <v>3172.8395194640138</v>
      </c>
      <c r="X85">
        <v>3146.4231693198467</v>
      </c>
      <c r="Y85">
        <v>3120.0068191756791</v>
      </c>
      <c r="Z85">
        <v>3093.5904690315115</v>
      </c>
      <c r="AA85">
        <v>3067.1741188873439</v>
      </c>
      <c r="AB85">
        <v>3040.7577687431763</v>
      </c>
      <c r="AC85">
        <v>3014.3414185990096</v>
      </c>
      <c r="AD85">
        <v>2990.5667034692583</v>
      </c>
      <c r="AE85">
        <v>2966.791988339508</v>
      </c>
      <c r="AF85">
        <v>2943.0172732097567</v>
      </c>
      <c r="AG85">
        <v>2919.2425580800059</v>
      </c>
      <c r="AH85">
        <v>2895.4678429502551</v>
      </c>
      <c r="AI85">
        <v>2871.6931278205043</v>
      </c>
      <c r="AJ85">
        <v>2847.9184126907539</v>
      </c>
      <c r="AK85">
        <v>2824.1436975610027</v>
      </c>
      <c r="AL85">
        <v>2800.3689824312523</v>
      </c>
      <c r="AM85">
        <v>2776.5942673015006</v>
      </c>
    </row>
    <row r="86" spans="1:39">
      <c r="A86" t="s">
        <v>134</v>
      </c>
      <c r="B86" t="s">
        <v>273</v>
      </c>
      <c r="C86">
        <v>5391.5126343022939</v>
      </c>
      <c r="D86">
        <v>5276.7773618920364</v>
      </c>
      <c r="E86">
        <v>5161.7417922099867</v>
      </c>
      <c r="F86">
        <v>5021.1369509697561</v>
      </c>
      <c r="G86">
        <v>4880.5321097295246</v>
      </c>
      <c r="H86">
        <v>4739.927268489294</v>
      </c>
      <c r="I86">
        <v>4599.3224272490606</v>
      </c>
      <c r="J86">
        <v>4423.2134262879445</v>
      </c>
      <c r="K86">
        <v>4247.1044253268274</v>
      </c>
      <c r="L86">
        <v>4070.9954243657098</v>
      </c>
      <c r="M86">
        <v>4048.3528385278523</v>
      </c>
      <c r="N86">
        <v>4025.7102526899939</v>
      </c>
      <c r="O86">
        <v>4003.0676668521364</v>
      </c>
      <c r="P86">
        <v>3980.425081014278</v>
      </c>
      <c r="Q86">
        <v>3957.7824951764201</v>
      </c>
      <c r="R86">
        <v>3935.1399093385621</v>
      </c>
      <c r="S86">
        <v>3912.4973235007046</v>
      </c>
      <c r="T86">
        <v>3901.9307834430379</v>
      </c>
      <c r="U86">
        <v>3891.3642433853706</v>
      </c>
      <c r="V86">
        <v>3880.7977033277039</v>
      </c>
      <c r="W86">
        <v>3870.2311632700366</v>
      </c>
      <c r="X86">
        <v>3859.6646232123699</v>
      </c>
      <c r="Y86">
        <v>3849.0980831547031</v>
      </c>
      <c r="Z86">
        <v>3838.5315430970354</v>
      </c>
      <c r="AA86">
        <v>3827.9650030393686</v>
      </c>
      <c r="AB86">
        <v>3817.3984629817014</v>
      </c>
      <c r="AC86">
        <v>3806.8319229240342</v>
      </c>
      <c r="AD86">
        <v>3794.8216486878946</v>
      </c>
      <c r="AE86">
        <v>3782.8113744517541</v>
      </c>
      <c r="AF86">
        <v>3770.8011002156145</v>
      </c>
      <c r="AG86">
        <v>3758.7908259794744</v>
      </c>
      <c r="AH86">
        <v>3746.7805517433344</v>
      </c>
      <c r="AI86">
        <v>3734.7702775071948</v>
      </c>
      <c r="AJ86">
        <v>3722.7600032710548</v>
      </c>
      <c r="AK86">
        <v>3710.7497290349147</v>
      </c>
      <c r="AL86">
        <v>3698.7394547987751</v>
      </c>
      <c r="AM86">
        <v>3686.7291805626332</v>
      </c>
    </row>
    <row r="87" spans="1:39">
      <c r="A87" t="s">
        <v>134</v>
      </c>
      <c r="B87" t="s">
        <v>274</v>
      </c>
      <c r="C87">
        <v>5391.5126343022939</v>
      </c>
      <c r="D87">
        <v>5391.5126343022939</v>
      </c>
      <c r="E87">
        <v>5391.5126343022939</v>
      </c>
      <c r="F87">
        <v>5391.5126343022939</v>
      </c>
      <c r="G87">
        <v>5391.5126343022939</v>
      </c>
      <c r="H87">
        <v>5391.5126343022939</v>
      </c>
      <c r="I87">
        <v>5391.5126343022939</v>
      </c>
      <c r="J87">
        <v>5391.5126343022939</v>
      </c>
      <c r="K87">
        <v>5391.5126343022939</v>
      </c>
      <c r="L87">
        <v>5391.5126343022939</v>
      </c>
      <c r="M87">
        <v>5391.5126343022939</v>
      </c>
      <c r="N87">
        <v>5391.5126343022939</v>
      </c>
      <c r="O87">
        <v>5391.5126343022939</v>
      </c>
      <c r="P87">
        <v>5391.5126343022939</v>
      </c>
      <c r="Q87">
        <v>5391.5126343022939</v>
      </c>
      <c r="R87">
        <v>5391.5126343022939</v>
      </c>
      <c r="S87">
        <v>5391.5126343022939</v>
      </c>
      <c r="T87">
        <v>5391.5126343022939</v>
      </c>
      <c r="U87">
        <v>5391.5126343022939</v>
      </c>
      <c r="V87">
        <v>5391.5126343022939</v>
      </c>
      <c r="W87">
        <v>5391.5126343022939</v>
      </c>
      <c r="X87">
        <v>5391.5126343022939</v>
      </c>
      <c r="Y87">
        <v>5391.5126343022939</v>
      </c>
      <c r="Z87">
        <v>5391.5126343022939</v>
      </c>
      <c r="AA87">
        <v>5391.5126343022939</v>
      </c>
      <c r="AB87">
        <v>5391.5126343022939</v>
      </c>
      <c r="AC87">
        <v>5391.5126343022939</v>
      </c>
      <c r="AD87">
        <v>5391.5126343022939</v>
      </c>
      <c r="AE87">
        <v>5391.5126343022939</v>
      </c>
      <c r="AF87">
        <v>5391.5126343022939</v>
      </c>
      <c r="AG87">
        <v>5391.5126343022939</v>
      </c>
      <c r="AH87">
        <v>5391.5126343022939</v>
      </c>
      <c r="AI87">
        <v>5391.5126343022939</v>
      </c>
      <c r="AJ87">
        <v>5391.5126343022939</v>
      </c>
      <c r="AK87">
        <v>5391.5126343022939</v>
      </c>
      <c r="AL87">
        <v>5391.5126343022939</v>
      </c>
      <c r="AM87">
        <v>5391.5126343022939</v>
      </c>
    </row>
    <row r="88" spans="1:39">
      <c r="A88" t="s">
        <v>134</v>
      </c>
      <c r="B88" t="s">
        <v>275</v>
      </c>
      <c r="C88">
        <v>5391.512634302233</v>
      </c>
      <c r="D88">
        <v>5074.8167298440767</v>
      </c>
      <c r="E88">
        <v>4757.8205281140663</v>
      </c>
      <c r="F88">
        <v>4612.5306023211451</v>
      </c>
      <c r="G88">
        <v>4467.240676528223</v>
      </c>
      <c r="H88">
        <v>4321.9507507353028</v>
      </c>
      <c r="I88">
        <v>4176.6608249423807</v>
      </c>
      <c r="J88">
        <v>4000.5518239812632</v>
      </c>
      <c r="K88">
        <v>3824.4428230201461</v>
      </c>
      <c r="L88">
        <v>3648.3338220590294</v>
      </c>
      <c r="M88">
        <v>3595.5011217706947</v>
      </c>
      <c r="N88">
        <v>3542.6684214823595</v>
      </c>
      <c r="O88">
        <v>3489.8357211940242</v>
      </c>
      <c r="P88">
        <v>3437.0030209056895</v>
      </c>
      <c r="Q88">
        <v>3384.1703206173543</v>
      </c>
      <c r="R88">
        <v>3331.337620329019</v>
      </c>
      <c r="S88">
        <v>3278.5049200406843</v>
      </c>
      <c r="T88">
        <v>3252.0885698965167</v>
      </c>
      <c r="U88">
        <v>3225.6722197523491</v>
      </c>
      <c r="V88">
        <v>3199.2558696081815</v>
      </c>
      <c r="W88">
        <v>3172.8395194640138</v>
      </c>
      <c r="X88">
        <v>3146.4231693198467</v>
      </c>
      <c r="Y88">
        <v>3120.0068191756791</v>
      </c>
      <c r="Z88">
        <v>3093.5904690315115</v>
      </c>
      <c r="AA88">
        <v>3067.1741188873439</v>
      </c>
      <c r="AB88">
        <v>3040.7577687431763</v>
      </c>
      <c r="AC88">
        <v>3014.3414185990096</v>
      </c>
      <c r="AD88">
        <v>2990.5667034692583</v>
      </c>
      <c r="AE88">
        <v>2966.791988339508</v>
      </c>
      <c r="AF88">
        <v>2943.0172732097567</v>
      </c>
      <c r="AG88">
        <v>2919.2425580800059</v>
      </c>
      <c r="AH88">
        <v>2895.4678429502551</v>
      </c>
      <c r="AI88">
        <v>2871.6931278205043</v>
      </c>
      <c r="AJ88">
        <v>2847.9184126907539</v>
      </c>
      <c r="AK88">
        <v>2824.1436975610027</v>
      </c>
      <c r="AL88">
        <v>2800.3689824312523</v>
      </c>
      <c r="AM88">
        <v>2776.5942673015006</v>
      </c>
    </row>
    <row r="89" spans="1:39">
      <c r="A89" t="s">
        <v>134</v>
      </c>
      <c r="B89" t="s">
        <v>276</v>
      </c>
      <c r="C89">
        <v>5391.512634302233</v>
      </c>
      <c r="D89">
        <v>5276.7773618920355</v>
      </c>
      <c r="E89">
        <v>5161.7417922099858</v>
      </c>
      <c r="F89">
        <v>5021.1369509697552</v>
      </c>
      <c r="G89">
        <v>4880.5321097295237</v>
      </c>
      <c r="H89">
        <v>4739.9272684892931</v>
      </c>
      <c r="I89">
        <v>4599.3224272490606</v>
      </c>
      <c r="J89">
        <v>4423.2134262879445</v>
      </c>
      <c r="K89">
        <v>4247.1044253268274</v>
      </c>
      <c r="L89">
        <v>4070.9954243657098</v>
      </c>
      <c r="M89">
        <v>4048.3528385278523</v>
      </c>
      <c r="N89">
        <v>4025.7102526899939</v>
      </c>
      <c r="O89">
        <v>4003.0676668521364</v>
      </c>
      <c r="P89">
        <v>3980.425081014278</v>
      </c>
      <c r="Q89">
        <v>3957.7824951764201</v>
      </c>
      <c r="R89">
        <v>3935.1399093385621</v>
      </c>
      <c r="S89">
        <v>3912.4973235007046</v>
      </c>
      <c r="T89">
        <v>3901.9307834430379</v>
      </c>
      <c r="U89">
        <v>3891.3642433853706</v>
      </c>
      <c r="V89">
        <v>3880.7977033277039</v>
      </c>
      <c r="W89">
        <v>3870.2311632700366</v>
      </c>
      <c r="X89">
        <v>3859.6646232123699</v>
      </c>
      <c r="Y89">
        <v>3849.0980831547031</v>
      </c>
      <c r="Z89">
        <v>3838.5315430970354</v>
      </c>
      <c r="AA89">
        <v>3827.9650030393686</v>
      </c>
      <c r="AB89">
        <v>3817.3984629817014</v>
      </c>
      <c r="AC89">
        <v>3806.8319229240342</v>
      </c>
      <c r="AD89">
        <v>3794.8216486878946</v>
      </c>
      <c r="AE89">
        <v>3782.8113744517541</v>
      </c>
      <c r="AF89">
        <v>3770.8011002156145</v>
      </c>
      <c r="AG89">
        <v>3758.7908259794744</v>
      </c>
      <c r="AH89">
        <v>3746.7805517433344</v>
      </c>
      <c r="AI89">
        <v>3734.7702775071948</v>
      </c>
      <c r="AJ89">
        <v>3722.7600032710548</v>
      </c>
      <c r="AK89">
        <v>3710.7497290349147</v>
      </c>
      <c r="AL89">
        <v>3698.7394547987751</v>
      </c>
      <c r="AM89">
        <v>3686.7291805626332</v>
      </c>
    </row>
    <row r="90" spans="1:39">
      <c r="A90" t="s">
        <v>134</v>
      </c>
      <c r="B90" t="s">
        <v>277</v>
      </c>
      <c r="C90">
        <v>5391.512634302233</v>
      </c>
      <c r="D90">
        <v>5391.512634302233</v>
      </c>
      <c r="E90">
        <v>5391.512634302233</v>
      </c>
      <c r="F90">
        <v>5391.512634302233</v>
      </c>
      <c r="G90">
        <v>5391.512634302233</v>
      </c>
      <c r="H90">
        <v>5391.512634302233</v>
      </c>
      <c r="I90">
        <v>5391.512634302233</v>
      </c>
      <c r="J90">
        <v>5391.512634302233</v>
      </c>
      <c r="K90">
        <v>5391.512634302233</v>
      </c>
      <c r="L90">
        <v>5391.512634302233</v>
      </c>
      <c r="M90">
        <v>5391.512634302233</v>
      </c>
      <c r="N90">
        <v>5391.512634302233</v>
      </c>
      <c r="O90">
        <v>5391.512634302233</v>
      </c>
      <c r="P90">
        <v>5391.512634302233</v>
      </c>
      <c r="Q90">
        <v>5391.512634302233</v>
      </c>
      <c r="R90">
        <v>5391.512634302233</v>
      </c>
      <c r="S90">
        <v>5391.512634302233</v>
      </c>
      <c r="T90">
        <v>5391.512634302233</v>
      </c>
      <c r="U90">
        <v>5391.512634302233</v>
      </c>
      <c r="V90">
        <v>5391.512634302233</v>
      </c>
      <c r="W90">
        <v>5391.512634302233</v>
      </c>
      <c r="X90">
        <v>5391.512634302233</v>
      </c>
      <c r="Y90">
        <v>5391.512634302233</v>
      </c>
      <c r="Z90">
        <v>5391.512634302233</v>
      </c>
      <c r="AA90">
        <v>5391.512634302233</v>
      </c>
      <c r="AB90">
        <v>5391.512634302233</v>
      </c>
      <c r="AC90">
        <v>5391.512634302233</v>
      </c>
      <c r="AD90">
        <v>5391.512634302233</v>
      </c>
      <c r="AE90">
        <v>5391.512634302233</v>
      </c>
      <c r="AF90">
        <v>5391.512634302233</v>
      </c>
      <c r="AG90">
        <v>5391.512634302233</v>
      </c>
      <c r="AH90">
        <v>5391.512634302233</v>
      </c>
      <c r="AI90">
        <v>5391.512634302233</v>
      </c>
      <c r="AJ90">
        <v>5391.512634302233</v>
      </c>
      <c r="AK90">
        <v>5391.512634302233</v>
      </c>
      <c r="AL90">
        <v>5391.512634302233</v>
      </c>
      <c r="AM90">
        <v>5391.512634302233</v>
      </c>
    </row>
    <row r="91" spans="1:39">
      <c r="A91" t="s">
        <v>134</v>
      </c>
      <c r="B91" t="s">
        <v>278</v>
      </c>
      <c r="C91">
        <v>5391.5126343022639</v>
      </c>
      <c r="D91">
        <v>5074.8167298440767</v>
      </c>
      <c r="E91">
        <v>4757.8205281140663</v>
      </c>
      <c r="F91">
        <v>4612.5306023211451</v>
      </c>
      <c r="G91">
        <v>4467.240676528223</v>
      </c>
      <c r="H91">
        <v>4321.9507507353028</v>
      </c>
      <c r="I91">
        <v>4176.6608249423807</v>
      </c>
      <c r="J91">
        <v>4000.5518239812632</v>
      </c>
      <c r="K91">
        <v>3824.4428230201461</v>
      </c>
      <c r="L91">
        <v>3648.3338220590294</v>
      </c>
      <c r="M91">
        <v>3595.5011217706947</v>
      </c>
      <c r="N91">
        <v>3542.6684214823595</v>
      </c>
      <c r="O91">
        <v>3489.8357211940242</v>
      </c>
      <c r="P91">
        <v>3437.0030209056895</v>
      </c>
      <c r="Q91">
        <v>3384.1703206173543</v>
      </c>
      <c r="R91">
        <v>3331.337620329019</v>
      </c>
      <c r="S91">
        <v>3278.5049200406843</v>
      </c>
      <c r="T91">
        <v>3252.0885698965167</v>
      </c>
      <c r="U91">
        <v>3225.6722197523491</v>
      </c>
      <c r="V91">
        <v>3199.2558696081815</v>
      </c>
      <c r="W91">
        <v>3172.8395194640138</v>
      </c>
      <c r="X91">
        <v>3146.4231693198467</v>
      </c>
      <c r="Y91">
        <v>3120.0068191756791</v>
      </c>
      <c r="Z91">
        <v>3093.5904690315115</v>
      </c>
      <c r="AA91">
        <v>3067.1741188873439</v>
      </c>
      <c r="AB91">
        <v>3040.7577687431763</v>
      </c>
      <c r="AC91">
        <v>3014.3414185990096</v>
      </c>
      <c r="AD91">
        <v>2990.5667034692583</v>
      </c>
      <c r="AE91">
        <v>2966.791988339508</v>
      </c>
      <c r="AF91">
        <v>2943.0172732097567</v>
      </c>
      <c r="AG91">
        <v>2919.2425580800059</v>
      </c>
      <c r="AH91">
        <v>2895.4678429502551</v>
      </c>
      <c r="AI91">
        <v>2871.6931278205043</v>
      </c>
      <c r="AJ91">
        <v>2847.9184126907539</v>
      </c>
      <c r="AK91">
        <v>2824.1436975610027</v>
      </c>
      <c r="AL91">
        <v>2800.3689824312523</v>
      </c>
      <c r="AM91">
        <v>2776.5942673015006</v>
      </c>
    </row>
    <row r="92" spans="1:39">
      <c r="A92" t="s">
        <v>134</v>
      </c>
      <c r="B92" t="s">
        <v>279</v>
      </c>
      <c r="C92">
        <v>5391.5126343022639</v>
      </c>
      <c r="D92">
        <v>5276.7773618920355</v>
      </c>
      <c r="E92">
        <v>5161.7417922099858</v>
      </c>
      <c r="F92">
        <v>5021.1369509697552</v>
      </c>
      <c r="G92">
        <v>4880.5321097295237</v>
      </c>
      <c r="H92">
        <v>4739.9272684892931</v>
      </c>
      <c r="I92">
        <v>4599.3224272490606</v>
      </c>
      <c r="J92">
        <v>4423.2134262879445</v>
      </c>
      <c r="K92">
        <v>4247.1044253268274</v>
      </c>
      <c r="L92">
        <v>4070.9954243657098</v>
      </c>
      <c r="M92">
        <v>4048.3528385278523</v>
      </c>
      <c r="N92">
        <v>4025.7102526899939</v>
      </c>
      <c r="O92">
        <v>4003.0676668521364</v>
      </c>
      <c r="P92">
        <v>3980.425081014278</v>
      </c>
      <c r="Q92">
        <v>3957.7824951764201</v>
      </c>
      <c r="R92">
        <v>3935.1399093385621</v>
      </c>
      <c r="S92">
        <v>3912.4973235007046</v>
      </c>
      <c r="T92">
        <v>3901.9307834430379</v>
      </c>
      <c r="U92">
        <v>3891.3642433853706</v>
      </c>
      <c r="V92">
        <v>3880.7977033277039</v>
      </c>
      <c r="W92">
        <v>3870.2311632700366</v>
      </c>
      <c r="X92">
        <v>3859.6646232123699</v>
      </c>
      <c r="Y92">
        <v>3849.0980831547031</v>
      </c>
      <c r="Z92">
        <v>3838.5315430970354</v>
      </c>
      <c r="AA92">
        <v>3827.9650030393686</v>
      </c>
      <c r="AB92">
        <v>3817.3984629817014</v>
      </c>
      <c r="AC92">
        <v>3806.8319229240342</v>
      </c>
      <c r="AD92">
        <v>3794.8216486878946</v>
      </c>
      <c r="AE92">
        <v>3782.8113744517541</v>
      </c>
      <c r="AF92">
        <v>3770.8011002156145</v>
      </c>
      <c r="AG92">
        <v>3758.7908259794744</v>
      </c>
      <c r="AH92">
        <v>3746.7805517433344</v>
      </c>
      <c r="AI92">
        <v>3734.7702775071948</v>
      </c>
      <c r="AJ92">
        <v>3722.7600032710548</v>
      </c>
      <c r="AK92">
        <v>3710.7497290349147</v>
      </c>
      <c r="AL92">
        <v>3698.7394547987751</v>
      </c>
      <c r="AM92">
        <v>3686.7291805626332</v>
      </c>
    </row>
    <row r="93" spans="1:39">
      <c r="A93" t="s">
        <v>134</v>
      </c>
      <c r="B93" t="s">
        <v>280</v>
      </c>
      <c r="C93">
        <v>5391.5126343022639</v>
      </c>
      <c r="D93">
        <v>5391.5126343022639</v>
      </c>
      <c r="E93">
        <v>5391.5126343022639</v>
      </c>
      <c r="F93">
        <v>5391.5126343022639</v>
      </c>
      <c r="G93">
        <v>5391.5126343022639</v>
      </c>
      <c r="H93">
        <v>5391.5126343022639</v>
      </c>
      <c r="I93">
        <v>5391.5126343022639</v>
      </c>
      <c r="J93">
        <v>5391.5126343022639</v>
      </c>
      <c r="K93">
        <v>5391.5126343022639</v>
      </c>
      <c r="L93">
        <v>5391.5126343022639</v>
      </c>
      <c r="M93">
        <v>5391.5126343022639</v>
      </c>
      <c r="N93">
        <v>5391.5126343022639</v>
      </c>
      <c r="O93">
        <v>5391.5126343022639</v>
      </c>
      <c r="P93">
        <v>5391.5126343022639</v>
      </c>
      <c r="Q93">
        <v>5391.5126343022639</v>
      </c>
      <c r="R93">
        <v>5391.5126343022639</v>
      </c>
      <c r="S93">
        <v>5391.5126343022639</v>
      </c>
      <c r="T93">
        <v>5391.5126343022639</v>
      </c>
      <c r="U93">
        <v>5391.5126343022639</v>
      </c>
      <c r="V93">
        <v>5391.5126343022639</v>
      </c>
      <c r="W93">
        <v>5391.5126343022639</v>
      </c>
      <c r="X93">
        <v>5391.5126343022639</v>
      </c>
      <c r="Y93">
        <v>5391.5126343022639</v>
      </c>
      <c r="Z93">
        <v>5391.5126343022639</v>
      </c>
      <c r="AA93">
        <v>5391.5126343022639</v>
      </c>
      <c r="AB93">
        <v>5391.5126343022639</v>
      </c>
      <c r="AC93">
        <v>5391.5126343022639</v>
      </c>
      <c r="AD93">
        <v>5391.5126343022639</v>
      </c>
      <c r="AE93">
        <v>5391.5126343022639</v>
      </c>
      <c r="AF93">
        <v>5391.5126343022639</v>
      </c>
      <c r="AG93">
        <v>5391.5126343022639</v>
      </c>
      <c r="AH93">
        <v>5391.5126343022639</v>
      </c>
      <c r="AI93">
        <v>5391.5126343022639</v>
      </c>
      <c r="AJ93">
        <v>5391.5126343022639</v>
      </c>
      <c r="AK93">
        <v>5391.5126343022639</v>
      </c>
      <c r="AL93">
        <v>5391.5126343022639</v>
      </c>
      <c r="AM93">
        <v>5391.5126343022639</v>
      </c>
    </row>
    <row r="94" spans="1:39">
      <c r="A94" t="s">
        <v>134</v>
      </c>
      <c r="B94" t="s">
        <v>281</v>
      </c>
      <c r="C94">
        <v>5391.5126343023448</v>
      </c>
      <c r="D94">
        <v>5074.8167298440767</v>
      </c>
      <c r="E94">
        <v>4757.8205281140663</v>
      </c>
      <c r="F94">
        <v>4612.5306023211451</v>
      </c>
      <c r="G94">
        <v>4467.240676528223</v>
      </c>
      <c r="H94">
        <v>4321.9507507353028</v>
      </c>
      <c r="I94">
        <v>4176.6608249423807</v>
      </c>
      <c r="J94">
        <v>4000.5518239812632</v>
      </c>
      <c r="K94">
        <v>3824.4428230201461</v>
      </c>
      <c r="L94">
        <v>3648.3338220590294</v>
      </c>
      <c r="M94">
        <v>3595.5011217706947</v>
      </c>
      <c r="N94">
        <v>3542.6684214823595</v>
      </c>
      <c r="O94">
        <v>3489.8357211940242</v>
      </c>
      <c r="P94">
        <v>3437.0030209056895</v>
      </c>
      <c r="Q94">
        <v>3384.1703206173543</v>
      </c>
      <c r="R94">
        <v>3331.337620329019</v>
      </c>
      <c r="S94">
        <v>3278.5049200406843</v>
      </c>
      <c r="T94">
        <v>3252.0885698965167</v>
      </c>
      <c r="U94">
        <v>3225.6722197523491</v>
      </c>
      <c r="V94">
        <v>3199.2558696081815</v>
      </c>
      <c r="W94">
        <v>3172.8395194640138</v>
      </c>
      <c r="X94">
        <v>3146.4231693198467</v>
      </c>
      <c r="Y94">
        <v>3120.0068191756791</v>
      </c>
      <c r="Z94">
        <v>3093.5904690315115</v>
      </c>
      <c r="AA94">
        <v>3067.1741188873439</v>
      </c>
      <c r="AB94">
        <v>3040.7577687431763</v>
      </c>
      <c r="AC94">
        <v>3014.3414185990096</v>
      </c>
      <c r="AD94">
        <v>2990.5667034692583</v>
      </c>
      <c r="AE94">
        <v>2966.791988339508</v>
      </c>
      <c r="AF94">
        <v>2943.0172732097567</v>
      </c>
      <c r="AG94">
        <v>2919.2425580800059</v>
      </c>
      <c r="AH94">
        <v>2895.4678429502551</v>
      </c>
      <c r="AI94">
        <v>2871.6931278205043</v>
      </c>
      <c r="AJ94">
        <v>2847.9184126907539</v>
      </c>
      <c r="AK94">
        <v>2824.1436975610027</v>
      </c>
      <c r="AL94">
        <v>2800.3689824312523</v>
      </c>
      <c r="AM94">
        <v>2776.5942673015006</v>
      </c>
    </row>
    <row r="95" spans="1:39">
      <c r="A95" t="s">
        <v>134</v>
      </c>
      <c r="B95" t="s">
        <v>282</v>
      </c>
      <c r="C95">
        <v>5391.5126343023448</v>
      </c>
      <c r="D95">
        <v>5276.7773618920364</v>
      </c>
      <c r="E95">
        <v>5161.7417922099867</v>
      </c>
      <c r="F95">
        <v>5021.1369509697561</v>
      </c>
      <c r="G95">
        <v>4880.5321097295246</v>
      </c>
      <c r="H95">
        <v>4739.927268489294</v>
      </c>
      <c r="I95">
        <v>4599.3224272490606</v>
      </c>
      <c r="J95">
        <v>4423.2134262879445</v>
      </c>
      <c r="K95">
        <v>4247.1044253268274</v>
      </c>
      <c r="L95">
        <v>4070.9954243657098</v>
      </c>
      <c r="M95">
        <v>4048.3528385278523</v>
      </c>
      <c r="N95">
        <v>4025.7102526899939</v>
      </c>
      <c r="O95">
        <v>4003.0676668521364</v>
      </c>
      <c r="P95">
        <v>3980.425081014278</v>
      </c>
      <c r="Q95">
        <v>3957.7824951764201</v>
      </c>
      <c r="R95">
        <v>3935.1399093385621</v>
      </c>
      <c r="S95">
        <v>3912.4973235007046</v>
      </c>
      <c r="T95">
        <v>3901.9307834430379</v>
      </c>
      <c r="U95">
        <v>3891.3642433853706</v>
      </c>
      <c r="V95">
        <v>3880.7977033277039</v>
      </c>
      <c r="W95">
        <v>3870.2311632700366</v>
      </c>
      <c r="X95">
        <v>3859.6646232123699</v>
      </c>
      <c r="Y95">
        <v>3849.0980831547031</v>
      </c>
      <c r="Z95">
        <v>3838.5315430970354</v>
      </c>
      <c r="AA95">
        <v>3827.9650030393686</v>
      </c>
      <c r="AB95">
        <v>3817.3984629817014</v>
      </c>
      <c r="AC95">
        <v>3806.8319229240342</v>
      </c>
      <c r="AD95">
        <v>3794.8216486878946</v>
      </c>
      <c r="AE95">
        <v>3782.8113744517541</v>
      </c>
      <c r="AF95">
        <v>3770.8011002156145</v>
      </c>
      <c r="AG95">
        <v>3758.7908259794744</v>
      </c>
      <c r="AH95">
        <v>3746.7805517433344</v>
      </c>
      <c r="AI95">
        <v>3734.7702775071948</v>
      </c>
      <c r="AJ95">
        <v>3722.7600032710548</v>
      </c>
      <c r="AK95">
        <v>3710.7497290349147</v>
      </c>
      <c r="AL95">
        <v>3698.7394547987751</v>
      </c>
      <c r="AM95">
        <v>3686.7291805626332</v>
      </c>
    </row>
    <row r="96" spans="1:39">
      <c r="A96" t="s">
        <v>134</v>
      </c>
      <c r="B96" t="s">
        <v>283</v>
      </c>
      <c r="C96">
        <v>5391.5126343023448</v>
      </c>
      <c r="D96">
        <v>5391.5126343023448</v>
      </c>
      <c r="E96">
        <v>5391.5126343023448</v>
      </c>
      <c r="F96">
        <v>5391.5126343023448</v>
      </c>
      <c r="G96">
        <v>5391.5126343023448</v>
      </c>
      <c r="H96">
        <v>5391.5126343023448</v>
      </c>
      <c r="I96">
        <v>5391.5126343023448</v>
      </c>
      <c r="J96">
        <v>5391.5126343023448</v>
      </c>
      <c r="K96">
        <v>5391.5126343023448</v>
      </c>
      <c r="L96">
        <v>5391.5126343023448</v>
      </c>
      <c r="M96">
        <v>5391.5126343023448</v>
      </c>
      <c r="N96">
        <v>5391.5126343023448</v>
      </c>
      <c r="O96">
        <v>5391.5126343023448</v>
      </c>
      <c r="P96">
        <v>5391.5126343023448</v>
      </c>
      <c r="Q96">
        <v>5391.5126343023448</v>
      </c>
      <c r="R96">
        <v>5391.5126343023448</v>
      </c>
      <c r="S96">
        <v>5391.5126343023448</v>
      </c>
      <c r="T96">
        <v>5391.5126343023448</v>
      </c>
      <c r="U96">
        <v>5391.5126343023448</v>
      </c>
      <c r="V96">
        <v>5391.5126343023448</v>
      </c>
      <c r="W96">
        <v>5391.5126343023448</v>
      </c>
      <c r="X96">
        <v>5391.5126343023448</v>
      </c>
      <c r="Y96">
        <v>5391.5126343023448</v>
      </c>
      <c r="Z96">
        <v>5391.5126343023448</v>
      </c>
      <c r="AA96">
        <v>5391.5126343023448</v>
      </c>
      <c r="AB96">
        <v>5391.5126343023448</v>
      </c>
      <c r="AC96">
        <v>5391.5126343023448</v>
      </c>
      <c r="AD96">
        <v>5391.5126343023448</v>
      </c>
      <c r="AE96">
        <v>5391.5126343023448</v>
      </c>
      <c r="AF96">
        <v>5391.5126343023448</v>
      </c>
      <c r="AG96">
        <v>5391.5126343023448</v>
      </c>
      <c r="AH96">
        <v>5391.5126343023448</v>
      </c>
      <c r="AI96">
        <v>5391.5126343023448</v>
      </c>
      <c r="AJ96">
        <v>5391.5126343023448</v>
      </c>
      <c r="AK96">
        <v>5391.5126343023448</v>
      </c>
      <c r="AL96">
        <v>5391.5126343023448</v>
      </c>
      <c r="AM96">
        <v>5391.5126343023448</v>
      </c>
    </row>
    <row r="97" spans="1:39">
      <c r="A97" t="s">
        <v>134</v>
      </c>
      <c r="B97" t="s">
        <v>284</v>
      </c>
      <c r="C97">
        <v>5953.3433007831181</v>
      </c>
      <c r="D97">
        <v>5602.9375563360591</v>
      </c>
      <c r="E97">
        <v>5252.2315146171977</v>
      </c>
      <c r="F97">
        <v>5091.491245496054</v>
      </c>
      <c r="G97">
        <v>4930.7509763749094</v>
      </c>
      <c r="H97">
        <v>4770.0107072537648</v>
      </c>
      <c r="I97">
        <v>4609.2704381326212</v>
      </c>
      <c r="J97">
        <v>4414.4337482888095</v>
      </c>
      <c r="K97">
        <v>4219.5970584449988</v>
      </c>
      <c r="L97">
        <v>4024.7603686011867</v>
      </c>
      <c r="M97">
        <v>3966.3093616480433</v>
      </c>
      <c r="N97">
        <v>3907.8583546949003</v>
      </c>
      <c r="O97">
        <v>3849.4073477417569</v>
      </c>
      <c r="P97">
        <v>3790.9563407886139</v>
      </c>
      <c r="Q97">
        <v>3732.5053338354705</v>
      </c>
      <c r="R97">
        <v>3674.0543268823271</v>
      </c>
      <c r="S97">
        <v>3615.6033199291828</v>
      </c>
      <c r="T97">
        <v>3586.3778164526111</v>
      </c>
      <c r="U97">
        <v>3557.1523129760399</v>
      </c>
      <c r="V97">
        <v>3527.9268094994682</v>
      </c>
      <c r="W97">
        <v>3498.7013060228965</v>
      </c>
      <c r="X97">
        <v>3469.4758025463252</v>
      </c>
      <c r="Y97">
        <v>3440.2502990697535</v>
      </c>
      <c r="Z97">
        <v>3411.0247955931814</v>
      </c>
      <c r="AA97">
        <v>3381.7992921166101</v>
      </c>
      <c r="AB97">
        <v>3352.5737886400384</v>
      </c>
      <c r="AC97">
        <v>3323.3482851634662</v>
      </c>
      <c r="AD97">
        <v>3297.0453320345518</v>
      </c>
      <c r="AE97">
        <v>3270.7423789056379</v>
      </c>
      <c r="AF97">
        <v>3244.4394257767235</v>
      </c>
      <c r="AG97">
        <v>3218.1364726478087</v>
      </c>
      <c r="AH97">
        <v>3191.8335195188943</v>
      </c>
      <c r="AI97">
        <v>3165.5305663899799</v>
      </c>
      <c r="AJ97">
        <v>3139.2276132610659</v>
      </c>
      <c r="AK97">
        <v>3112.9246601321515</v>
      </c>
      <c r="AL97">
        <v>3086.6217070032367</v>
      </c>
      <c r="AM97">
        <v>3060.3187538743205</v>
      </c>
    </row>
    <row r="98" spans="1:39">
      <c r="A98" t="s">
        <v>134</v>
      </c>
      <c r="B98" t="s">
        <v>285</v>
      </c>
      <c r="C98">
        <v>5953.3433007831181</v>
      </c>
      <c r="D98">
        <v>5828.2256129827429</v>
      </c>
      <c r="E98">
        <v>5702.807627910568</v>
      </c>
      <c r="F98">
        <v>5546.3253443723688</v>
      </c>
      <c r="G98">
        <v>5389.8430608341687</v>
      </c>
      <c r="H98">
        <v>5233.3607772959695</v>
      </c>
      <c r="I98">
        <v>5076.8784937577675</v>
      </c>
      <c r="J98">
        <v>4882.0418039139568</v>
      </c>
      <c r="K98">
        <v>4687.205114070146</v>
      </c>
      <c r="L98">
        <v>4492.3684242263344</v>
      </c>
      <c r="M98">
        <v>4467.3179926749863</v>
      </c>
      <c r="N98">
        <v>4442.2675611236391</v>
      </c>
      <c r="O98">
        <v>4417.2171295722919</v>
      </c>
      <c r="P98">
        <v>4392.1666980209448</v>
      </c>
      <c r="Q98">
        <v>4367.1162664695967</v>
      </c>
      <c r="R98">
        <v>4342.0658349182495</v>
      </c>
      <c r="S98">
        <v>4317.0154033669041</v>
      </c>
      <c r="T98">
        <v>4305.3252019762749</v>
      </c>
      <c r="U98">
        <v>4293.6350005856457</v>
      </c>
      <c r="V98">
        <v>4281.9447991950174</v>
      </c>
      <c r="W98">
        <v>4270.2545978043881</v>
      </c>
      <c r="X98">
        <v>4258.5643964137589</v>
      </c>
      <c r="Y98">
        <v>4246.8741950231306</v>
      </c>
      <c r="Z98">
        <v>4235.1839936325014</v>
      </c>
      <c r="AA98">
        <v>4223.4937922418721</v>
      </c>
      <c r="AB98">
        <v>4211.8035908512438</v>
      </c>
      <c r="AC98">
        <v>4200.1133894606164</v>
      </c>
      <c r="AD98">
        <v>4186.8259250861938</v>
      </c>
      <c r="AE98">
        <v>4173.5384607117712</v>
      </c>
      <c r="AF98">
        <v>4160.2509963373486</v>
      </c>
      <c r="AG98">
        <v>4146.963531962926</v>
      </c>
      <c r="AH98">
        <v>4133.6760675885043</v>
      </c>
      <c r="AI98">
        <v>4120.3886032140817</v>
      </c>
      <c r="AJ98">
        <v>4107.1011388396591</v>
      </c>
      <c r="AK98">
        <v>4093.813674465237</v>
      </c>
      <c r="AL98">
        <v>4080.5262100908144</v>
      </c>
      <c r="AM98">
        <v>4067.2387457163932</v>
      </c>
    </row>
    <row r="99" spans="1:39">
      <c r="A99" t="s">
        <v>134</v>
      </c>
      <c r="B99" t="s">
        <v>286</v>
      </c>
      <c r="C99">
        <v>5953.3433007831181</v>
      </c>
      <c r="D99">
        <v>5953.3433007831181</v>
      </c>
      <c r="E99">
        <v>5953.3433007831181</v>
      </c>
      <c r="F99">
        <v>5953.3433007831181</v>
      </c>
      <c r="G99">
        <v>5953.3433007831181</v>
      </c>
      <c r="H99">
        <v>5953.3433007831181</v>
      </c>
      <c r="I99">
        <v>5953.3433007831181</v>
      </c>
      <c r="J99">
        <v>5953.3433007831181</v>
      </c>
      <c r="K99">
        <v>5953.3433007831181</v>
      </c>
      <c r="L99">
        <v>5953.3433007831181</v>
      </c>
      <c r="M99">
        <v>5953.3433007831181</v>
      </c>
      <c r="N99">
        <v>5953.3433007831181</v>
      </c>
      <c r="O99">
        <v>5953.3433007831181</v>
      </c>
      <c r="P99">
        <v>5953.3433007831181</v>
      </c>
      <c r="Q99">
        <v>5953.3433007831181</v>
      </c>
      <c r="R99">
        <v>5953.3433007831181</v>
      </c>
      <c r="S99">
        <v>5953.3433007831181</v>
      </c>
      <c r="T99">
        <v>5953.3433007831181</v>
      </c>
      <c r="U99">
        <v>5953.3433007831181</v>
      </c>
      <c r="V99">
        <v>5953.3433007831181</v>
      </c>
      <c r="W99">
        <v>5953.3433007831181</v>
      </c>
      <c r="X99">
        <v>5953.3433007831181</v>
      </c>
      <c r="Y99">
        <v>5953.3433007831181</v>
      </c>
      <c r="Z99">
        <v>5953.3433007831181</v>
      </c>
      <c r="AA99">
        <v>5953.3433007831181</v>
      </c>
      <c r="AB99">
        <v>5953.3433007831181</v>
      </c>
      <c r="AC99">
        <v>5953.3433007831181</v>
      </c>
      <c r="AD99">
        <v>5953.3433007831181</v>
      </c>
      <c r="AE99">
        <v>5953.3433007831181</v>
      </c>
      <c r="AF99">
        <v>5953.3433007831181</v>
      </c>
      <c r="AG99">
        <v>5953.3433007831181</v>
      </c>
      <c r="AH99">
        <v>5953.3433007831181</v>
      </c>
      <c r="AI99">
        <v>5953.3433007831181</v>
      </c>
      <c r="AJ99">
        <v>5953.3433007831181</v>
      </c>
      <c r="AK99">
        <v>5953.3433007831181</v>
      </c>
      <c r="AL99">
        <v>5953.3433007831181</v>
      </c>
      <c r="AM99">
        <v>5953.3433007831181</v>
      </c>
    </row>
    <row r="100" spans="1:39">
      <c r="A100" t="s">
        <v>134</v>
      </c>
      <c r="B100" t="s">
        <v>287</v>
      </c>
      <c r="C100">
        <v>5953.3433007831181</v>
      </c>
      <c r="D100">
        <v>5602.9375563360591</v>
      </c>
      <c r="E100">
        <v>5252.2315146171977</v>
      </c>
      <c r="F100">
        <v>5091.491245496054</v>
      </c>
      <c r="G100">
        <v>4930.7509763749094</v>
      </c>
      <c r="H100">
        <v>4770.0107072537648</v>
      </c>
      <c r="I100">
        <v>4609.2704381326212</v>
      </c>
      <c r="J100">
        <v>4414.4337482888095</v>
      </c>
      <c r="K100">
        <v>4219.5970584449988</v>
      </c>
      <c r="L100">
        <v>4024.7603686011867</v>
      </c>
      <c r="M100">
        <v>3966.3093616480433</v>
      </c>
      <c r="N100">
        <v>3907.8583546949003</v>
      </c>
      <c r="O100">
        <v>3849.4073477417569</v>
      </c>
      <c r="P100">
        <v>3790.9563407886139</v>
      </c>
      <c r="Q100">
        <v>3732.5053338354705</v>
      </c>
      <c r="R100">
        <v>3674.0543268823271</v>
      </c>
      <c r="S100">
        <v>3615.6033199291828</v>
      </c>
      <c r="T100">
        <v>3586.3778164526111</v>
      </c>
      <c r="U100">
        <v>3557.1523129760399</v>
      </c>
      <c r="V100">
        <v>3527.9268094994682</v>
      </c>
      <c r="W100">
        <v>3498.7013060228965</v>
      </c>
      <c r="X100">
        <v>3469.4758025463252</v>
      </c>
      <c r="Y100">
        <v>3440.2502990697535</v>
      </c>
      <c r="Z100">
        <v>3411.0247955931814</v>
      </c>
      <c r="AA100">
        <v>3381.7992921166101</v>
      </c>
      <c r="AB100">
        <v>3352.5737886400384</v>
      </c>
      <c r="AC100">
        <v>3323.3482851634662</v>
      </c>
      <c r="AD100">
        <v>3297.0453320345518</v>
      </c>
      <c r="AE100">
        <v>3270.7423789056379</v>
      </c>
      <c r="AF100">
        <v>3244.4394257767235</v>
      </c>
      <c r="AG100">
        <v>3218.1364726478087</v>
      </c>
      <c r="AH100">
        <v>3191.8335195188943</v>
      </c>
      <c r="AI100">
        <v>3165.5305663899799</v>
      </c>
      <c r="AJ100">
        <v>3139.2276132610659</v>
      </c>
      <c r="AK100">
        <v>3112.9246601321515</v>
      </c>
      <c r="AL100">
        <v>3086.6217070032367</v>
      </c>
      <c r="AM100">
        <v>3060.3187538743205</v>
      </c>
    </row>
    <row r="101" spans="1:39">
      <c r="A101" t="s">
        <v>134</v>
      </c>
      <c r="B101" t="s">
        <v>288</v>
      </c>
      <c r="C101">
        <v>5953.3433007831181</v>
      </c>
      <c r="D101">
        <v>5828.2256129827429</v>
      </c>
      <c r="E101">
        <v>5702.807627910568</v>
      </c>
      <c r="F101">
        <v>5546.3253443723688</v>
      </c>
      <c r="G101">
        <v>5389.8430608341687</v>
      </c>
      <c r="H101">
        <v>5233.3607772959695</v>
      </c>
      <c r="I101">
        <v>5076.8784937577675</v>
      </c>
      <c r="J101">
        <v>4882.0418039139568</v>
      </c>
      <c r="K101">
        <v>4687.205114070146</v>
      </c>
      <c r="L101">
        <v>4492.3684242263344</v>
      </c>
      <c r="M101">
        <v>4467.3179926749863</v>
      </c>
      <c r="N101">
        <v>4442.2675611236391</v>
      </c>
      <c r="O101">
        <v>4417.2171295722919</v>
      </c>
      <c r="P101">
        <v>4392.1666980209448</v>
      </c>
      <c r="Q101">
        <v>4367.1162664695967</v>
      </c>
      <c r="R101">
        <v>4342.0658349182495</v>
      </c>
      <c r="S101">
        <v>4317.0154033669041</v>
      </c>
      <c r="T101">
        <v>4305.3252019762749</v>
      </c>
      <c r="U101">
        <v>4293.6350005856457</v>
      </c>
      <c r="V101">
        <v>4281.9447991950174</v>
      </c>
      <c r="W101">
        <v>4270.2545978043881</v>
      </c>
      <c r="X101">
        <v>4258.5643964137589</v>
      </c>
      <c r="Y101">
        <v>4246.8741950231306</v>
      </c>
      <c r="Z101">
        <v>4235.1839936325014</v>
      </c>
      <c r="AA101">
        <v>4223.4937922418721</v>
      </c>
      <c r="AB101">
        <v>4211.8035908512438</v>
      </c>
      <c r="AC101">
        <v>4200.1133894606164</v>
      </c>
      <c r="AD101">
        <v>4186.8259250861938</v>
      </c>
      <c r="AE101">
        <v>4173.5384607117712</v>
      </c>
      <c r="AF101">
        <v>4160.2509963373486</v>
      </c>
      <c r="AG101">
        <v>4146.963531962926</v>
      </c>
      <c r="AH101">
        <v>4133.6760675885043</v>
      </c>
      <c r="AI101">
        <v>4120.3886032140817</v>
      </c>
      <c r="AJ101">
        <v>4107.1011388396591</v>
      </c>
      <c r="AK101">
        <v>4093.813674465237</v>
      </c>
      <c r="AL101">
        <v>4080.5262100908144</v>
      </c>
      <c r="AM101">
        <v>4067.2387457163932</v>
      </c>
    </row>
    <row r="102" spans="1:39">
      <c r="A102" t="s">
        <v>134</v>
      </c>
      <c r="B102" t="s">
        <v>289</v>
      </c>
      <c r="C102">
        <v>5953.3433007831181</v>
      </c>
      <c r="D102">
        <v>5953.3433007831181</v>
      </c>
      <c r="E102">
        <v>5953.3433007831181</v>
      </c>
      <c r="F102">
        <v>5953.3433007831181</v>
      </c>
      <c r="G102">
        <v>5953.3433007831181</v>
      </c>
      <c r="H102">
        <v>5953.3433007831181</v>
      </c>
      <c r="I102">
        <v>5953.3433007831181</v>
      </c>
      <c r="J102">
        <v>5953.3433007831181</v>
      </c>
      <c r="K102">
        <v>5953.3433007831181</v>
      </c>
      <c r="L102">
        <v>5953.3433007831181</v>
      </c>
      <c r="M102">
        <v>5953.3433007831181</v>
      </c>
      <c r="N102">
        <v>5953.3433007831181</v>
      </c>
      <c r="O102">
        <v>5953.3433007831181</v>
      </c>
      <c r="P102">
        <v>5953.3433007831181</v>
      </c>
      <c r="Q102">
        <v>5953.3433007831181</v>
      </c>
      <c r="R102">
        <v>5953.3433007831181</v>
      </c>
      <c r="S102">
        <v>5953.3433007831181</v>
      </c>
      <c r="T102">
        <v>5953.3433007831181</v>
      </c>
      <c r="U102">
        <v>5953.3433007831181</v>
      </c>
      <c r="V102">
        <v>5953.3433007831181</v>
      </c>
      <c r="W102">
        <v>5953.3433007831181</v>
      </c>
      <c r="X102">
        <v>5953.3433007831181</v>
      </c>
      <c r="Y102">
        <v>5953.3433007831181</v>
      </c>
      <c r="Z102">
        <v>5953.3433007831181</v>
      </c>
      <c r="AA102">
        <v>5953.3433007831181</v>
      </c>
      <c r="AB102">
        <v>5953.3433007831181</v>
      </c>
      <c r="AC102">
        <v>5953.3433007831181</v>
      </c>
      <c r="AD102">
        <v>5953.3433007831181</v>
      </c>
      <c r="AE102">
        <v>5953.3433007831181</v>
      </c>
      <c r="AF102">
        <v>5953.3433007831181</v>
      </c>
      <c r="AG102">
        <v>5953.3433007831181</v>
      </c>
      <c r="AH102">
        <v>5953.3433007831181</v>
      </c>
      <c r="AI102">
        <v>5953.3433007831181</v>
      </c>
      <c r="AJ102">
        <v>5953.3433007831181</v>
      </c>
      <c r="AK102">
        <v>5953.3433007831181</v>
      </c>
      <c r="AL102">
        <v>5953.3433007831181</v>
      </c>
      <c r="AM102">
        <v>5953.3433007831181</v>
      </c>
    </row>
    <row r="103" spans="1:39">
      <c r="A103" t="s">
        <v>134</v>
      </c>
      <c r="B103" t="s">
        <v>290</v>
      </c>
      <c r="C103">
        <v>5953.3433007831181</v>
      </c>
      <c r="D103">
        <v>5602.9375563360591</v>
      </c>
      <c r="E103">
        <v>5252.2315146171977</v>
      </c>
      <c r="F103">
        <v>5091.491245496054</v>
      </c>
      <c r="G103">
        <v>4930.7509763749094</v>
      </c>
      <c r="H103">
        <v>4770.0107072537648</v>
      </c>
      <c r="I103">
        <v>4609.2704381326212</v>
      </c>
      <c r="J103">
        <v>4414.4337482888095</v>
      </c>
      <c r="K103">
        <v>4219.5970584449988</v>
      </c>
      <c r="L103">
        <v>4024.7603686011867</v>
      </c>
      <c r="M103">
        <v>3966.3093616480433</v>
      </c>
      <c r="N103">
        <v>3907.8583546949003</v>
      </c>
      <c r="O103">
        <v>3849.4073477417569</v>
      </c>
      <c r="P103">
        <v>3790.9563407886139</v>
      </c>
      <c r="Q103">
        <v>3732.5053338354705</v>
      </c>
      <c r="R103">
        <v>3674.0543268823271</v>
      </c>
      <c r="S103">
        <v>3615.6033199291828</v>
      </c>
      <c r="T103">
        <v>3586.3778164526111</v>
      </c>
      <c r="U103">
        <v>3557.1523129760399</v>
      </c>
      <c r="V103">
        <v>3527.9268094994682</v>
      </c>
      <c r="W103">
        <v>3498.7013060228965</v>
      </c>
      <c r="X103">
        <v>3469.4758025463252</v>
      </c>
      <c r="Y103">
        <v>3440.2502990697535</v>
      </c>
      <c r="Z103">
        <v>3411.0247955931814</v>
      </c>
      <c r="AA103">
        <v>3381.7992921166101</v>
      </c>
      <c r="AB103">
        <v>3352.5737886400384</v>
      </c>
      <c r="AC103">
        <v>3323.3482851634662</v>
      </c>
      <c r="AD103">
        <v>3297.0453320345518</v>
      </c>
      <c r="AE103">
        <v>3270.7423789056379</v>
      </c>
      <c r="AF103">
        <v>3244.4394257767235</v>
      </c>
      <c r="AG103">
        <v>3218.1364726478087</v>
      </c>
      <c r="AH103">
        <v>3191.8335195188943</v>
      </c>
      <c r="AI103">
        <v>3165.5305663899799</v>
      </c>
      <c r="AJ103">
        <v>3139.2276132610659</v>
      </c>
      <c r="AK103">
        <v>3112.9246601321515</v>
      </c>
      <c r="AL103">
        <v>3086.6217070032367</v>
      </c>
      <c r="AM103">
        <v>3060.3187538743205</v>
      </c>
    </row>
    <row r="104" spans="1:39">
      <c r="A104" t="s">
        <v>134</v>
      </c>
      <c r="B104" t="s">
        <v>291</v>
      </c>
      <c r="C104">
        <v>5953.3433007831181</v>
      </c>
      <c r="D104">
        <v>5828.2256129827429</v>
      </c>
      <c r="E104">
        <v>5702.807627910568</v>
      </c>
      <c r="F104">
        <v>5546.3253443723688</v>
      </c>
      <c r="G104">
        <v>5389.8430608341687</v>
      </c>
      <c r="H104">
        <v>5233.3607772959695</v>
      </c>
      <c r="I104">
        <v>5076.8784937577675</v>
      </c>
      <c r="J104">
        <v>4882.0418039139568</v>
      </c>
      <c r="K104">
        <v>4687.205114070146</v>
      </c>
      <c r="L104">
        <v>4492.3684242263344</v>
      </c>
      <c r="M104">
        <v>4467.3179926749863</v>
      </c>
      <c r="N104">
        <v>4442.2675611236391</v>
      </c>
      <c r="O104">
        <v>4417.2171295722919</v>
      </c>
      <c r="P104">
        <v>4392.1666980209448</v>
      </c>
      <c r="Q104">
        <v>4367.1162664695967</v>
      </c>
      <c r="R104">
        <v>4342.0658349182495</v>
      </c>
      <c r="S104">
        <v>4317.0154033669041</v>
      </c>
      <c r="T104">
        <v>4305.3252019762749</v>
      </c>
      <c r="U104">
        <v>4293.6350005856457</v>
      </c>
      <c r="V104">
        <v>4281.9447991950174</v>
      </c>
      <c r="W104">
        <v>4270.2545978043881</v>
      </c>
      <c r="X104">
        <v>4258.5643964137589</v>
      </c>
      <c r="Y104">
        <v>4246.8741950231306</v>
      </c>
      <c r="Z104">
        <v>4235.1839936325014</v>
      </c>
      <c r="AA104">
        <v>4223.4937922418721</v>
      </c>
      <c r="AB104">
        <v>4211.8035908512438</v>
      </c>
      <c r="AC104">
        <v>4200.1133894606164</v>
      </c>
      <c r="AD104">
        <v>4186.8259250861938</v>
      </c>
      <c r="AE104">
        <v>4173.5384607117712</v>
      </c>
      <c r="AF104">
        <v>4160.2509963373486</v>
      </c>
      <c r="AG104">
        <v>4146.963531962926</v>
      </c>
      <c r="AH104">
        <v>4133.6760675885043</v>
      </c>
      <c r="AI104">
        <v>4120.3886032140817</v>
      </c>
      <c r="AJ104">
        <v>4107.1011388396591</v>
      </c>
      <c r="AK104">
        <v>4093.813674465237</v>
      </c>
      <c r="AL104">
        <v>4080.5262100908144</v>
      </c>
      <c r="AM104">
        <v>4067.2387457163932</v>
      </c>
    </row>
    <row r="105" spans="1:39">
      <c r="A105" t="s">
        <v>134</v>
      </c>
      <c r="B105" t="s">
        <v>292</v>
      </c>
      <c r="C105">
        <v>5953.3433007831181</v>
      </c>
      <c r="D105">
        <v>5953.3433007831181</v>
      </c>
      <c r="E105">
        <v>5953.3433007831181</v>
      </c>
      <c r="F105">
        <v>5953.3433007831181</v>
      </c>
      <c r="G105">
        <v>5953.3433007831181</v>
      </c>
      <c r="H105">
        <v>5953.3433007831181</v>
      </c>
      <c r="I105">
        <v>5953.3433007831181</v>
      </c>
      <c r="J105">
        <v>5953.3433007831181</v>
      </c>
      <c r="K105">
        <v>5953.3433007831181</v>
      </c>
      <c r="L105">
        <v>5953.3433007831181</v>
      </c>
      <c r="M105">
        <v>5953.3433007831181</v>
      </c>
      <c r="N105">
        <v>5953.3433007831181</v>
      </c>
      <c r="O105">
        <v>5953.3433007831181</v>
      </c>
      <c r="P105">
        <v>5953.3433007831181</v>
      </c>
      <c r="Q105">
        <v>5953.3433007831181</v>
      </c>
      <c r="R105">
        <v>5953.3433007831181</v>
      </c>
      <c r="S105">
        <v>5953.3433007831181</v>
      </c>
      <c r="T105">
        <v>5953.3433007831181</v>
      </c>
      <c r="U105">
        <v>5953.3433007831181</v>
      </c>
      <c r="V105">
        <v>5953.3433007831181</v>
      </c>
      <c r="W105">
        <v>5953.3433007831181</v>
      </c>
      <c r="X105">
        <v>5953.3433007831181</v>
      </c>
      <c r="Y105">
        <v>5953.3433007831181</v>
      </c>
      <c r="Z105">
        <v>5953.3433007831181</v>
      </c>
      <c r="AA105">
        <v>5953.3433007831181</v>
      </c>
      <c r="AB105">
        <v>5953.3433007831181</v>
      </c>
      <c r="AC105">
        <v>5953.3433007831181</v>
      </c>
      <c r="AD105">
        <v>5953.3433007831181</v>
      </c>
      <c r="AE105">
        <v>5953.3433007831181</v>
      </c>
      <c r="AF105">
        <v>5953.3433007831181</v>
      </c>
      <c r="AG105">
        <v>5953.3433007831181</v>
      </c>
      <c r="AH105">
        <v>5953.3433007831181</v>
      </c>
      <c r="AI105">
        <v>5953.3433007831181</v>
      </c>
      <c r="AJ105">
        <v>5953.3433007831181</v>
      </c>
      <c r="AK105">
        <v>5953.3433007831181</v>
      </c>
      <c r="AL105">
        <v>5953.3433007831181</v>
      </c>
      <c r="AM105">
        <v>5953.3433007831181</v>
      </c>
    </row>
    <row r="106" spans="1:39">
      <c r="A106" t="s">
        <v>134</v>
      </c>
      <c r="B106" t="s">
        <v>293</v>
      </c>
      <c r="C106">
        <v>6968.7620282760181</v>
      </c>
      <c r="D106">
        <v>6557.4311601793643</v>
      </c>
      <c r="E106">
        <v>6145.7999948109309</v>
      </c>
      <c r="F106">
        <v>5957.1357106837331</v>
      </c>
      <c r="G106">
        <v>5768.4714265565344</v>
      </c>
      <c r="H106">
        <v>5579.8071424293366</v>
      </c>
      <c r="I106">
        <v>5391.142858302137</v>
      </c>
      <c r="J106">
        <v>5162.458877541897</v>
      </c>
      <c r="K106">
        <v>4933.7748967816578</v>
      </c>
      <c r="L106">
        <v>4705.0909160214169</v>
      </c>
      <c r="M106">
        <v>4636.4857217933441</v>
      </c>
      <c r="N106">
        <v>4567.8805275652712</v>
      </c>
      <c r="O106">
        <v>4499.2753333371993</v>
      </c>
      <c r="P106">
        <v>4430.6701391091265</v>
      </c>
      <c r="Q106">
        <v>4362.0649448810545</v>
      </c>
      <c r="R106">
        <v>4293.4597506529817</v>
      </c>
      <c r="S106">
        <v>4224.8545564249107</v>
      </c>
      <c r="T106">
        <v>4190.5519593108738</v>
      </c>
      <c r="U106">
        <v>4156.2493621968379</v>
      </c>
      <c r="V106">
        <v>4121.9467650828019</v>
      </c>
      <c r="W106">
        <v>4087.6441679687655</v>
      </c>
      <c r="X106">
        <v>4053.3415708547291</v>
      </c>
      <c r="Y106">
        <v>4019.0389737406927</v>
      </c>
      <c r="Z106">
        <v>3984.7363766266571</v>
      </c>
      <c r="AA106">
        <v>3950.4337795126207</v>
      </c>
      <c r="AB106">
        <v>3916.1311823985843</v>
      </c>
      <c r="AC106">
        <v>3881.8285852845497</v>
      </c>
      <c r="AD106">
        <v>3850.9562478819171</v>
      </c>
      <c r="AE106">
        <v>3820.0839104792844</v>
      </c>
      <c r="AF106">
        <v>3789.2115730766513</v>
      </c>
      <c r="AG106">
        <v>3758.3392356740192</v>
      </c>
      <c r="AH106">
        <v>3727.4668982713865</v>
      </c>
      <c r="AI106">
        <v>3696.5945608687534</v>
      </c>
      <c r="AJ106">
        <v>3665.7222234661208</v>
      </c>
      <c r="AK106">
        <v>3634.8498860634882</v>
      </c>
      <c r="AL106">
        <v>3603.9775486608555</v>
      </c>
      <c r="AM106">
        <v>3573.1052112582247</v>
      </c>
    </row>
    <row r="107" spans="1:39">
      <c r="A107" t="s">
        <v>134</v>
      </c>
      <c r="B107" t="s">
        <v>294</v>
      </c>
      <c r="C107">
        <v>6968.7620282760181</v>
      </c>
      <c r="D107">
        <v>6822.3822247310518</v>
      </c>
      <c r="E107">
        <v>6675.702123914305</v>
      </c>
      <c r="F107">
        <v>6491.7726959674073</v>
      </c>
      <c r="G107">
        <v>6307.8432680205096</v>
      </c>
      <c r="H107">
        <v>6123.9138400736119</v>
      </c>
      <c r="I107">
        <v>5939.9844121267151</v>
      </c>
      <c r="J107">
        <v>5711.3004313664742</v>
      </c>
      <c r="K107">
        <v>5482.6164506062341</v>
      </c>
      <c r="L107">
        <v>5253.9324698459932</v>
      </c>
      <c r="M107">
        <v>5224.5302437482478</v>
      </c>
      <c r="N107">
        <v>5195.1280176505034</v>
      </c>
      <c r="O107">
        <v>5165.725791552758</v>
      </c>
      <c r="P107">
        <v>5136.3235654550135</v>
      </c>
      <c r="Q107">
        <v>5106.9213393572691</v>
      </c>
      <c r="R107">
        <v>5077.5191132595237</v>
      </c>
      <c r="S107">
        <v>5048.1168871617756</v>
      </c>
      <c r="T107">
        <v>5034.3958483161614</v>
      </c>
      <c r="U107">
        <v>5020.6748094705481</v>
      </c>
      <c r="V107">
        <v>5006.9537706249339</v>
      </c>
      <c r="W107">
        <v>4993.2327317793197</v>
      </c>
      <c r="X107">
        <v>4979.5116929337055</v>
      </c>
      <c r="Y107">
        <v>4965.7906540880922</v>
      </c>
      <c r="Z107">
        <v>4952.069615242478</v>
      </c>
      <c r="AA107">
        <v>4938.3485763968638</v>
      </c>
      <c r="AB107">
        <v>4924.6275375512496</v>
      </c>
      <c r="AC107">
        <v>4910.9064987056327</v>
      </c>
      <c r="AD107">
        <v>4895.3107182097274</v>
      </c>
      <c r="AE107">
        <v>4879.714937713823</v>
      </c>
      <c r="AF107">
        <v>4864.1191572179187</v>
      </c>
      <c r="AG107">
        <v>4848.5233767220134</v>
      </c>
      <c r="AH107">
        <v>4832.927596226109</v>
      </c>
      <c r="AI107">
        <v>4817.3318157302047</v>
      </c>
      <c r="AJ107">
        <v>4801.7360352343003</v>
      </c>
      <c r="AK107">
        <v>4786.1402547383959</v>
      </c>
      <c r="AL107">
        <v>4770.5444742424916</v>
      </c>
      <c r="AM107">
        <v>4754.9486937465826</v>
      </c>
    </row>
    <row r="108" spans="1:39">
      <c r="A108" t="s">
        <v>134</v>
      </c>
      <c r="B108" t="s">
        <v>295</v>
      </c>
      <c r="C108">
        <v>6968.7620282760181</v>
      </c>
      <c r="D108">
        <v>6968.7620282760181</v>
      </c>
      <c r="E108">
        <v>6968.7620282760181</v>
      </c>
      <c r="F108">
        <v>6968.7620282760181</v>
      </c>
      <c r="G108">
        <v>6968.7620282760181</v>
      </c>
      <c r="H108">
        <v>6968.7620282760181</v>
      </c>
      <c r="I108">
        <v>6968.7620282760181</v>
      </c>
      <c r="J108">
        <v>6968.7620282760181</v>
      </c>
      <c r="K108">
        <v>6968.7620282760181</v>
      </c>
      <c r="L108">
        <v>6968.7620282760181</v>
      </c>
      <c r="M108">
        <v>6968.7620282760181</v>
      </c>
      <c r="N108">
        <v>6968.7620282760181</v>
      </c>
      <c r="O108">
        <v>6968.7620282760181</v>
      </c>
      <c r="P108">
        <v>6968.7620282760181</v>
      </c>
      <c r="Q108">
        <v>6968.7620282760181</v>
      </c>
      <c r="R108">
        <v>6968.7620282760181</v>
      </c>
      <c r="S108">
        <v>6968.7620282760181</v>
      </c>
      <c r="T108">
        <v>6968.7620282760181</v>
      </c>
      <c r="U108">
        <v>6968.7620282760181</v>
      </c>
      <c r="V108">
        <v>6968.7620282760181</v>
      </c>
      <c r="W108">
        <v>6968.7620282760181</v>
      </c>
      <c r="X108">
        <v>6968.7620282760181</v>
      </c>
      <c r="Y108">
        <v>6968.7620282760181</v>
      </c>
      <c r="Z108">
        <v>6968.7620282760181</v>
      </c>
      <c r="AA108">
        <v>6968.7620282760181</v>
      </c>
      <c r="AB108">
        <v>6968.7620282760181</v>
      </c>
      <c r="AC108">
        <v>6968.7620282760181</v>
      </c>
      <c r="AD108">
        <v>6968.7620282760181</v>
      </c>
      <c r="AE108">
        <v>6968.7620282760181</v>
      </c>
      <c r="AF108">
        <v>6968.7620282760181</v>
      </c>
      <c r="AG108">
        <v>6968.7620282760181</v>
      </c>
      <c r="AH108">
        <v>6968.7620282760181</v>
      </c>
      <c r="AI108">
        <v>6968.7620282760181</v>
      </c>
      <c r="AJ108">
        <v>6968.7620282760181</v>
      </c>
      <c r="AK108">
        <v>6968.7620282760181</v>
      </c>
      <c r="AL108">
        <v>6968.7620282760181</v>
      </c>
      <c r="AM108">
        <v>6968.7620282760181</v>
      </c>
    </row>
    <row r="109" spans="1:39">
      <c r="A109" t="s">
        <v>134</v>
      </c>
      <c r="B109" t="s">
        <v>296</v>
      </c>
      <c r="C109">
        <v>6968.762028276089</v>
      </c>
      <c r="D109">
        <v>6557.4311601793643</v>
      </c>
      <c r="E109">
        <v>6145.7999948109309</v>
      </c>
      <c r="F109">
        <v>5957.1357106837331</v>
      </c>
      <c r="G109">
        <v>5768.4714265565344</v>
      </c>
      <c r="H109">
        <v>5579.8071424293366</v>
      </c>
      <c r="I109">
        <v>5391.142858302137</v>
      </c>
      <c r="J109">
        <v>5162.458877541897</v>
      </c>
      <c r="K109">
        <v>4933.7748967816578</v>
      </c>
      <c r="L109">
        <v>4705.0909160214169</v>
      </c>
      <c r="M109">
        <v>4636.4857217933441</v>
      </c>
      <c r="N109">
        <v>4567.8805275652712</v>
      </c>
      <c r="O109">
        <v>4499.2753333371993</v>
      </c>
      <c r="P109">
        <v>4430.6701391091265</v>
      </c>
      <c r="Q109">
        <v>4362.0649448810545</v>
      </c>
      <c r="R109">
        <v>4293.4597506529817</v>
      </c>
      <c r="S109">
        <v>4224.8545564249107</v>
      </c>
      <c r="T109">
        <v>4190.5519593108738</v>
      </c>
      <c r="U109">
        <v>4156.2493621968379</v>
      </c>
      <c r="V109">
        <v>4121.9467650828019</v>
      </c>
      <c r="W109">
        <v>4087.6441679687655</v>
      </c>
      <c r="X109">
        <v>4053.3415708547291</v>
      </c>
      <c r="Y109">
        <v>4019.0389737406927</v>
      </c>
      <c r="Z109">
        <v>3984.7363766266571</v>
      </c>
      <c r="AA109">
        <v>3950.4337795126207</v>
      </c>
      <c r="AB109">
        <v>3916.1311823985843</v>
      </c>
      <c r="AC109">
        <v>3881.8285852845497</v>
      </c>
      <c r="AD109">
        <v>3850.9562478819171</v>
      </c>
      <c r="AE109">
        <v>3820.0839104792844</v>
      </c>
      <c r="AF109">
        <v>3789.2115730766513</v>
      </c>
      <c r="AG109">
        <v>3758.3392356740192</v>
      </c>
      <c r="AH109">
        <v>3727.4668982713865</v>
      </c>
      <c r="AI109">
        <v>3696.5945608687534</v>
      </c>
      <c r="AJ109">
        <v>3665.7222234661208</v>
      </c>
      <c r="AK109">
        <v>3634.8498860634882</v>
      </c>
      <c r="AL109">
        <v>3603.9775486608555</v>
      </c>
      <c r="AM109">
        <v>3573.1052112582247</v>
      </c>
    </row>
    <row r="110" spans="1:39">
      <c r="A110" t="s">
        <v>134</v>
      </c>
      <c r="B110" t="s">
        <v>297</v>
      </c>
      <c r="C110">
        <v>6968.762028276089</v>
      </c>
      <c r="D110">
        <v>6822.3822247310518</v>
      </c>
      <c r="E110">
        <v>6675.702123914305</v>
      </c>
      <c r="F110">
        <v>6491.7726959674073</v>
      </c>
      <c r="G110">
        <v>6307.8432680205096</v>
      </c>
      <c r="H110">
        <v>6123.9138400736119</v>
      </c>
      <c r="I110">
        <v>5939.9844121267151</v>
      </c>
      <c r="J110">
        <v>5711.3004313664742</v>
      </c>
      <c r="K110">
        <v>5482.6164506062341</v>
      </c>
      <c r="L110">
        <v>5253.9324698459932</v>
      </c>
      <c r="M110">
        <v>5224.5302437482478</v>
      </c>
      <c r="N110">
        <v>5195.1280176505034</v>
      </c>
      <c r="O110">
        <v>5165.725791552758</v>
      </c>
      <c r="P110">
        <v>5136.3235654550135</v>
      </c>
      <c r="Q110">
        <v>5106.9213393572691</v>
      </c>
      <c r="R110">
        <v>5077.5191132595237</v>
      </c>
      <c r="S110">
        <v>5048.1168871617756</v>
      </c>
      <c r="T110">
        <v>5034.3958483161614</v>
      </c>
      <c r="U110">
        <v>5020.6748094705481</v>
      </c>
      <c r="V110">
        <v>5006.9537706249339</v>
      </c>
      <c r="W110">
        <v>4993.2327317793197</v>
      </c>
      <c r="X110">
        <v>4979.5116929337055</v>
      </c>
      <c r="Y110">
        <v>4965.7906540880922</v>
      </c>
      <c r="Z110">
        <v>4952.069615242478</v>
      </c>
      <c r="AA110">
        <v>4938.3485763968638</v>
      </c>
      <c r="AB110">
        <v>4924.6275375512496</v>
      </c>
      <c r="AC110">
        <v>4910.9064987056327</v>
      </c>
      <c r="AD110">
        <v>4895.3107182097274</v>
      </c>
      <c r="AE110">
        <v>4879.714937713823</v>
      </c>
      <c r="AF110">
        <v>4864.1191572179187</v>
      </c>
      <c r="AG110">
        <v>4848.5233767220134</v>
      </c>
      <c r="AH110">
        <v>4832.927596226109</v>
      </c>
      <c r="AI110">
        <v>4817.3318157302047</v>
      </c>
      <c r="AJ110">
        <v>4801.7360352343003</v>
      </c>
      <c r="AK110">
        <v>4786.1402547383959</v>
      </c>
      <c r="AL110">
        <v>4770.5444742424916</v>
      </c>
      <c r="AM110">
        <v>4754.9486937465826</v>
      </c>
    </row>
    <row r="111" spans="1:39">
      <c r="A111" t="s">
        <v>134</v>
      </c>
      <c r="B111" t="s">
        <v>298</v>
      </c>
      <c r="C111">
        <v>6968.762028276089</v>
      </c>
      <c r="D111">
        <v>6968.762028276089</v>
      </c>
      <c r="E111">
        <v>6968.762028276089</v>
      </c>
      <c r="F111">
        <v>6968.762028276089</v>
      </c>
      <c r="G111">
        <v>6968.762028276089</v>
      </c>
      <c r="H111">
        <v>6968.762028276089</v>
      </c>
      <c r="I111">
        <v>6968.762028276089</v>
      </c>
      <c r="J111">
        <v>6968.762028276089</v>
      </c>
      <c r="K111">
        <v>6968.762028276089</v>
      </c>
      <c r="L111">
        <v>6968.762028276089</v>
      </c>
      <c r="M111">
        <v>6968.762028276089</v>
      </c>
      <c r="N111">
        <v>6968.762028276089</v>
      </c>
      <c r="O111">
        <v>6968.762028276089</v>
      </c>
      <c r="P111">
        <v>6968.762028276089</v>
      </c>
      <c r="Q111">
        <v>6968.762028276089</v>
      </c>
      <c r="R111">
        <v>6968.762028276089</v>
      </c>
      <c r="S111">
        <v>6968.762028276089</v>
      </c>
      <c r="T111">
        <v>6968.762028276089</v>
      </c>
      <c r="U111">
        <v>6968.762028276089</v>
      </c>
      <c r="V111">
        <v>6968.762028276089</v>
      </c>
      <c r="W111">
        <v>6968.762028276089</v>
      </c>
      <c r="X111">
        <v>6968.762028276089</v>
      </c>
      <c r="Y111">
        <v>6968.762028276089</v>
      </c>
      <c r="Z111">
        <v>6968.762028276089</v>
      </c>
      <c r="AA111">
        <v>6968.762028276089</v>
      </c>
      <c r="AB111">
        <v>6968.762028276089</v>
      </c>
      <c r="AC111">
        <v>6968.762028276089</v>
      </c>
      <c r="AD111">
        <v>6968.762028276089</v>
      </c>
      <c r="AE111">
        <v>6968.762028276089</v>
      </c>
      <c r="AF111">
        <v>6968.762028276089</v>
      </c>
      <c r="AG111">
        <v>6968.762028276089</v>
      </c>
      <c r="AH111">
        <v>6968.762028276089</v>
      </c>
      <c r="AI111">
        <v>6968.762028276089</v>
      </c>
      <c r="AJ111">
        <v>6968.762028276089</v>
      </c>
      <c r="AK111">
        <v>6968.762028276089</v>
      </c>
      <c r="AL111">
        <v>6968.762028276089</v>
      </c>
      <c r="AM111">
        <v>6968.762028276089</v>
      </c>
    </row>
    <row r="112" spans="1:39">
      <c r="A112" t="s">
        <v>134</v>
      </c>
      <c r="B112" t="s">
        <v>299</v>
      </c>
      <c r="C112">
        <v>6968.762028276079</v>
      </c>
      <c r="D112">
        <v>6557.4311601793643</v>
      </c>
      <c r="E112">
        <v>6145.7999948109309</v>
      </c>
      <c r="F112">
        <v>5957.1357106837331</v>
      </c>
      <c r="G112">
        <v>5768.4714265565344</v>
      </c>
      <c r="H112">
        <v>5579.8071424293366</v>
      </c>
      <c r="I112">
        <v>5391.142858302137</v>
      </c>
      <c r="J112">
        <v>5162.458877541897</v>
      </c>
      <c r="K112">
        <v>4933.7748967816578</v>
      </c>
      <c r="L112">
        <v>4705.0909160214169</v>
      </c>
      <c r="M112">
        <v>4636.4857217933441</v>
      </c>
      <c r="N112">
        <v>4567.8805275652712</v>
      </c>
      <c r="O112">
        <v>4499.2753333371993</v>
      </c>
      <c r="P112">
        <v>4430.6701391091265</v>
      </c>
      <c r="Q112">
        <v>4362.0649448810545</v>
      </c>
      <c r="R112">
        <v>4293.4597506529817</v>
      </c>
      <c r="S112">
        <v>4224.8545564249107</v>
      </c>
      <c r="T112">
        <v>4190.5519593108738</v>
      </c>
      <c r="U112">
        <v>4156.2493621968379</v>
      </c>
      <c r="V112">
        <v>4121.9467650828019</v>
      </c>
      <c r="W112">
        <v>4087.6441679687655</v>
      </c>
      <c r="X112">
        <v>4053.3415708547291</v>
      </c>
      <c r="Y112">
        <v>4019.0389737406927</v>
      </c>
      <c r="Z112">
        <v>3984.7363766266571</v>
      </c>
      <c r="AA112">
        <v>3950.4337795126207</v>
      </c>
      <c r="AB112">
        <v>3916.1311823985843</v>
      </c>
      <c r="AC112">
        <v>3881.8285852845497</v>
      </c>
      <c r="AD112">
        <v>3850.9562478819171</v>
      </c>
      <c r="AE112">
        <v>3820.0839104792844</v>
      </c>
      <c r="AF112">
        <v>3789.2115730766513</v>
      </c>
      <c r="AG112">
        <v>3758.3392356740192</v>
      </c>
      <c r="AH112">
        <v>3727.4668982713865</v>
      </c>
      <c r="AI112">
        <v>3696.5945608687534</v>
      </c>
      <c r="AJ112">
        <v>3665.7222234661208</v>
      </c>
      <c r="AK112">
        <v>3634.8498860634882</v>
      </c>
      <c r="AL112">
        <v>3603.9775486608555</v>
      </c>
      <c r="AM112">
        <v>3573.1052112582247</v>
      </c>
    </row>
    <row r="113" spans="1:39">
      <c r="A113" t="s">
        <v>134</v>
      </c>
      <c r="B113" t="s">
        <v>300</v>
      </c>
      <c r="C113">
        <v>6968.762028276079</v>
      </c>
      <c r="D113">
        <v>6822.3822247310518</v>
      </c>
      <c r="E113">
        <v>6675.702123914305</v>
      </c>
      <c r="F113">
        <v>6491.7726959674073</v>
      </c>
      <c r="G113">
        <v>6307.8432680205096</v>
      </c>
      <c r="H113">
        <v>6123.9138400736119</v>
      </c>
      <c r="I113">
        <v>5939.9844121267151</v>
      </c>
      <c r="J113">
        <v>5711.3004313664742</v>
      </c>
      <c r="K113">
        <v>5482.6164506062341</v>
      </c>
      <c r="L113">
        <v>5253.9324698459932</v>
      </c>
      <c r="M113">
        <v>5224.5302437482478</v>
      </c>
      <c r="N113">
        <v>5195.1280176505034</v>
      </c>
      <c r="O113">
        <v>5165.725791552758</v>
      </c>
      <c r="P113">
        <v>5136.3235654550135</v>
      </c>
      <c r="Q113">
        <v>5106.9213393572691</v>
      </c>
      <c r="R113">
        <v>5077.5191132595237</v>
      </c>
      <c r="S113">
        <v>5048.1168871617756</v>
      </c>
      <c r="T113">
        <v>5034.3958483161614</v>
      </c>
      <c r="U113">
        <v>5020.6748094705481</v>
      </c>
      <c r="V113">
        <v>5006.9537706249339</v>
      </c>
      <c r="W113">
        <v>4993.2327317793197</v>
      </c>
      <c r="X113">
        <v>4979.5116929337055</v>
      </c>
      <c r="Y113">
        <v>4965.7906540880922</v>
      </c>
      <c r="Z113">
        <v>4952.069615242478</v>
      </c>
      <c r="AA113">
        <v>4938.3485763968638</v>
      </c>
      <c r="AB113">
        <v>4924.6275375512496</v>
      </c>
      <c r="AC113">
        <v>4910.9064987056327</v>
      </c>
      <c r="AD113">
        <v>4895.3107182097274</v>
      </c>
      <c r="AE113">
        <v>4879.714937713823</v>
      </c>
      <c r="AF113">
        <v>4864.1191572179187</v>
      </c>
      <c r="AG113">
        <v>4848.5233767220134</v>
      </c>
      <c r="AH113">
        <v>4832.927596226109</v>
      </c>
      <c r="AI113">
        <v>4817.3318157302047</v>
      </c>
      <c r="AJ113">
        <v>4801.7360352343003</v>
      </c>
      <c r="AK113">
        <v>4786.1402547383959</v>
      </c>
      <c r="AL113">
        <v>4770.5444742424916</v>
      </c>
      <c r="AM113">
        <v>4754.9486937465826</v>
      </c>
    </row>
    <row r="114" spans="1:39">
      <c r="A114" t="s">
        <v>134</v>
      </c>
      <c r="B114" t="s">
        <v>301</v>
      </c>
      <c r="C114">
        <v>6968.762028276079</v>
      </c>
      <c r="D114">
        <v>6968.762028276079</v>
      </c>
      <c r="E114">
        <v>6968.762028276079</v>
      </c>
      <c r="F114">
        <v>6968.762028276079</v>
      </c>
      <c r="G114">
        <v>6968.762028276079</v>
      </c>
      <c r="H114">
        <v>6968.762028276079</v>
      </c>
      <c r="I114">
        <v>6968.762028276079</v>
      </c>
      <c r="J114">
        <v>6968.762028276079</v>
      </c>
      <c r="K114">
        <v>6968.762028276079</v>
      </c>
      <c r="L114">
        <v>6968.762028276079</v>
      </c>
      <c r="M114">
        <v>6968.762028276079</v>
      </c>
      <c r="N114">
        <v>6968.762028276079</v>
      </c>
      <c r="O114">
        <v>6968.762028276079</v>
      </c>
      <c r="P114">
        <v>6968.762028276079</v>
      </c>
      <c r="Q114">
        <v>6968.762028276079</v>
      </c>
      <c r="R114">
        <v>6968.762028276079</v>
      </c>
      <c r="S114">
        <v>6968.762028276079</v>
      </c>
      <c r="T114">
        <v>6968.762028276079</v>
      </c>
      <c r="U114">
        <v>6968.762028276079</v>
      </c>
      <c r="V114">
        <v>6968.762028276079</v>
      </c>
      <c r="W114">
        <v>6968.762028276079</v>
      </c>
      <c r="X114">
        <v>6968.762028276079</v>
      </c>
      <c r="Y114">
        <v>6968.762028276079</v>
      </c>
      <c r="Z114">
        <v>6968.762028276079</v>
      </c>
      <c r="AA114">
        <v>6968.762028276079</v>
      </c>
      <c r="AB114">
        <v>6968.762028276079</v>
      </c>
      <c r="AC114">
        <v>6968.762028276079</v>
      </c>
      <c r="AD114">
        <v>6968.762028276079</v>
      </c>
      <c r="AE114">
        <v>6968.762028276079</v>
      </c>
      <c r="AF114">
        <v>6968.762028276079</v>
      </c>
      <c r="AG114">
        <v>6968.762028276079</v>
      </c>
      <c r="AH114">
        <v>6968.762028276079</v>
      </c>
      <c r="AI114">
        <v>6968.762028276079</v>
      </c>
      <c r="AJ114">
        <v>6968.762028276079</v>
      </c>
      <c r="AK114">
        <v>6968.762028276079</v>
      </c>
      <c r="AL114">
        <v>6968.762028276079</v>
      </c>
      <c r="AM114">
        <v>6968.762028276079</v>
      </c>
    </row>
    <row r="117" spans="1:39">
      <c r="B117">
        <v>2014</v>
      </c>
      <c r="C117">
        <v>2015</v>
      </c>
      <c r="D117">
        <v>2016</v>
      </c>
      <c r="E117">
        <v>2017</v>
      </c>
      <c r="F117">
        <v>2018</v>
      </c>
      <c r="G117">
        <v>2019</v>
      </c>
      <c r="H117">
        <v>2020</v>
      </c>
      <c r="I117">
        <v>2021</v>
      </c>
      <c r="J117">
        <v>2022</v>
      </c>
      <c r="K117">
        <v>2023</v>
      </c>
      <c r="L117">
        <v>2024</v>
      </c>
      <c r="M117">
        <v>2025</v>
      </c>
      <c r="N117">
        <v>2026</v>
      </c>
      <c r="O117">
        <v>2027</v>
      </c>
      <c r="P117">
        <v>2028</v>
      </c>
      <c r="Q117">
        <v>2029</v>
      </c>
      <c r="R117">
        <v>2030</v>
      </c>
      <c r="S117">
        <v>2031</v>
      </c>
      <c r="T117">
        <v>2032</v>
      </c>
      <c r="U117">
        <v>2033</v>
      </c>
      <c r="V117">
        <v>2034</v>
      </c>
      <c r="W117">
        <v>2035</v>
      </c>
      <c r="X117">
        <v>2036</v>
      </c>
      <c r="Y117">
        <v>2037</v>
      </c>
      <c r="Z117">
        <v>2038</v>
      </c>
      <c r="AA117">
        <v>2039</v>
      </c>
      <c r="AB117">
        <v>2040</v>
      </c>
      <c r="AC117">
        <v>2041</v>
      </c>
      <c r="AD117">
        <v>2042</v>
      </c>
      <c r="AE117">
        <v>2043</v>
      </c>
      <c r="AF117">
        <v>2044</v>
      </c>
      <c r="AG117">
        <v>2045</v>
      </c>
      <c r="AH117">
        <v>2046</v>
      </c>
      <c r="AI117">
        <v>2047</v>
      </c>
      <c r="AJ117">
        <v>2048</v>
      </c>
      <c r="AK117">
        <v>2049</v>
      </c>
      <c r="AL117">
        <v>2050</v>
      </c>
    </row>
    <row r="118" spans="1:39">
      <c r="A118" t="s">
        <v>189</v>
      </c>
      <c r="B118">
        <f>AVERAGEIF($A$3:$A$114,$A118,C$3:C$114)/AVERAGEIF($A$3:$A$114,$A118,$C$3:$C$114)</f>
        <v>1</v>
      </c>
      <c r="C118">
        <f t="shared" ref="C118:AL124" si="0">AVERAGEIF($A$3:$A$114,$A118,D$3:D$114)/AVERAGEIF($A$3:$A$114,$A118,$C$3:$C$114)</f>
        <v>1</v>
      </c>
      <c r="D118">
        <f t="shared" si="0"/>
        <v>1</v>
      </c>
      <c r="E118">
        <f t="shared" si="0"/>
        <v>1</v>
      </c>
      <c r="F118">
        <f t="shared" si="0"/>
        <v>0.9870305754846449</v>
      </c>
      <c r="G118">
        <f t="shared" si="0"/>
        <v>0.97196315993757809</v>
      </c>
      <c r="H118">
        <f t="shared" si="0"/>
        <v>0.95577440260610869</v>
      </c>
      <c r="I118">
        <f t="shared" si="0"/>
        <v>0.95013074428804678</v>
      </c>
      <c r="J118">
        <f t="shared" si="0"/>
        <v>0.94528925277479114</v>
      </c>
      <c r="K118">
        <f t="shared" si="0"/>
        <v>0.94044793236853008</v>
      </c>
      <c r="L118">
        <f t="shared" si="0"/>
        <v>0.93455441989281318</v>
      </c>
      <c r="M118">
        <f t="shared" si="0"/>
        <v>0.9294748344424093</v>
      </c>
      <c r="N118">
        <f t="shared" si="0"/>
        <v>0.92339530735159259</v>
      </c>
      <c r="O118">
        <f t="shared" si="0"/>
        <v>0.91593586191427245</v>
      </c>
      <c r="P118">
        <f t="shared" si="0"/>
        <v>0.91088677206295787</v>
      </c>
      <c r="Q118">
        <f t="shared" si="0"/>
        <v>0.90479828005217688</v>
      </c>
      <c r="R118">
        <f t="shared" si="0"/>
        <v>0.89806074103044686</v>
      </c>
      <c r="S118">
        <f t="shared" si="0"/>
        <v>0.89201998891483936</v>
      </c>
      <c r="T118">
        <f t="shared" si="0"/>
        <v>0.88688039767587123</v>
      </c>
      <c r="U118">
        <f t="shared" si="0"/>
        <v>0.8805465787765393</v>
      </c>
      <c r="V118">
        <f t="shared" si="0"/>
        <v>0.87495527890286851</v>
      </c>
      <c r="W118">
        <f t="shared" si="0"/>
        <v>0.86961524026459214</v>
      </c>
      <c r="X118">
        <f t="shared" si="0"/>
        <v>0.86446017629301963</v>
      </c>
      <c r="Y118">
        <f t="shared" si="0"/>
        <v>0.85841879945254185</v>
      </c>
      <c r="Z118">
        <f t="shared" si="0"/>
        <v>0.85340016353923465</v>
      </c>
      <c r="AA118">
        <f t="shared" si="0"/>
        <v>0.84780005393533642</v>
      </c>
      <c r="AB118">
        <f t="shared" si="0"/>
        <v>0.84251217953750401</v>
      </c>
      <c r="AC118">
        <f t="shared" si="0"/>
        <v>0.83695732338820972</v>
      </c>
      <c r="AD118">
        <f t="shared" si="0"/>
        <v>0.83140246723891542</v>
      </c>
      <c r="AE118">
        <f t="shared" si="0"/>
        <v>0.82584761108962101</v>
      </c>
      <c r="AF118">
        <f t="shared" si="0"/>
        <v>0.82029275494032672</v>
      </c>
      <c r="AG118">
        <f t="shared" si="0"/>
        <v>0.81473789879103242</v>
      </c>
      <c r="AH118">
        <f t="shared" si="0"/>
        <v>0.80918304264173802</v>
      </c>
      <c r="AI118">
        <f t="shared" si="0"/>
        <v>0.80362818649244372</v>
      </c>
      <c r="AJ118">
        <f t="shared" si="0"/>
        <v>0.79807333034314942</v>
      </c>
      <c r="AK118">
        <f t="shared" si="0"/>
        <v>0.79251847419385513</v>
      </c>
      <c r="AL118">
        <f t="shared" si="0"/>
        <v>0.78696361804456072</v>
      </c>
    </row>
    <row r="119" spans="1:39">
      <c r="A119" t="s">
        <v>122</v>
      </c>
      <c r="B119">
        <f t="shared" ref="B119:Q124" si="1">AVERAGEIF($A$3:$A$114,$A119,C$3:C$114)/AVERAGEIF($A$3:$A$114,$A119,$C$3:$C$114)</f>
        <v>1</v>
      </c>
      <c r="C119">
        <f t="shared" si="1"/>
        <v>1</v>
      </c>
      <c r="D119">
        <f t="shared" si="1"/>
        <v>1</v>
      </c>
      <c r="E119">
        <f t="shared" si="1"/>
        <v>0.98784262086501395</v>
      </c>
      <c r="F119">
        <f t="shared" si="1"/>
        <v>0.98509647542332057</v>
      </c>
      <c r="G119">
        <f t="shared" si="1"/>
        <v>0.98158537067433405</v>
      </c>
      <c r="H119">
        <f t="shared" si="1"/>
        <v>0.9756026996855014</v>
      </c>
      <c r="I119">
        <f t="shared" si="1"/>
        <v>0.97273118486900834</v>
      </c>
      <c r="J119">
        <f t="shared" si="1"/>
        <v>0.96980698077283733</v>
      </c>
      <c r="K119">
        <f t="shared" si="1"/>
        <v>0.96693506213768765</v>
      </c>
      <c r="L119">
        <f t="shared" si="1"/>
        <v>0.96406446214731112</v>
      </c>
      <c r="M119">
        <f t="shared" si="1"/>
        <v>0.96106629083872919</v>
      </c>
      <c r="N119">
        <f t="shared" si="1"/>
        <v>0.95250222520282879</v>
      </c>
      <c r="O119">
        <f t="shared" si="1"/>
        <v>0.94590281955516775</v>
      </c>
      <c r="P119">
        <f t="shared" si="1"/>
        <v>0.93978388296870563</v>
      </c>
      <c r="Q119">
        <f t="shared" si="1"/>
        <v>0.93543208992746663</v>
      </c>
      <c r="R119">
        <f t="shared" si="0"/>
        <v>0.93080651479316845</v>
      </c>
      <c r="S119">
        <f t="shared" si="0"/>
        <v>0.92661106847301333</v>
      </c>
      <c r="T119">
        <f t="shared" si="0"/>
        <v>0.92327284240655727</v>
      </c>
      <c r="U119">
        <f t="shared" si="0"/>
        <v>0.92030570427829594</v>
      </c>
      <c r="V119">
        <f t="shared" si="0"/>
        <v>0.91729548130556826</v>
      </c>
      <c r="W119">
        <f t="shared" si="0"/>
        <v>0.91391816900549139</v>
      </c>
      <c r="X119">
        <f t="shared" si="0"/>
        <v>0.91051797707149129</v>
      </c>
      <c r="Y119">
        <f t="shared" si="0"/>
        <v>0.90758459492519605</v>
      </c>
      <c r="Z119">
        <f t="shared" si="0"/>
        <v>0.90400428867410954</v>
      </c>
      <c r="AA119">
        <f t="shared" si="0"/>
        <v>0.90106655472843411</v>
      </c>
      <c r="AB119">
        <f t="shared" si="0"/>
        <v>0.89770138280555922</v>
      </c>
      <c r="AC119">
        <f t="shared" si="0"/>
        <v>0.89439086960679826</v>
      </c>
      <c r="AD119">
        <f t="shared" si="0"/>
        <v>0.8910803564080374</v>
      </c>
      <c r="AE119">
        <f t="shared" si="0"/>
        <v>0.88776984320927643</v>
      </c>
      <c r="AF119">
        <f t="shared" si="0"/>
        <v>0.88445933001051547</v>
      </c>
      <c r="AG119">
        <f t="shared" si="0"/>
        <v>0.88114881681175461</v>
      </c>
      <c r="AH119">
        <f t="shared" si="0"/>
        <v>0.87783830361299364</v>
      </c>
      <c r="AI119">
        <f t="shared" si="0"/>
        <v>0.87452779041423268</v>
      </c>
      <c r="AJ119">
        <f t="shared" si="0"/>
        <v>0.87121727721547182</v>
      </c>
      <c r="AK119">
        <f t="shared" si="0"/>
        <v>0.86790676401671085</v>
      </c>
      <c r="AL119">
        <f t="shared" si="0"/>
        <v>0.86459625081794989</v>
      </c>
    </row>
    <row r="120" spans="1:39">
      <c r="A120" t="s">
        <v>126</v>
      </c>
      <c r="B120">
        <f t="shared" si="1"/>
        <v>1</v>
      </c>
      <c r="C120">
        <f t="shared" si="0"/>
        <v>1</v>
      </c>
      <c r="D120">
        <f t="shared" si="0"/>
        <v>1</v>
      </c>
      <c r="E120">
        <f t="shared" si="0"/>
        <v>1</v>
      </c>
      <c r="F120">
        <f t="shared" si="0"/>
        <v>1</v>
      </c>
      <c r="G120">
        <f t="shared" si="0"/>
        <v>1</v>
      </c>
      <c r="H120">
        <f t="shared" si="0"/>
        <v>1</v>
      </c>
      <c r="I120">
        <f t="shared" si="0"/>
        <v>1</v>
      </c>
      <c r="J120">
        <f t="shared" si="0"/>
        <v>1</v>
      </c>
      <c r="K120">
        <f t="shared" si="0"/>
        <v>0.99468957755048804</v>
      </c>
      <c r="L120">
        <f t="shared" si="0"/>
        <v>0.98938026147577518</v>
      </c>
      <c r="M120">
        <f t="shared" si="0"/>
        <v>0.98406997949123287</v>
      </c>
      <c r="N120">
        <f t="shared" si="0"/>
        <v>0.97876056065897477</v>
      </c>
      <c r="O120">
        <f t="shared" si="0"/>
        <v>0.97345066248454493</v>
      </c>
      <c r="P120">
        <f t="shared" si="0"/>
        <v>0.96814055406945143</v>
      </c>
      <c r="Q120">
        <f t="shared" si="0"/>
        <v>0.96283129166465842</v>
      </c>
      <c r="R120">
        <f t="shared" si="0"/>
        <v>0.95752119430784588</v>
      </c>
      <c r="S120">
        <f t="shared" si="0"/>
        <v>0.9522106592699473</v>
      </c>
      <c r="T120">
        <f t="shared" si="0"/>
        <v>0.94690124947091114</v>
      </c>
      <c r="U120">
        <f t="shared" si="0"/>
        <v>0.94159159523473146</v>
      </c>
      <c r="V120">
        <f t="shared" si="0"/>
        <v>0.93628173696857431</v>
      </c>
      <c r="W120">
        <f t="shared" si="0"/>
        <v>0.93097175709477531</v>
      </c>
      <c r="X120">
        <f t="shared" si="0"/>
        <v>0.92566160859743896</v>
      </c>
      <c r="Y120">
        <f t="shared" si="0"/>
        <v>0.92035197045804973</v>
      </c>
      <c r="Z120">
        <f t="shared" si="0"/>
        <v>0.91504195073922256</v>
      </c>
      <c r="AA120">
        <f t="shared" si="0"/>
        <v>0.90973250713935505</v>
      </c>
      <c r="AB120">
        <f t="shared" si="0"/>
        <v>0.9044219508282807</v>
      </c>
      <c r="AC120">
        <f t="shared" si="0"/>
        <v>0.89911202648032418</v>
      </c>
      <c r="AD120">
        <f t="shared" si="0"/>
        <v>0.89380210213236755</v>
      </c>
      <c r="AE120">
        <f t="shared" si="0"/>
        <v>0.88849217778441103</v>
      </c>
      <c r="AF120">
        <f t="shared" si="0"/>
        <v>0.88318225343645451</v>
      </c>
      <c r="AG120">
        <f t="shared" si="0"/>
        <v>0.87787232908849788</v>
      </c>
      <c r="AH120">
        <f t="shared" si="0"/>
        <v>0.87256240474054136</v>
      </c>
      <c r="AI120">
        <f t="shared" si="0"/>
        <v>0.86725248039258485</v>
      </c>
      <c r="AJ120">
        <f t="shared" si="0"/>
        <v>0.86194255604462822</v>
      </c>
      <c r="AK120">
        <f t="shared" si="0"/>
        <v>0.8566326316966717</v>
      </c>
      <c r="AL120">
        <f t="shared" si="0"/>
        <v>0.85132270734871507</v>
      </c>
    </row>
    <row r="121" spans="1:39">
      <c r="A121" t="s">
        <v>131</v>
      </c>
      <c r="B121">
        <f t="shared" si="1"/>
        <v>1</v>
      </c>
      <c r="C121">
        <f>AVERAGEIF($A$3:$A$114,$A121,D$3:D$114)/AVERAGEIF($A$3:$A$114,$A121,$C$3:$C$114)</f>
        <v>0.99975836227772585</v>
      </c>
      <c r="D121">
        <f t="shared" si="0"/>
        <v>0.99466325112733922</v>
      </c>
      <c r="E121">
        <f t="shared" si="0"/>
        <v>0.98932835790046247</v>
      </c>
      <c r="F121">
        <f t="shared" si="0"/>
        <v>0.98399346467358528</v>
      </c>
      <c r="G121">
        <f t="shared" si="0"/>
        <v>0.97866103369149471</v>
      </c>
      <c r="H121">
        <f t="shared" si="0"/>
        <v>0.97332860270940413</v>
      </c>
      <c r="I121">
        <f t="shared" si="0"/>
        <v>0.96799862359482336</v>
      </c>
      <c r="J121">
        <f t="shared" si="0"/>
        <v>0.96266864448024259</v>
      </c>
      <c r="K121">
        <f t="shared" si="0"/>
        <v>0.95734110213895041</v>
      </c>
      <c r="L121">
        <f t="shared" si="0"/>
        <v>0.95201355979765845</v>
      </c>
      <c r="M121">
        <f t="shared" si="0"/>
        <v>0.94668844290898935</v>
      </c>
      <c r="N121">
        <f t="shared" si="0"/>
        <v>0.94136332602032036</v>
      </c>
      <c r="O121">
        <f t="shared" si="0"/>
        <v>0.93604062232021989</v>
      </c>
      <c r="P121">
        <f t="shared" si="0"/>
        <v>0.93071791862011943</v>
      </c>
      <c r="Q121">
        <f t="shared" si="0"/>
        <v>0.92539761584453317</v>
      </c>
      <c r="R121">
        <f t="shared" si="0"/>
        <v>0.92007731306894658</v>
      </c>
      <c r="S121">
        <f t="shared" si="0"/>
        <v>0.91475939895381986</v>
      </c>
      <c r="T121">
        <f t="shared" si="0"/>
        <v>0.90944148483869325</v>
      </c>
      <c r="U121">
        <f t="shared" si="0"/>
        <v>0.90412594617658282</v>
      </c>
      <c r="V121">
        <f t="shared" si="0"/>
        <v>0.89881040751447216</v>
      </c>
      <c r="W121">
        <f t="shared" si="0"/>
        <v>0.89349723298471229</v>
      </c>
      <c r="X121">
        <f t="shared" si="0"/>
        <v>0.89176597709927896</v>
      </c>
      <c r="Y121">
        <f t="shared" si="0"/>
        <v>0.89003707308214175</v>
      </c>
      <c r="Z121">
        <f t="shared" si="0"/>
        <v>0.88830816906500465</v>
      </c>
      <c r="AA121">
        <f t="shared" si="0"/>
        <v>0.88658160559549781</v>
      </c>
      <c r="AB121">
        <f t="shared" si="0"/>
        <v>0.88485504212599109</v>
      </c>
      <c r="AC121">
        <f t="shared" si="0"/>
        <v>0.88313080599667149</v>
      </c>
      <c r="AD121">
        <f t="shared" si="0"/>
        <v>0.88140656986735166</v>
      </c>
      <c r="AE121">
        <f t="shared" si="0"/>
        <v>0.87968464975755345</v>
      </c>
      <c r="AF121">
        <f t="shared" si="0"/>
        <v>0.87796272964775512</v>
      </c>
      <c r="AG121">
        <f t="shared" si="0"/>
        <v>0.87624311423681278</v>
      </c>
      <c r="AH121">
        <f t="shared" si="0"/>
        <v>0.87452349882587044</v>
      </c>
      <c r="AI121">
        <f t="shared" si="0"/>
        <v>0.87280617490634038</v>
      </c>
      <c r="AJ121">
        <f t="shared" si="0"/>
        <v>0.87108885098681033</v>
      </c>
      <c r="AK121">
        <f t="shared" si="0"/>
        <v>0.86937380818141585</v>
      </c>
      <c r="AL121">
        <f t="shared" si="0"/>
        <v>0.86765876537602138</v>
      </c>
    </row>
    <row r="122" spans="1:39">
      <c r="A122" t="s">
        <v>128</v>
      </c>
      <c r="B122">
        <f t="shared" si="1"/>
        <v>1</v>
      </c>
      <c r="C122">
        <f t="shared" si="0"/>
        <v>0.9994202980262763</v>
      </c>
      <c r="D122">
        <f t="shared" si="0"/>
        <v>0.99884059605255282</v>
      </c>
      <c r="E122">
        <f t="shared" si="0"/>
        <v>0.98675475194860518</v>
      </c>
      <c r="F122">
        <f t="shared" si="0"/>
        <v>0.98358464751328278</v>
      </c>
      <c r="G122">
        <f t="shared" si="0"/>
        <v>0.98562604733167414</v>
      </c>
      <c r="H122">
        <f t="shared" si="0"/>
        <v>0.98285993505783587</v>
      </c>
      <c r="I122">
        <f t="shared" si="0"/>
        <v>0.98009318249973776</v>
      </c>
      <c r="J122">
        <f t="shared" si="0"/>
        <v>0.97732654454537804</v>
      </c>
      <c r="K122">
        <f t="shared" si="0"/>
        <v>0.97455931968907639</v>
      </c>
      <c r="L122">
        <f t="shared" si="0"/>
        <v>0.97179327505957969</v>
      </c>
      <c r="M122">
        <f t="shared" si="0"/>
        <v>0.96902614007728072</v>
      </c>
      <c r="N122">
        <f t="shared" si="0"/>
        <v>0.96626006878283632</v>
      </c>
      <c r="O122">
        <f t="shared" si="0"/>
        <v>0.96349328195002915</v>
      </c>
      <c r="P122">
        <f t="shared" si="0"/>
        <v>0.96072642557421206</v>
      </c>
      <c r="Q122">
        <f t="shared" si="0"/>
        <v>0.95796042653159685</v>
      </c>
      <c r="R122">
        <f t="shared" si="0"/>
        <v>0.95519359247351554</v>
      </c>
      <c r="S122">
        <f t="shared" si="0"/>
        <v>0.95242626846514111</v>
      </c>
      <c r="T122">
        <f t="shared" si="0"/>
        <v>0.94966005467358527</v>
      </c>
      <c r="U122">
        <f t="shared" si="0"/>
        <v>0.94689375508730433</v>
      </c>
      <c r="V122">
        <f t="shared" si="0"/>
        <v>0.94412703541043885</v>
      </c>
      <c r="W122">
        <f t="shared" si="0"/>
        <v>0.941360278508663</v>
      </c>
      <c r="X122">
        <f t="shared" si="0"/>
        <v>0.93859330731358748</v>
      </c>
      <c r="Y122">
        <f t="shared" si="0"/>
        <v>0.93582694613766992</v>
      </c>
      <c r="Z122">
        <f t="shared" si="0"/>
        <v>0.93306015247559482</v>
      </c>
      <c r="AA122">
        <f t="shared" si="0"/>
        <v>0.93029387070539327</v>
      </c>
      <c r="AB122">
        <f t="shared" si="0"/>
        <v>0.92752662311018252</v>
      </c>
      <c r="AC122">
        <f t="shared" si="0"/>
        <v>0.92475992617384939</v>
      </c>
      <c r="AD122">
        <f t="shared" si="0"/>
        <v>0.92199322923751603</v>
      </c>
      <c r="AE122">
        <f t="shared" si="0"/>
        <v>0.91922653230118279</v>
      </c>
      <c r="AF122">
        <f t="shared" si="0"/>
        <v>0.91645983536484943</v>
      </c>
      <c r="AG122">
        <f t="shared" si="0"/>
        <v>0.91369313842851629</v>
      </c>
      <c r="AH122">
        <f t="shared" si="0"/>
        <v>0.91092644149218283</v>
      </c>
      <c r="AI122">
        <f t="shared" si="0"/>
        <v>0.90815974455584969</v>
      </c>
      <c r="AJ122">
        <f t="shared" si="0"/>
        <v>0.90539304761951622</v>
      </c>
      <c r="AK122">
        <f t="shared" si="0"/>
        <v>0.90262635068318298</v>
      </c>
      <c r="AL122">
        <f t="shared" si="0"/>
        <v>0.89985965374684962</v>
      </c>
    </row>
    <row r="123" spans="1:39">
      <c r="A123" t="s">
        <v>129</v>
      </c>
      <c r="B123">
        <f t="shared" si="1"/>
        <v>1</v>
      </c>
      <c r="C123">
        <f t="shared" si="0"/>
        <v>1</v>
      </c>
      <c r="D123">
        <f t="shared" si="0"/>
        <v>0.99833333333333341</v>
      </c>
      <c r="E123">
        <f t="shared" si="0"/>
        <v>0.99666666666666659</v>
      </c>
      <c r="F123">
        <f t="shared" si="0"/>
        <v>0.99500000000000022</v>
      </c>
      <c r="G123">
        <f t="shared" si="0"/>
        <v>0.99333333333333351</v>
      </c>
      <c r="H123">
        <f t="shared" si="0"/>
        <v>0.9916666666666667</v>
      </c>
      <c r="I123">
        <f t="shared" si="0"/>
        <v>0.98999999999999988</v>
      </c>
      <c r="J123">
        <f t="shared" si="0"/>
        <v>0.98833333333333329</v>
      </c>
      <c r="K123">
        <f t="shared" si="0"/>
        <v>0.98666666666666669</v>
      </c>
      <c r="L123">
        <f t="shared" si="0"/>
        <v>0.98500000000000021</v>
      </c>
      <c r="M123">
        <f t="shared" si="0"/>
        <v>0.98333333333333339</v>
      </c>
      <c r="N123">
        <f t="shared" si="0"/>
        <v>0.98166666666666658</v>
      </c>
      <c r="O123">
        <f t="shared" si="0"/>
        <v>0.98</v>
      </c>
      <c r="P123">
        <f t="shared" si="0"/>
        <v>0.97833333333333317</v>
      </c>
      <c r="Q123">
        <f t="shared" si="0"/>
        <v>0.9766666666666669</v>
      </c>
      <c r="R123">
        <f t="shared" si="0"/>
        <v>0.97500000000000009</v>
      </c>
      <c r="S123">
        <f t="shared" si="0"/>
        <v>0.97333333333333327</v>
      </c>
      <c r="T123">
        <f t="shared" si="0"/>
        <v>0.97166666666666668</v>
      </c>
      <c r="U123">
        <f t="shared" si="0"/>
        <v>0.9700000000000002</v>
      </c>
      <c r="V123">
        <f t="shared" si="0"/>
        <v>0.96833333333333349</v>
      </c>
      <c r="W123">
        <f t="shared" si="0"/>
        <v>0.96666666666666679</v>
      </c>
      <c r="X123">
        <f t="shared" si="0"/>
        <v>0.96499999999999997</v>
      </c>
      <c r="Y123">
        <f t="shared" si="0"/>
        <v>0.96333333333333326</v>
      </c>
      <c r="Z123">
        <f t="shared" si="0"/>
        <v>0.96166666666666645</v>
      </c>
      <c r="AA123">
        <f t="shared" si="0"/>
        <v>0.96</v>
      </c>
      <c r="AB123">
        <f t="shared" si="0"/>
        <v>0.95833333333333348</v>
      </c>
      <c r="AC123">
        <f t="shared" si="0"/>
        <v>0.95666666666666667</v>
      </c>
      <c r="AD123">
        <f t="shared" si="0"/>
        <v>0.95499999999999985</v>
      </c>
      <c r="AE123">
        <f t="shared" si="0"/>
        <v>0.95333333333333348</v>
      </c>
      <c r="AF123">
        <f t="shared" si="0"/>
        <v>0.95166666666666677</v>
      </c>
      <c r="AG123">
        <f t="shared" si="0"/>
        <v>0.95000000000000007</v>
      </c>
      <c r="AH123">
        <f t="shared" si="0"/>
        <v>0.94833333333333336</v>
      </c>
      <c r="AI123">
        <f t="shared" si="0"/>
        <v>0.94666666666666655</v>
      </c>
      <c r="AJ123">
        <f t="shared" si="0"/>
        <v>0.94499999999999995</v>
      </c>
      <c r="AK123">
        <f t="shared" si="0"/>
        <v>0.94333333333333347</v>
      </c>
      <c r="AL123">
        <f t="shared" si="0"/>
        <v>0.94166666666666676</v>
      </c>
    </row>
    <row r="124" spans="1:39">
      <c r="A124" t="s">
        <v>124</v>
      </c>
      <c r="B124">
        <f t="shared" si="1"/>
        <v>1</v>
      </c>
      <c r="C124">
        <f t="shared" si="0"/>
        <v>1</v>
      </c>
      <c r="D124">
        <f t="shared" si="0"/>
        <v>1</v>
      </c>
      <c r="E124">
        <f t="shared" si="0"/>
        <v>0.98784262086501429</v>
      </c>
      <c r="F124">
        <f t="shared" si="0"/>
        <v>0.98489353959225689</v>
      </c>
      <c r="G124">
        <f t="shared" si="0"/>
        <v>0.98117839808861018</v>
      </c>
      <c r="H124">
        <f t="shared" si="0"/>
        <v>0.97450304399704124</v>
      </c>
      <c r="I124">
        <f t="shared" si="0"/>
        <v>0.97155373684736068</v>
      </c>
      <c r="J124">
        <f t="shared" si="0"/>
        <v>0.96854137057101275</v>
      </c>
      <c r="K124">
        <f t="shared" si="0"/>
        <v>0.965591688343586</v>
      </c>
      <c r="L124">
        <f t="shared" si="0"/>
        <v>0.96264313773781296</v>
      </c>
      <c r="M124">
        <f t="shared" si="0"/>
        <v>0.95954239873099112</v>
      </c>
      <c r="N124">
        <f t="shared" si="0"/>
        <v>0.94977571667545302</v>
      </c>
      <c r="O124">
        <f t="shared" si="0"/>
        <v>0.94236193980926752</v>
      </c>
      <c r="P124">
        <f t="shared" si="0"/>
        <v>0.93552368428253307</v>
      </c>
      <c r="Q124">
        <f t="shared" si="0"/>
        <v>0.93080143317111752</v>
      </c>
      <c r="R124">
        <f t="shared" si="0"/>
        <v>0.92575159638002535</v>
      </c>
      <c r="S124">
        <f t="shared" si="0"/>
        <v>0.92121680710068066</v>
      </c>
      <c r="T124">
        <f t="shared" si="0"/>
        <v>0.91770861536360671</v>
      </c>
      <c r="U124">
        <f t="shared" si="0"/>
        <v>0.91464462761923138</v>
      </c>
      <c r="V124">
        <f t="shared" si="0"/>
        <v>0.9115291790665917</v>
      </c>
      <c r="W124">
        <f t="shared" si="0"/>
        <v>0.90797411815458273</v>
      </c>
      <c r="X124">
        <f t="shared" si="0"/>
        <v>0.90439167427766165</v>
      </c>
      <c r="Y124">
        <f t="shared" si="0"/>
        <v>0.90136818845070221</v>
      </c>
      <c r="Z124">
        <f t="shared" si="0"/>
        <v>0.89757017115882343</v>
      </c>
      <c r="AA124">
        <f t="shared" si="0"/>
        <v>0.89454135403134671</v>
      </c>
      <c r="AB124">
        <f t="shared" si="0"/>
        <v>0.89100100271177984</v>
      </c>
      <c r="AC124">
        <f t="shared" si="0"/>
        <v>0.88752594334495527</v>
      </c>
      <c r="AD124">
        <f t="shared" si="0"/>
        <v>0.8840508839781307</v>
      </c>
      <c r="AE124">
        <f t="shared" si="0"/>
        <v>0.88057582461130612</v>
      </c>
      <c r="AF124">
        <f t="shared" si="0"/>
        <v>0.87710076524448155</v>
      </c>
      <c r="AG124">
        <f t="shared" si="0"/>
        <v>0.87362570587765698</v>
      </c>
      <c r="AH124">
        <f t="shared" si="0"/>
        <v>0.8701506465108324</v>
      </c>
      <c r="AI124">
        <f t="shared" si="0"/>
        <v>0.86667558714400783</v>
      </c>
      <c r="AJ124">
        <f t="shared" si="0"/>
        <v>0.86320052777718326</v>
      </c>
      <c r="AK124">
        <f t="shared" si="0"/>
        <v>0.85972546841035868</v>
      </c>
      <c r="AL124">
        <f t="shared" si="0"/>
        <v>0.85625040904353411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I12" sqref="I12"/>
    </sheetView>
  </sheetViews>
  <sheetFormatPr defaultRowHeight="14.25"/>
  <cols>
    <col min="1" max="1" width="23.3984375" style="16" customWidth="1"/>
    <col min="2" max="2" width="8.73046875" style="16"/>
    <col min="3" max="3" width="18.59765625" style="16" customWidth="1"/>
    <col min="4" max="4" width="15" style="16" customWidth="1"/>
    <col min="9" max="9" width="14.3984375" customWidth="1"/>
    <col min="10" max="10" width="14.59765625" customWidth="1"/>
    <col min="12" max="12" width="13.59765625" customWidth="1"/>
  </cols>
  <sheetData>
    <row r="1" spans="1:12">
      <c r="A1" s="79" t="s">
        <v>302</v>
      </c>
      <c r="B1" s="79" t="s">
        <v>303</v>
      </c>
      <c r="C1" s="79" t="s">
        <v>304</v>
      </c>
      <c r="D1" s="79"/>
      <c r="I1" t="s">
        <v>305</v>
      </c>
      <c r="J1" t="s">
        <v>306</v>
      </c>
      <c r="K1" t="s">
        <v>307</v>
      </c>
      <c r="L1" t="s">
        <v>308</v>
      </c>
    </row>
    <row r="2" spans="1:12" ht="28.5">
      <c r="A2" s="79"/>
      <c r="B2" s="79"/>
      <c r="C2" s="72" t="s">
        <v>309</v>
      </c>
      <c r="D2" s="72" t="s">
        <v>310</v>
      </c>
      <c r="H2">
        <v>2010</v>
      </c>
      <c r="I2">
        <v>1</v>
      </c>
      <c r="J2">
        <v>1</v>
      </c>
      <c r="K2">
        <v>1</v>
      </c>
      <c r="L2">
        <v>1</v>
      </c>
    </row>
    <row r="3" spans="1:12">
      <c r="A3" s="79" t="s">
        <v>311</v>
      </c>
      <c r="B3" s="72">
        <v>2010</v>
      </c>
      <c r="C3" s="79">
        <v>1.2</v>
      </c>
      <c r="D3" s="79"/>
      <c r="H3">
        <v>2011</v>
      </c>
      <c r="I3" s="15">
        <f>I2+($I$12-$I$2)/($H$12-$H$2)</f>
        <v>0.99583333333333335</v>
      </c>
      <c r="J3" s="15">
        <f>J2+($J$12-$J$2)/($H$12-$H$2)</f>
        <v>0.97499999999999998</v>
      </c>
      <c r="K3" s="15">
        <f>K2+($K$12-$K$2)/($H$12-$H$2)</f>
        <v>0.96842105263157896</v>
      </c>
      <c r="L3" s="15">
        <f>L2+($L$12-$L$2)/($H$12-$H$2)</f>
        <v>0.98086956521739133</v>
      </c>
    </row>
    <row r="4" spans="1:12">
      <c r="A4" s="79"/>
      <c r="B4" s="72">
        <v>2020</v>
      </c>
      <c r="C4" s="72">
        <v>1.1499999999999999</v>
      </c>
      <c r="D4" s="72">
        <v>0.6</v>
      </c>
      <c r="H4">
        <v>2012</v>
      </c>
      <c r="I4" s="15">
        <f t="shared" ref="I4:I11" si="0">I3+($I$12-$I$2)/($H$12-$H$2)</f>
        <v>0.9916666666666667</v>
      </c>
      <c r="J4" s="15">
        <f t="shared" ref="J4:J11" si="1">J3+($J$12-$J$2)/($H$12-$H$2)</f>
        <v>0.95</v>
      </c>
      <c r="K4" s="15">
        <f t="shared" ref="K4:K11" si="2">K3+($K$12-$K$2)/($H$12-$H$2)</f>
        <v>0.93684210526315792</v>
      </c>
      <c r="L4" s="15">
        <f t="shared" ref="L4:L11" si="3">L3+($L$12-$L$2)/($H$12-$H$2)</f>
        <v>0.96173913043478265</v>
      </c>
    </row>
    <row r="5" spans="1:12">
      <c r="A5" s="79"/>
      <c r="B5" s="72">
        <v>2030</v>
      </c>
      <c r="C5" s="72">
        <v>1.1000000000000001</v>
      </c>
      <c r="D5" s="72">
        <v>0.6</v>
      </c>
      <c r="H5">
        <v>2013</v>
      </c>
      <c r="I5" s="15">
        <f t="shared" si="0"/>
        <v>0.98750000000000004</v>
      </c>
      <c r="J5" s="15">
        <f t="shared" si="1"/>
        <v>0.92499999999999993</v>
      </c>
      <c r="K5" s="15">
        <f t="shared" si="2"/>
        <v>0.90526315789473688</v>
      </c>
      <c r="L5" s="15">
        <f t="shared" si="3"/>
        <v>0.94260869565217398</v>
      </c>
    </row>
    <row r="6" spans="1:12">
      <c r="A6" s="79"/>
      <c r="B6" s="72">
        <v>2050</v>
      </c>
      <c r="C6" s="72">
        <v>1</v>
      </c>
      <c r="D6" s="72">
        <v>0.6</v>
      </c>
      <c r="H6">
        <v>2014</v>
      </c>
      <c r="I6" s="15">
        <f t="shared" si="0"/>
        <v>0.98333333333333339</v>
      </c>
      <c r="J6" s="15">
        <f t="shared" si="1"/>
        <v>0.89999999999999991</v>
      </c>
      <c r="K6" s="15">
        <f t="shared" si="2"/>
        <v>0.87368421052631584</v>
      </c>
      <c r="L6" s="15">
        <f t="shared" si="3"/>
        <v>0.9234782608695653</v>
      </c>
    </row>
    <row r="7" spans="1:12">
      <c r="A7" s="79" t="s">
        <v>312</v>
      </c>
      <c r="B7" s="72">
        <v>2010</v>
      </c>
      <c r="C7" s="79">
        <v>3</v>
      </c>
      <c r="D7" s="79"/>
      <c r="H7">
        <v>2015</v>
      </c>
      <c r="I7" s="15">
        <f t="shared" si="0"/>
        <v>0.97916666666666674</v>
      </c>
      <c r="J7" s="15">
        <f t="shared" si="1"/>
        <v>0.87499999999999989</v>
      </c>
      <c r="K7" s="15">
        <f t="shared" si="2"/>
        <v>0.8421052631578948</v>
      </c>
      <c r="L7" s="15">
        <f t="shared" si="3"/>
        <v>0.90434782608695663</v>
      </c>
    </row>
    <row r="8" spans="1:12">
      <c r="A8" s="79"/>
      <c r="B8" s="72">
        <v>2020</v>
      </c>
      <c r="C8" s="72">
        <v>2.25</v>
      </c>
      <c r="D8" s="72">
        <v>1.5</v>
      </c>
      <c r="H8">
        <v>2016</v>
      </c>
      <c r="I8" s="15">
        <f>I7+($I$12-$I$2)/($H$12-$H$2)</f>
        <v>0.97500000000000009</v>
      </c>
      <c r="J8" s="15">
        <f t="shared" si="1"/>
        <v>0.84999999999999987</v>
      </c>
      <c r="K8" s="15">
        <f t="shared" si="2"/>
        <v>0.81052631578947376</v>
      </c>
      <c r="L8" s="15">
        <f t="shared" si="3"/>
        <v>0.88521739130434796</v>
      </c>
    </row>
    <row r="9" spans="1:12">
      <c r="A9" s="79"/>
      <c r="B9" s="72">
        <v>2030</v>
      </c>
      <c r="C9" s="72">
        <v>2.15</v>
      </c>
      <c r="D9" s="72">
        <v>1.5</v>
      </c>
      <c r="H9">
        <v>2017</v>
      </c>
      <c r="I9" s="15">
        <f t="shared" si="0"/>
        <v>0.97083333333333344</v>
      </c>
      <c r="J9" s="15">
        <f t="shared" si="1"/>
        <v>0.82499999999999984</v>
      </c>
      <c r="K9" s="15">
        <f t="shared" si="2"/>
        <v>0.77894736842105272</v>
      </c>
      <c r="L9" s="15">
        <f t="shared" si="3"/>
        <v>0.86608695652173928</v>
      </c>
    </row>
    <row r="10" spans="1:12">
      <c r="A10" s="79"/>
      <c r="B10" s="72">
        <v>2050</v>
      </c>
      <c r="C10" s="72">
        <v>2</v>
      </c>
      <c r="D10" s="72">
        <v>1.5</v>
      </c>
      <c r="H10">
        <v>2018</v>
      </c>
      <c r="I10" s="15">
        <f t="shared" si="0"/>
        <v>0.96666666666666679</v>
      </c>
      <c r="J10" s="15">
        <f t="shared" si="1"/>
        <v>0.79999999999999982</v>
      </c>
      <c r="K10" s="15">
        <f t="shared" si="2"/>
        <v>0.74736842105263168</v>
      </c>
      <c r="L10" s="15">
        <f t="shared" si="3"/>
        <v>0.84695652173913061</v>
      </c>
    </row>
    <row r="11" spans="1:12">
      <c r="A11" s="79" t="s">
        <v>313</v>
      </c>
      <c r="B11" s="72">
        <v>2010</v>
      </c>
      <c r="C11" s="79">
        <v>2.2000000000000002</v>
      </c>
      <c r="D11" s="79"/>
      <c r="H11">
        <v>2019</v>
      </c>
      <c r="I11" s="15">
        <f t="shared" si="0"/>
        <v>0.96250000000000013</v>
      </c>
      <c r="J11" s="15">
        <f t="shared" si="1"/>
        <v>0.7749999999999998</v>
      </c>
      <c r="K11" s="15">
        <f t="shared" si="2"/>
        <v>0.71578947368421064</v>
      </c>
      <c r="L11" s="15">
        <f t="shared" si="3"/>
        <v>0.82782608695652193</v>
      </c>
    </row>
    <row r="12" spans="1:12">
      <c r="A12" s="79"/>
      <c r="B12" s="72">
        <v>2020</v>
      </c>
      <c r="C12" s="72">
        <v>1.2</v>
      </c>
      <c r="D12" s="72">
        <v>1</v>
      </c>
      <c r="H12">
        <v>2020</v>
      </c>
      <c r="I12" s="17">
        <f>C4/C3</f>
        <v>0.95833333333333326</v>
      </c>
      <c r="J12" s="17">
        <f>C8/C7</f>
        <v>0.75</v>
      </c>
      <c r="K12" s="17">
        <f>AVERAGE(C12,C16,C20)/AVERAGE(C11,C15,C19)</f>
        <v>0.68421052631578949</v>
      </c>
      <c r="L12" s="17">
        <f>AVERAGE(C24,C28)/AVERAGE(C23,C27)</f>
        <v>0.80869565217391315</v>
      </c>
    </row>
    <row r="13" spans="1:12">
      <c r="A13" s="79"/>
      <c r="B13" s="72">
        <v>2030</v>
      </c>
      <c r="C13" s="72">
        <v>1.2</v>
      </c>
      <c r="D13" s="72">
        <v>1</v>
      </c>
      <c r="H13">
        <v>2021</v>
      </c>
      <c r="I13" s="15">
        <f>I12+(I$22-I$12)/($H$22-$H$12)</f>
        <v>0.95416666666666661</v>
      </c>
      <c r="J13" s="15">
        <f t="shared" ref="J13:L13" si="4">J12+(J$22-J$12)/($H$22-$H$12)</f>
        <v>0.7466666666666667</v>
      </c>
      <c r="K13" s="15">
        <f t="shared" si="4"/>
        <v>0.68157894736842106</v>
      </c>
      <c r="L13" s="15">
        <f t="shared" si="4"/>
        <v>0.79739130434782624</v>
      </c>
    </row>
    <row r="14" spans="1:12">
      <c r="A14" s="79"/>
      <c r="B14" s="72">
        <v>2050</v>
      </c>
      <c r="C14" s="72">
        <v>1.2</v>
      </c>
      <c r="D14" s="72">
        <v>1</v>
      </c>
      <c r="H14">
        <v>2022</v>
      </c>
      <c r="I14" s="15">
        <f t="shared" ref="I14:I21" si="5">I13+(I$22-I$12)/($H$22-$H$12)</f>
        <v>0.95</v>
      </c>
      <c r="J14" s="15">
        <f t="shared" ref="J14:J21" si="6">J13+(J$22-J$12)/($H$22-$H$12)</f>
        <v>0.7433333333333334</v>
      </c>
      <c r="K14" s="15">
        <f t="shared" ref="K14:K21" si="7">K13+(K$22-K$12)/($H$22-$H$12)</f>
        <v>0.67894736842105263</v>
      </c>
      <c r="L14" s="15">
        <f t="shared" ref="L14:L21" si="8">L13+(L$22-L$12)/($H$22-$H$12)</f>
        <v>0.78608695652173921</v>
      </c>
    </row>
    <row r="15" spans="1:12">
      <c r="A15" s="79" t="s">
        <v>314</v>
      </c>
      <c r="B15" s="72">
        <v>2010</v>
      </c>
      <c r="C15" s="79">
        <v>2.5</v>
      </c>
      <c r="D15" s="79"/>
      <c r="H15">
        <v>2023</v>
      </c>
      <c r="I15" s="15">
        <f t="shared" si="5"/>
        <v>0.9458333333333333</v>
      </c>
      <c r="J15" s="15">
        <f t="shared" si="6"/>
        <v>0.7400000000000001</v>
      </c>
      <c r="K15" s="15">
        <f t="shared" si="7"/>
        <v>0.6763157894736842</v>
      </c>
      <c r="L15" s="15">
        <f t="shared" si="8"/>
        <v>0.77478260869565219</v>
      </c>
    </row>
    <row r="16" spans="1:12">
      <c r="A16" s="79"/>
      <c r="B16" s="72">
        <v>2020</v>
      </c>
      <c r="C16" s="72">
        <v>1.5</v>
      </c>
      <c r="D16" s="72">
        <v>1.25</v>
      </c>
      <c r="H16">
        <v>2024</v>
      </c>
      <c r="I16" s="15">
        <f t="shared" si="5"/>
        <v>0.94166666666666665</v>
      </c>
      <c r="J16" s="15">
        <f t="shared" si="6"/>
        <v>0.7366666666666668</v>
      </c>
      <c r="K16" s="15">
        <f t="shared" si="7"/>
        <v>0.67368421052631577</v>
      </c>
      <c r="L16" s="15">
        <f t="shared" si="8"/>
        <v>0.76347826086956516</v>
      </c>
    </row>
    <row r="17" spans="1:12">
      <c r="A17" s="79"/>
      <c r="B17" s="72">
        <v>2030</v>
      </c>
      <c r="C17" s="72">
        <v>1.5</v>
      </c>
      <c r="D17" s="72">
        <v>1.25</v>
      </c>
      <c r="H17">
        <v>2025</v>
      </c>
      <c r="I17" s="15">
        <f t="shared" si="5"/>
        <v>0.9375</v>
      </c>
      <c r="J17" s="15">
        <f t="shared" si="6"/>
        <v>0.7333333333333335</v>
      </c>
      <c r="K17" s="15">
        <f t="shared" si="7"/>
        <v>0.67105263157894735</v>
      </c>
      <c r="L17" s="15">
        <f t="shared" si="8"/>
        <v>0.75217391304347814</v>
      </c>
    </row>
    <row r="18" spans="1:12">
      <c r="A18" s="79"/>
      <c r="B18" s="72">
        <v>2050</v>
      </c>
      <c r="C18" s="72">
        <v>1.5</v>
      </c>
      <c r="D18" s="72">
        <v>1.25</v>
      </c>
      <c r="H18">
        <v>2026</v>
      </c>
      <c r="I18" s="15">
        <f t="shared" si="5"/>
        <v>0.93333333333333335</v>
      </c>
      <c r="J18" s="15">
        <f t="shared" si="6"/>
        <v>0.7300000000000002</v>
      </c>
      <c r="K18" s="15">
        <f t="shared" si="7"/>
        <v>0.66842105263157892</v>
      </c>
      <c r="L18" s="15">
        <f t="shared" si="8"/>
        <v>0.74086956521739111</v>
      </c>
    </row>
    <row r="19" spans="1:12">
      <c r="A19" s="79" t="s">
        <v>315</v>
      </c>
      <c r="B19" s="72">
        <v>2010</v>
      </c>
      <c r="C19" s="79">
        <v>2.9</v>
      </c>
      <c r="D19" s="79"/>
      <c r="H19">
        <v>2027</v>
      </c>
      <c r="I19" s="15">
        <f t="shared" si="5"/>
        <v>0.9291666666666667</v>
      </c>
      <c r="J19" s="15">
        <f t="shared" si="6"/>
        <v>0.7266666666666669</v>
      </c>
      <c r="K19" s="15">
        <f t="shared" si="7"/>
        <v>0.66578947368421049</v>
      </c>
      <c r="L19" s="15">
        <f t="shared" si="8"/>
        <v>0.72956521739130409</v>
      </c>
    </row>
    <row r="20" spans="1:12">
      <c r="A20" s="79"/>
      <c r="B20" s="72">
        <v>2020</v>
      </c>
      <c r="C20" s="72">
        <v>2.5</v>
      </c>
      <c r="D20" s="72">
        <v>1.5</v>
      </c>
      <c r="H20">
        <v>2028</v>
      </c>
      <c r="I20" s="15">
        <f t="shared" si="5"/>
        <v>0.92500000000000004</v>
      </c>
      <c r="J20" s="15">
        <f t="shared" si="6"/>
        <v>0.72333333333333361</v>
      </c>
      <c r="K20" s="15">
        <f t="shared" si="7"/>
        <v>0.66315789473684206</v>
      </c>
      <c r="L20" s="15">
        <f t="shared" si="8"/>
        <v>0.71826086956521706</v>
      </c>
    </row>
    <row r="21" spans="1:12">
      <c r="A21" s="79"/>
      <c r="B21" s="72">
        <v>2030</v>
      </c>
      <c r="C21" s="72">
        <v>2.2999999999999998</v>
      </c>
      <c r="D21" s="72">
        <v>1.5</v>
      </c>
      <c r="H21">
        <v>2029</v>
      </c>
      <c r="I21" s="15">
        <f t="shared" si="5"/>
        <v>0.92083333333333339</v>
      </c>
      <c r="J21" s="15">
        <f t="shared" si="6"/>
        <v>0.72000000000000031</v>
      </c>
      <c r="K21" s="15">
        <f t="shared" si="7"/>
        <v>0.66052631578947363</v>
      </c>
      <c r="L21" s="15">
        <f t="shared" si="8"/>
        <v>0.70695652173913004</v>
      </c>
    </row>
    <row r="22" spans="1:12">
      <c r="A22" s="79"/>
      <c r="B22" s="72">
        <v>2050</v>
      </c>
      <c r="C22" s="72">
        <v>2.1</v>
      </c>
      <c r="D22" s="72">
        <v>1.5</v>
      </c>
      <c r="H22">
        <v>2030</v>
      </c>
      <c r="I22" s="17">
        <f>C5/C3</f>
        <v>0.91666666666666674</v>
      </c>
      <c r="J22" s="17">
        <f>C9/C7</f>
        <v>0.71666666666666667</v>
      </c>
      <c r="K22" s="17">
        <f>AVERAGE(C13,C17,C21)/AVERAGE(C11,C15,C19)</f>
        <v>0.65789473684210531</v>
      </c>
      <c r="L22" s="17">
        <f>AVERAGE(C25,C29)/AVERAGE(C23,C27)</f>
        <v>0.69565217391304346</v>
      </c>
    </row>
    <row r="23" spans="1:12">
      <c r="A23" s="79" t="s">
        <v>316</v>
      </c>
      <c r="B23" s="72">
        <v>2010</v>
      </c>
      <c r="C23" s="79">
        <v>5</v>
      </c>
      <c r="D23" s="79"/>
      <c r="H23">
        <v>2031</v>
      </c>
      <c r="I23" s="15">
        <f>I22+(I$42-I$22)/($H$42-$H$22)</f>
        <v>0.91250000000000009</v>
      </c>
      <c r="J23" s="15">
        <f t="shared" ref="J23:L38" si="9">J22+(J$42-J$22)/($H$42-$H$22)</f>
        <v>0.71416666666666662</v>
      </c>
      <c r="K23" s="15">
        <f t="shared" si="9"/>
        <v>0.65657894736842115</v>
      </c>
      <c r="L23" s="15">
        <f t="shared" si="9"/>
        <v>0.69173913043478263</v>
      </c>
    </row>
    <row r="24" spans="1:12">
      <c r="A24" s="79"/>
      <c r="B24" s="72">
        <v>2020</v>
      </c>
      <c r="C24" s="72">
        <v>4.5</v>
      </c>
      <c r="D24" s="72">
        <v>2.5</v>
      </c>
      <c r="H24">
        <v>2032</v>
      </c>
      <c r="I24" s="15">
        <f t="shared" ref="I24:I41" si="10">I23+(I$42-I$22)/($H$42-$H$22)</f>
        <v>0.90833333333333344</v>
      </c>
      <c r="J24" s="15">
        <f t="shared" si="9"/>
        <v>0.71166666666666667</v>
      </c>
      <c r="K24" s="15">
        <f t="shared" si="9"/>
        <v>0.65526315789473699</v>
      </c>
      <c r="L24" s="15">
        <f t="shared" si="9"/>
        <v>0.68782608695652181</v>
      </c>
    </row>
    <row r="25" spans="1:12">
      <c r="A25" s="79"/>
      <c r="B25" s="72">
        <v>2030</v>
      </c>
      <c r="C25" s="72">
        <v>4</v>
      </c>
      <c r="D25" s="72">
        <v>2.5</v>
      </c>
      <c r="H25">
        <v>2033</v>
      </c>
      <c r="I25" s="15">
        <f t="shared" si="10"/>
        <v>0.90416666666666679</v>
      </c>
      <c r="J25" s="15">
        <f t="shared" si="9"/>
        <v>0.70916666666666672</v>
      </c>
      <c r="K25" s="15">
        <f t="shared" si="9"/>
        <v>0.65394736842105283</v>
      </c>
      <c r="L25" s="15">
        <f t="shared" si="9"/>
        <v>0.68391304347826098</v>
      </c>
    </row>
    <row r="26" spans="1:12">
      <c r="A26" s="79"/>
      <c r="B26" s="72">
        <v>2050</v>
      </c>
      <c r="C26" s="72">
        <v>3.5</v>
      </c>
      <c r="D26" s="72">
        <v>2.5</v>
      </c>
      <c r="H26">
        <v>2034</v>
      </c>
      <c r="I26" s="15">
        <f t="shared" si="10"/>
        <v>0.90000000000000013</v>
      </c>
      <c r="J26" s="15">
        <f t="shared" si="9"/>
        <v>0.70666666666666678</v>
      </c>
      <c r="K26" s="15">
        <f t="shared" si="9"/>
        <v>0.65263157894736867</v>
      </c>
      <c r="L26" s="15">
        <f t="shared" si="9"/>
        <v>0.68000000000000016</v>
      </c>
    </row>
    <row r="27" spans="1:12">
      <c r="A27" s="79" t="s">
        <v>317</v>
      </c>
      <c r="B27" s="72">
        <v>2010</v>
      </c>
      <c r="C27" s="79">
        <v>6.5</v>
      </c>
      <c r="D27" s="79"/>
      <c r="H27">
        <v>2035</v>
      </c>
      <c r="I27" s="15">
        <f t="shared" si="10"/>
        <v>0.89583333333333348</v>
      </c>
      <c r="J27" s="15">
        <f t="shared" si="9"/>
        <v>0.70416666666666683</v>
      </c>
      <c r="K27" s="15">
        <f t="shared" si="9"/>
        <v>0.65131578947368451</v>
      </c>
      <c r="L27" s="15">
        <f t="shared" si="9"/>
        <v>0.67608695652173934</v>
      </c>
    </row>
    <row r="28" spans="1:12">
      <c r="A28" s="79"/>
      <c r="B28" s="72">
        <v>2020</v>
      </c>
      <c r="C28" s="72">
        <v>4.8</v>
      </c>
      <c r="D28" s="72">
        <v>3.07</v>
      </c>
      <c r="H28">
        <v>2036</v>
      </c>
      <c r="I28" s="15">
        <f t="shared" si="10"/>
        <v>0.89166666666666683</v>
      </c>
      <c r="J28" s="15">
        <f t="shared" si="9"/>
        <v>0.70166666666666688</v>
      </c>
      <c r="K28" s="15">
        <f t="shared" si="9"/>
        <v>0.65000000000000036</v>
      </c>
      <c r="L28" s="15">
        <f t="shared" si="9"/>
        <v>0.67217391304347851</v>
      </c>
    </row>
    <row r="29" spans="1:12">
      <c r="A29" s="79"/>
      <c r="B29" s="72">
        <v>2030</v>
      </c>
      <c r="C29" s="72">
        <v>4</v>
      </c>
      <c r="D29" s="72">
        <v>3.07</v>
      </c>
      <c r="H29">
        <v>2037</v>
      </c>
      <c r="I29" s="15">
        <f t="shared" si="10"/>
        <v>0.88750000000000018</v>
      </c>
      <c r="J29" s="15">
        <f t="shared" si="9"/>
        <v>0.69916666666666694</v>
      </c>
      <c r="K29" s="15">
        <f t="shared" si="9"/>
        <v>0.6486842105263162</v>
      </c>
      <c r="L29" s="15">
        <f t="shared" si="9"/>
        <v>0.66826086956521769</v>
      </c>
    </row>
    <row r="30" spans="1:12">
      <c r="A30" s="79"/>
      <c r="B30" s="72">
        <v>2050</v>
      </c>
      <c r="C30" s="72">
        <v>3.6</v>
      </c>
      <c r="D30" s="72">
        <v>3.07</v>
      </c>
      <c r="H30">
        <v>2038</v>
      </c>
      <c r="I30" s="15">
        <f t="shared" si="10"/>
        <v>0.88333333333333353</v>
      </c>
      <c r="J30" s="15">
        <f t="shared" si="9"/>
        <v>0.69666666666666699</v>
      </c>
      <c r="K30" s="15">
        <f t="shared" si="9"/>
        <v>0.64736842105263204</v>
      </c>
      <c r="L30" s="15">
        <f t="shared" si="9"/>
        <v>0.66434782608695686</v>
      </c>
    </row>
    <row r="31" spans="1:12">
      <c r="A31" s="72"/>
      <c r="B31" s="72"/>
      <c r="C31" s="72"/>
      <c r="D31" s="72"/>
      <c r="H31">
        <v>2039</v>
      </c>
      <c r="I31" s="15">
        <f t="shared" si="10"/>
        <v>0.87916666666666687</v>
      </c>
      <c r="J31" s="15">
        <f t="shared" si="9"/>
        <v>0.69416666666666704</v>
      </c>
      <c r="K31" s="15">
        <f t="shared" si="9"/>
        <v>0.64605263157894788</v>
      </c>
      <c r="L31" s="15">
        <f t="shared" si="9"/>
        <v>0.66043478260869604</v>
      </c>
    </row>
    <row r="32" spans="1:12">
      <c r="A32" s="72"/>
      <c r="B32" s="72"/>
      <c r="C32" s="72"/>
      <c r="D32" s="72"/>
      <c r="H32">
        <v>2040</v>
      </c>
      <c r="I32" s="15">
        <f t="shared" si="10"/>
        <v>0.87500000000000022</v>
      </c>
      <c r="J32" s="15">
        <f t="shared" si="9"/>
        <v>0.6916666666666671</v>
      </c>
      <c r="K32" s="15">
        <f t="shared" si="9"/>
        <v>0.64473684210526372</v>
      </c>
      <c r="L32" s="15">
        <f t="shared" si="9"/>
        <v>0.65652173913043521</v>
      </c>
    </row>
    <row r="33" spans="8:12">
      <c r="H33">
        <v>2041</v>
      </c>
      <c r="I33" s="15">
        <f t="shared" si="10"/>
        <v>0.87083333333333357</v>
      </c>
      <c r="J33" s="15">
        <f t="shared" si="9"/>
        <v>0.68916666666666715</v>
      </c>
      <c r="K33" s="15">
        <f t="shared" si="9"/>
        <v>0.64342105263157956</v>
      </c>
      <c r="L33" s="15">
        <f t="shared" si="9"/>
        <v>0.65260869565217439</v>
      </c>
    </row>
    <row r="34" spans="8:12">
      <c r="H34">
        <v>2042</v>
      </c>
      <c r="I34" s="15">
        <f t="shared" si="10"/>
        <v>0.86666666666666692</v>
      </c>
      <c r="J34" s="15">
        <f t="shared" si="9"/>
        <v>0.6866666666666672</v>
      </c>
      <c r="K34" s="15">
        <f t="shared" si="9"/>
        <v>0.6421052631578954</v>
      </c>
      <c r="L34" s="15">
        <f t="shared" si="9"/>
        <v>0.64869565217391356</v>
      </c>
    </row>
    <row r="35" spans="8:12">
      <c r="H35">
        <v>2043</v>
      </c>
      <c r="I35" s="15">
        <f t="shared" si="10"/>
        <v>0.86250000000000027</v>
      </c>
      <c r="J35" s="15">
        <f t="shared" si="9"/>
        <v>0.68416666666666726</v>
      </c>
      <c r="K35" s="15">
        <f t="shared" si="9"/>
        <v>0.64078947368421124</v>
      </c>
      <c r="L35" s="15">
        <f t="shared" si="9"/>
        <v>0.64478260869565274</v>
      </c>
    </row>
    <row r="36" spans="8:12">
      <c r="H36">
        <v>2044</v>
      </c>
      <c r="I36" s="15">
        <f t="shared" si="10"/>
        <v>0.85833333333333361</v>
      </c>
      <c r="J36" s="15">
        <f t="shared" si="9"/>
        <v>0.68166666666666731</v>
      </c>
      <c r="K36" s="15">
        <f t="shared" si="9"/>
        <v>0.63947368421052708</v>
      </c>
      <c r="L36" s="15">
        <f t="shared" si="9"/>
        <v>0.64086956521739191</v>
      </c>
    </row>
    <row r="37" spans="8:12">
      <c r="H37">
        <v>2045</v>
      </c>
      <c r="I37" s="15">
        <f t="shared" si="10"/>
        <v>0.85416666666666696</v>
      </c>
      <c r="J37" s="15">
        <f t="shared" si="9"/>
        <v>0.67916666666666736</v>
      </c>
      <c r="K37" s="15">
        <f t="shared" si="9"/>
        <v>0.63815789473684292</v>
      </c>
      <c r="L37" s="15">
        <f t="shared" si="9"/>
        <v>0.63695652173913109</v>
      </c>
    </row>
    <row r="38" spans="8:12">
      <c r="H38">
        <v>2046</v>
      </c>
      <c r="I38" s="15">
        <f t="shared" si="10"/>
        <v>0.85000000000000031</v>
      </c>
      <c r="J38" s="15">
        <f t="shared" si="9"/>
        <v>0.67666666666666742</v>
      </c>
      <c r="K38" s="15">
        <f t="shared" si="9"/>
        <v>0.63684210526315876</v>
      </c>
      <c r="L38" s="15">
        <f t="shared" si="9"/>
        <v>0.63304347826087026</v>
      </c>
    </row>
    <row r="39" spans="8:12">
      <c r="H39">
        <v>2047</v>
      </c>
      <c r="I39" s="15">
        <f t="shared" si="10"/>
        <v>0.84583333333333366</v>
      </c>
      <c r="J39" s="15">
        <f t="shared" ref="J39:J41" si="11">J38+(J$42-J$22)/($H$42-$H$22)</f>
        <v>0.67416666666666747</v>
      </c>
      <c r="K39" s="15">
        <f t="shared" ref="K39:K41" si="12">K38+(K$42-K$22)/($H$42-$H$22)</f>
        <v>0.63552631578947461</v>
      </c>
      <c r="L39" s="15">
        <f t="shared" ref="L39:L41" si="13">L38+(L$42-L$22)/($H$42-$H$22)</f>
        <v>0.62913043478260944</v>
      </c>
    </row>
    <row r="40" spans="8:12">
      <c r="H40">
        <v>2048</v>
      </c>
      <c r="I40" s="15">
        <f t="shared" si="10"/>
        <v>0.84166666666666701</v>
      </c>
      <c r="J40" s="15">
        <f t="shared" si="11"/>
        <v>0.67166666666666752</v>
      </c>
      <c r="K40" s="15">
        <f t="shared" si="12"/>
        <v>0.63421052631579045</v>
      </c>
      <c r="L40" s="15">
        <f t="shared" si="13"/>
        <v>0.62521739130434861</v>
      </c>
    </row>
    <row r="41" spans="8:12">
      <c r="H41">
        <v>2049</v>
      </c>
      <c r="I41" s="15">
        <f t="shared" si="10"/>
        <v>0.83750000000000036</v>
      </c>
      <c r="J41" s="15">
        <f t="shared" si="11"/>
        <v>0.66916666666666758</v>
      </c>
      <c r="K41" s="15">
        <f t="shared" si="12"/>
        <v>0.63289473684210629</v>
      </c>
      <c r="L41" s="15">
        <f t="shared" si="13"/>
        <v>0.62130434782608779</v>
      </c>
    </row>
    <row r="42" spans="8:12">
      <c r="H42">
        <v>2050</v>
      </c>
      <c r="I42" s="17">
        <f>C6/C3</f>
        <v>0.83333333333333337</v>
      </c>
      <c r="J42" s="17">
        <f>C10/C7</f>
        <v>0.66666666666666663</v>
      </c>
      <c r="K42" s="17">
        <f>AVERAGE(C14,C18,C22)/AVERAGE(C11,C15,C19)</f>
        <v>0.63157894736842124</v>
      </c>
      <c r="L42" s="17">
        <f>AVERAGE(C26,C30)/AVERAGE(C23,C27)</f>
        <v>0.61739130434782608</v>
      </c>
    </row>
  </sheetData>
  <mergeCells count="17">
    <mergeCell ref="A23:A26"/>
    <mergeCell ref="A1:A2"/>
    <mergeCell ref="B1:B2"/>
    <mergeCell ref="C1:D1"/>
    <mergeCell ref="A27:A30"/>
    <mergeCell ref="C7:D7"/>
    <mergeCell ref="C3:D3"/>
    <mergeCell ref="C11:D11"/>
    <mergeCell ref="C15:D15"/>
    <mergeCell ref="C19:D19"/>
    <mergeCell ref="C23:D23"/>
    <mergeCell ref="C27:D27"/>
    <mergeCell ref="A3:A6"/>
    <mergeCell ref="A7:A10"/>
    <mergeCell ref="A11:A14"/>
    <mergeCell ref="A15:A18"/>
    <mergeCell ref="A19:A22"/>
  </mergeCells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S9"/>
  <sheetViews>
    <sheetView showGridLines="0" workbookViewId="0">
      <selection activeCell="N10" sqref="N10"/>
    </sheetView>
  </sheetViews>
  <sheetFormatPr defaultRowHeight="14.25"/>
  <cols>
    <col min="13" max="13" width="12.59765625" customWidth="1"/>
    <col min="14" max="14" width="14.265625" bestFit="1" customWidth="1"/>
    <col min="19" max="19" width="12.59765625" bestFit="1" customWidth="1"/>
  </cols>
  <sheetData>
    <row r="1" spans="13:19">
      <c r="M1" t="s">
        <v>318</v>
      </c>
      <c r="N1">
        <v>18.010000000000002</v>
      </c>
      <c r="O1" t="s">
        <v>319</v>
      </c>
      <c r="Q1" t="s">
        <v>320</v>
      </c>
      <c r="S1">
        <v>0.12759999999999999</v>
      </c>
    </row>
    <row r="2" spans="13:19">
      <c r="M2" t="s">
        <v>321</v>
      </c>
      <c r="N2">
        <f>13.38/10</f>
        <v>1.3380000000000001</v>
      </c>
      <c r="O2" t="s">
        <v>322</v>
      </c>
    </row>
    <row r="4" spans="13:19">
      <c r="M4" t="s">
        <v>318</v>
      </c>
      <c r="N4">
        <f>N1*S1</f>
        <v>2.298076</v>
      </c>
      <c r="O4" t="s">
        <v>323</v>
      </c>
    </row>
    <row r="5" spans="13:19">
      <c r="M5" t="s">
        <v>321</v>
      </c>
      <c r="N5">
        <f>N2*S1</f>
        <v>0.17072879999999999</v>
      </c>
      <c r="O5" t="s">
        <v>323</v>
      </c>
    </row>
    <row r="7" spans="13:19">
      <c r="M7" t="s">
        <v>324</v>
      </c>
      <c r="N7">
        <v>165</v>
      </c>
      <c r="O7" t="s">
        <v>325</v>
      </c>
    </row>
    <row r="9" spans="13:19">
      <c r="M9" t="s">
        <v>326</v>
      </c>
      <c r="N9" s="71">
        <f>SUM(N4:N5)*10^9/N7</f>
        <v>14962453.333333334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3D4B8D-07E4-480A-9102-59E43F1C6B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6A01E7-B2FB-4480-B432-5D73735A58C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F753106C-6C96-40DB-989F-DDACB7271E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EDO</vt:lpstr>
      <vt:lpstr>Hydro and Geothermal</vt:lpstr>
      <vt:lpstr>Solar thermal</vt:lpstr>
      <vt:lpstr>EIA Costs</vt:lpstr>
      <vt:lpstr>O&amp;M Share</vt:lpstr>
      <vt:lpstr>Cost Improvement (other)</vt:lpstr>
      <vt:lpstr>Cost Improvement (wind&amp;solar)</vt:lpstr>
      <vt:lpstr>MSW HK</vt:lpstr>
      <vt:lpstr>CCaMC-AFOaMCpUC</vt:lpstr>
      <vt:lpstr>CCaMC-VOaMCpUC</vt:lpstr>
      <vt:lpstr>CCaMC-BCCpUC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2014-02-14T06:19:38Z</dcterms:created>
  <dcterms:modified xsi:type="dcterms:W3CDTF">2020-06-04T23:50:41Z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1536">
    <vt:lpwstr>694</vt:lpwstr>
  </property>
  <property fmtid="{D5CDD505-2E9C-101B-9397-08002B2CF9AE}" pid="4" name="AuthorIds_UIVersion_2048">
    <vt:lpwstr>694</vt:lpwstr>
  </property>
</Properties>
</file>