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v 1.43\InputData\trans\BAADTbVT\"/>
    </mc:Choice>
  </mc:AlternateContent>
  <xr:revisionPtr revIDLastSave="1218" documentId="11_AD82337C2350E43599ECDF91D5F6DA9B4D08506B" xr6:coauthVersionLast="43" xr6:coauthVersionMax="43" xr10:uidLastSave="{FD522162-EB03-4F2F-A640-8253DC4B4B62}"/>
  <bookViews>
    <workbookView xWindow="-120" yWindow="-120" windowWidth="20730" windowHeight="11160" firstSheet="3" activeTab="8" xr2:uid="{00000000-000D-0000-FFFF-FFFF00000000}"/>
  </bookViews>
  <sheets>
    <sheet name="About" sheetId="1" r:id="rId1"/>
    <sheet name="Ships" sheetId="21" r:id="rId2"/>
    <sheet name="Extra_Info" sheetId="20" r:id="rId3"/>
    <sheet name="Rail-MTR" sheetId="18" r:id="rId4"/>
    <sheet name="HK Passenger" sheetId="16" r:id="rId5"/>
    <sheet name="HK Freight" sheetId="17" r:id="rId6"/>
    <sheet name="HK Air" sheetId="19" r:id="rId7"/>
    <sheet name="BAADTbVT-freight" sheetId="12" r:id="rId8"/>
    <sheet name="BAADTbVT-passengers" sheetId="6" r:id="rId9"/>
  </sheets>
  <externalReferences>
    <externalReference r:id="rId10"/>
    <externalReference r:id="rId11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6" l="1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B7" i="6"/>
  <c r="B6" i="6"/>
  <c r="C5" i="6"/>
  <c r="B5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3" i="6"/>
  <c r="AJ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2" i="6"/>
  <c r="B2" i="6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B6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B3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C2" i="12"/>
  <c r="B2" i="12"/>
  <c r="C6" i="6" l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D5" i="17"/>
  <c r="C6" i="17"/>
  <c r="C5" i="17"/>
  <c r="C4" i="17"/>
  <c r="C3" i="17"/>
  <c r="C2" i="17" s="1"/>
  <c r="B24" i="21"/>
  <c r="B29" i="21"/>
  <c r="B28" i="21"/>
  <c r="B32" i="21"/>
  <c r="B31" i="21"/>
  <c r="B30" i="21"/>
  <c r="C10" i="16" s="1"/>
  <c r="G10" i="16" s="1"/>
  <c r="C11" i="16"/>
  <c r="G11" i="16" s="1"/>
  <c r="D8" i="16"/>
  <c r="C8" i="16"/>
  <c r="F2" i="16"/>
  <c r="G2" i="16"/>
  <c r="E2" i="16"/>
  <c r="D3" i="16"/>
  <c r="E3" i="16" s="1"/>
  <c r="G3" i="16" s="1"/>
  <c r="D5" i="16"/>
  <c r="E5" i="16" s="1"/>
  <c r="G5" i="16" s="1"/>
  <c r="D6" i="16"/>
  <c r="E6" i="16" s="1"/>
  <c r="G6" i="16" s="1"/>
  <c r="G9" i="16"/>
  <c r="F9" i="16"/>
  <c r="F6" i="16" l="1"/>
  <c r="F5" i="16"/>
  <c r="F3" i="16"/>
  <c r="F8" i="16"/>
  <c r="G8" i="16"/>
  <c r="G15" i="16" s="1"/>
  <c r="E4" i="16"/>
  <c r="D4" i="16"/>
  <c r="F6" i="17"/>
  <c r="G6" i="17" s="1"/>
  <c r="F4" i="16" l="1"/>
  <c r="G4" i="16"/>
  <c r="D2" i="17"/>
  <c r="E2" i="17" s="1"/>
  <c r="D76" i="17"/>
  <c r="D75" i="17"/>
  <c r="D74" i="17"/>
  <c r="D73" i="17"/>
  <c r="D72" i="17"/>
  <c r="D71" i="17"/>
  <c r="D70" i="17"/>
  <c r="D69" i="17"/>
  <c r="C4" i="16"/>
  <c r="E54" i="16"/>
  <c r="D54" i="16"/>
  <c r="F54" i="16" s="1"/>
  <c r="G54" i="16" s="1"/>
  <c r="H54" i="16" s="1"/>
  <c r="E53" i="16"/>
  <c r="D53" i="16"/>
  <c r="E52" i="16"/>
  <c r="D52" i="16"/>
  <c r="E51" i="16"/>
  <c r="D51" i="16"/>
  <c r="E50" i="16"/>
  <c r="D50" i="16"/>
  <c r="F50" i="16" s="1"/>
  <c r="G50" i="16" s="1"/>
  <c r="H50" i="16" s="1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F39" i="16" s="1"/>
  <c r="D39" i="16"/>
  <c r="E38" i="16"/>
  <c r="D38" i="16"/>
  <c r="F38" i="16" s="1"/>
  <c r="G38" i="16" s="1"/>
  <c r="H38" i="16" s="1"/>
  <c r="E37" i="16"/>
  <c r="D37" i="16"/>
  <c r="E36" i="16"/>
  <c r="D36" i="16"/>
  <c r="E35" i="16"/>
  <c r="D35" i="16"/>
  <c r="F35" i="16" s="1"/>
  <c r="G35" i="16" s="1"/>
  <c r="H35" i="16" s="1"/>
  <c r="E34" i="16"/>
  <c r="D34" i="16"/>
  <c r="E33" i="16"/>
  <c r="D33" i="16"/>
  <c r="E32" i="16"/>
  <c r="D32" i="16"/>
  <c r="E31" i="16"/>
  <c r="D31" i="16"/>
  <c r="F31" i="16" s="1"/>
  <c r="E30" i="16"/>
  <c r="D30" i="16"/>
  <c r="E29" i="16"/>
  <c r="D29" i="16"/>
  <c r="F29" i="16" s="1"/>
  <c r="G29" i="16" s="1"/>
  <c r="H29" i="16" s="1"/>
  <c r="E28" i="16"/>
  <c r="D28" i="16"/>
  <c r="E27" i="16"/>
  <c r="D27" i="16"/>
  <c r="F27" i="16" s="1"/>
  <c r="E26" i="16"/>
  <c r="D26" i="16"/>
  <c r="E25" i="16"/>
  <c r="D25" i="16"/>
  <c r="F25" i="16" s="1"/>
  <c r="G25" i="16" s="1"/>
  <c r="H25" i="16" s="1"/>
  <c r="E24" i="16"/>
  <c r="D24" i="16"/>
  <c r="E23" i="16"/>
  <c r="D23" i="16"/>
  <c r="E22" i="16"/>
  <c r="D22" i="16"/>
  <c r="E21" i="16"/>
  <c r="D21" i="16"/>
  <c r="E20" i="16"/>
  <c r="D20" i="16"/>
  <c r="D4" i="17" l="1"/>
  <c r="F4" i="17" s="1"/>
  <c r="D3" i="17"/>
  <c r="E3" i="17" s="1"/>
  <c r="G3" i="17" s="1"/>
  <c r="F22" i="16"/>
  <c r="G22" i="16" s="1"/>
  <c r="H22" i="16" s="1"/>
  <c r="F34" i="16"/>
  <c r="G34" i="16" s="1"/>
  <c r="H34" i="16" s="1"/>
  <c r="F51" i="16"/>
  <c r="G51" i="16" s="1"/>
  <c r="H51" i="16" s="1"/>
  <c r="F3" i="17"/>
  <c r="E4" i="17"/>
  <c r="G4" i="17" s="1"/>
  <c r="F24" i="16"/>
  <c r="F28" i="16"/>
  <c r="G28" i="16" s="1"/>
  <c r="H28" i="16" s="1"/>
  <c r="F40" i="16"/>
  <c r="F44" i="16"/>
  <c r="G44" i="16" s="1"/>
  <c r="H44" i="16" s="1"/>
  <c r="F23" i="16"/>
  <c r="I23" i="16" s="1"/>
  <c r="F41" i="16"/>
  <c r="G41" i="16" s="1"/>
  <c r="H41" i="16" s="1"/>
  <c r="F43" i="16"/>
  <c r="I43" i="16" s="1"/>
  <c r="F45" i="16"/>
  <c r="G45" i="16" s="1"/>
  <c r="H45" i="16" s="1"/>
  <c r="F47" i="16"/>
  <c r="I47" i="16" s="1"/>
  <c r="G27" i="16"/>
  <c r="H27" i="16" s="1"/>
  <c r="I27" i="16"/>
  <c r="G31" i="16"/>
  <c r="H31" i="16" s="1"/>
  <c r="I31" i="16"/>
  <c r="G39" i="16"/>
  <c r="H39" i="16" s="1"/>
  <c r="I39" i="16"/>
  <c r="G23" i="16"/>
  <c r="H23" i="16" s="1"/>
  <c r="G47" i="16"/>
  <c r="H47" i="16" s="1"/>
  <c r="F32" i="16"/>
  <c r="F48" i="16"/>
  <c r="I51" i="16"/>
  <c r="I35" i="16"/>
  <c r="F20" i="16"/>
  <c r="F26" i="16"/>
  <c r="F33" i="16"/>
  <c r="F36" i="16"/>
  <c r="F42" i="16"/>
  <c r="F49" i="16"/>
  <c r="F52" i="16"/>
  <c r="I54" i="16"/>
  <c r="I50" i="16"/>
  <c r="I38" i="16"/>
  <c r="I22" i="16"/>
  <c r="F21" i="16"/>
  <c r="F30" i="16"/>
  <c r="F37" i="16"/>
  <c r="F46" i="16"/>
  <c r="F53" i="16"/>
  <c r="I41" i="16"/>
  <c r="I29" i="16"/>
  <c r="I25" i="16"/>
  <c r="I44" i="16" l="1"/>
  <c r="I34" i="16"/>
  <c r="I45" i="16"/>
  <c r="G43" i="16"/>
  <c r="H43" i="16" s="1"/>
  <c r="G40" i="16"/>
  <c r="H40" i="16" s="1"/>
  <c r="I40" i="16"/>
  <c r="I28" i="16"/>
  <c r="G24" i="16"/>
  <c r="H24" i="16" s="1"/>
  <c r="I24" i="16"/>
  <c r="G37" i="16"/>
  <c r="H37" i="16" s="1"/>
  <c r="I37" i="16"/>
  <c r="G36" i="16"/>
  <c r="H36" i="16" s="1"/>
  <c r="I36" i="16"/>
  <c r="G30" i="16"/>
  <c r="H30" i="16" s="1"/>
  <c r="I30" i="16"/>
  <c r="G52" i="16"/>
  <c r="H52" i="16" s="1"/>
  <c r="I52" i="16"/>
  <c r="G33" i="16"/>
  <c r="H33" i="16" s="1"/>
  <c r="I33" i="16"/>
  <c r="G53" i="16"/>
  <c r="H53" i="16" s="1"/>
  <c r="I53" i="16"/>
  <c r="G21" i="16"/>
  <c r="H21" i="16" s="1"/>
  <c r="I21" i="16"/>
  <c r="G49" i="16"/>
  <c r="H49" i="16" s="1"/>
  <c r="I49" i="16"/>
  <c r="G26" i="16"/>
  <c r="H26" i="16" s="1"/>
  <c r="I26" i="16"/>
  <c r="G48" i="16"/>
  <c r="H48" i="16" s="1"/>
  <c r="I48" i="16"/>
  <c r="G46" i="16"/>
  <c r="H46" i="16" s="1"/>
  <c r="I46" i="16"/>
  <c r="G42" i="16"/>
  <c r="H42" i="16" s="1"/>
  <c r="I42" i="16"/>
  <c r="G20" i="16"/>
  <c r="H20" i="16" s="1"/>
  <c r="I20" i="16"/>
  <c r="G32" i="16"/>
  <c r="H32" i="16" s="1"/>
  <c r="I32" i="16"/>
  <c r="D10" i="17" l="1"/>
  <c r="E5" i="18" l="1"/>
  <c r="D8" i="18"/>
  <c r="C7" i="16" s="1"/>
  <c r="F7" i="16" s="1"/>
  <c r="E3" i="19"/>
  <c r="F3" i="19" s="1"/>
  <c r="E2" i="19"/>
  <c r="F2" i="19" s="1"/>
  <c r="C5" i="18"/>
  <c r="C6" i="18"/>
  <c r="D5" i="18"/>
  <c r="D6" i="18"/>
  <c r="E6" i="18"/>
  <c r="F5" i="18"/>
  <c r="F6" i="18"/>
  <c r="E7" i="16" l="1"/>
  <c r="G7" i="1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D9" i="18"/>
  <c r="D11" i="18" s="1"/>
</calcChain>
</file>

<file path=xl/sharedStrings.xml><?xml version="1.0" encoding="utf-8"?>
<sst xmlns="http://schemas.openxmlformats.org/spreadsheetml/2006/main" count="277" uniqueCount="217">
  <si>
    <t>BAADTbVT BAU Average Annual Dist Traveled by Vehicle Type</t>
  </si>
  <si>
    <t>Source:</t>
  </si>
  <si>
    <t>Vehicle KM Travelled</t>
  </si>
  <si>
    <t>Report on Study of Road Traffic Congestion in Hong Kong (private cars, goods vehicles, motorcycles, buses and light buses, taxis)</t>
  </si>
  <si>
    <t>Transport Advisory Committee</t>
  </si>
  <si>
    <t>https://www.thb.gov.hk/eng/boards/transport/land/Full_Eng_C_cover.pdf</t>
  </si>
  <si>
    <t>Figure 2E, p26</t>
  </si>
  <si>
    <t>Rail Cars</t>
  </si>
  <si>
    <t>Business Overview</t>
  </si>
  <si>
    <t>MTR</t>
  </si>
  <si>
    <t>https://www.mtr.com.hk/archive/corporate/en/publications/images/business_overview_e.pdf</t>
  </si>
  <si>
    <t xml:space="preserve">Rail Distance Travelled </t>
  </si>
  <si>
    <t>Public Transport Statistics</t>
  </si>
  <si>
    <t>Transport Department</t>
  </si>
  <si>
    <t>https://data.gov.hk/en-data/dataset/hk-td-tis_10-monthly-traffic-and-transport-digest/resource/dc327887-480e-48bc-b346-978c24657480</t>
  </si>
  <si>
    <t>StarrFerry Services</t>
  </si>
  <si>
    <t>Operational Information</t>
  </si>
  <si>
    <t>The "Star" Ferry Company Limited</t>
  </si>
  <si>
    <t>http://www.starferry.com.hk/en/operationalInfo</t>
  </si>
  <si>
    <t>Air</t>
  </si>
  <si>
    <t>Cathay Pacific: Annual Report 2017</t>
  </si>
  <si>
    <t>Cathay Pacific</t>
  </si>
  <si>
    <t>https://www.cathaypacific.com/content/dam/cx/about-us/investor-relations/interim-annual-reports/en/2017_annual_report_en.pdf</t>
  </si>
  <si>
    <t>HK Tramways</t>
  </si>
  <si>
    <t>Hong Kong Facts: Transport</t>
  </si>
  <si>
    <t xml:space="preserve">https://www.gov.hk/en/about/abouthk/factsheets/docs/transport.pdf </t>
  </si>
  <si>
    <t>Government Vehicles</t>
  </si>
  <si>
    <t>Fleet Management</t>
  </si>
  <si>
    <t>Government Logistics Department</t>
  </si>
  <si>
    <t>https://www.gld.gov.hk/text/eng/services_3_d.htm</t>
  </si>
  <si>
    <t>Vehicle Inventory</t>
  </si>
  <si>
    <t>Registration and Licensing of Vehicles by Class of Vehicles</t>
  </si>
  <si>
    <t>Transportation Department: The Government of the Hong Kong Special Administrative Region</t>
  </si>
  <si>
    <t>https://www.td.gov.hk/filemanager/en/content_4883/table41a.pdf</t>
  </si>
  <si>
    <t>Table 4.1(a)</t>
  </si>
  <si>
    <t>Ferry Count</t>
  </si>
  <si>
    <t>Hong Kong Licensed Vessels (New Series)</t>
  </si>
  <si>
    <t>n.d.</t>
  </si>
  <si>
    <t>Hong Kong Marine Department</t>
  </si>
  <si>
    <t>https://www.mardep.gov.hk/en/publication/pdf/portstat_2_y_e3.pdf</t>
  </si>
  <si>
    <t>Marine (Government) Fleet</t>
  </si>
  <si>
    <t>The Fleet</t>
  </si>
  <si>
    <t>Hong Kong Police Force</t>
  </si>
  <si>
    <t xml:space="preserve">https://www.police.gov.hk/ppp_en/14_marine/fleet.html </t>
  </si>
  <si>
    <t>Notes:</t>
  </si>
  <si>
    <t>Passenger vehicle calculations exclude government vehicles.</t>
  </si>
  <si>
    <t>HDV calculations include buses and light buses.</t>
  </si>
  <si>
    <t>Rail includes HK Tramways.</t>
  </si>
  <si>
    <t>This is a time-series variable to support countries or regions where average distance</t>
  </si>
  <si>
    <t>traveled per year changes over the model run. We assume values are constant as in the U.S.</t>
  </si>
  <si>
    <t>version of the model.</t>
  </si>
  <si>
    <t>We assume no rail freight.</t>
  </si>
  <si>
    <t>We assume air passenger average annual distance is equal to freight air average distance.</t>
  </si>
  <si>
    <t>Air passenger and freight data is solely based on Cathay Pacific and subsidiaries' information. Data on revenue-miles and fleet summaries from other airlines operating in Hong Kong was unavailable.</t>
  </si>
  <si>
    <t>Passenger ships excludes government launches and unclassified passenger boats.</t>
  </si>
  <si>
    <t>We assume other passenger ferries travel at the same distance per vehicle as Star Ferry and about the same distance as US recreational boats.</t>
  </si>
  <si>
    <t>Conversion</t>
  </si>
  <si>
    <t>1km=0.621371m</t>
  </si>
  <si>
    <t>Taxis represented as motorcycles in freight</t>
  </si>
  <si>
    <t>Vessel</t>
  </si>
  <si>
    <t>Number</t>
  </si>
  <si>
    <t>Type (G, I, C)</t>
  </si>
  <si>
    <t>Ferry Vessel</t>
  </si>
  <si>
    <t>IP</t>
  </si>
  <si>
    <t>Launch</t>
  </si>
  <si>
    <t>Multi-purpose Vessel</t>
  </si>
  <si>
    <t>IF</t>
  </si>
  <si>
    <t>Tug</t>
  </si>
  <si>
    <t>Dangerous Goods Carrier</t>
  </si>
  <si>
    <t>Dredger</t>
  </si>
  <si>
    <t>Dry Cargo Vessel</t>
  </si>
  <si>
    <t>Edible Oil Carrier</t>
  </si>
  <si>
    <t>Noxious Liquid Substance Carrier</t>
  </si>
  <si>
    <t>Oil Carrier</t>
  </si>
  <si>
    <t>Pilot Boat</t>
  </si>
  <si>
    <t>Special Purpose Vessel</t>
  </si>
  <si>
    <t>Transportation Boat</t>
  </si>
  <si>
    <t>Transportation Sampan</t>
  </si>
  <si>
    <t>Water Boat</t>
  </si>
  <si>
    <t>Work Boat</t>
  </si>
  <si>
    <t>Fish Carrier</t>
  </si>
  <si>
    <t>Fishing Vessel</t>
  </si>
  <si>
    <t>Auxiliary Powered Yacht</t>
  </si>
  <si>
    <t>CP</t>
  </si>
  <si>
    <t>Cruiser</t>
  </si>
  <si>
    <t>Open Cruiser</t>
  </si>
  <si>
    <t>Governmnet Launch</t>
  </si>
  <si>
    <t>GP</t>
  </si>
  <si>
    <t>Total</t>
  </si>
  <si>
    <t>**113 government marine</t>
  </si>
  <si>
    <t>Passenger Ships</t>
  </si>
  <si>
    <t>Freight Ships</t>
  </si>
  <si>
    <t>Consumer Passenger</t>
  </si>
  <si>
    <t>Industry Passenger</t>
  </si>
  <si>
    <t>Government Passenger</t>
  </si>
  <si>
    <t>Vehicle Type</t>
  </si>
  <si>
    <t>licensed</t>
  </si>
  <si>
    <t>private cars</t>
  </si>
  <si>
    <t>taxis</t>
  </si>
  <si>
    <t>public buses</t>
  </si>
  <si>
    <t>private buses</t>
  </si>
  <si>
    <t>public light buses</t>
  </si>
  <si>
    <t>private light bus</t>
  </si>
  <si>
    <t>motorcycles</t>
  </si>
  <si>
    <t>light goods</t>
  </si>
  <si>
    <t>goods vehicles</t>
  </si>
  <si>
    <t>special purpose vehicles</t>
  </si>
  <si>
    <t>govt cars</t>
  </si>
  <si>
    <t>Source</t>
  </si>
  <si>
    <t>Notes</t>
  </si>
  <si>
    <t>distance per vehicle type per year-2013 figures</t>
  </si>
  <si>
    <t>licensed vehicle numbers-2017 figures</t>
  </si>
  <si>
    <t>Line</t>
  </si>
  <si>
    <t>Kwun Tong, Tsuen Wan, Island, Tung Chung, Tseung Kwan O, Disneyland Resort, East Rail, Ma On Shan, West Rail and South Island lines</t>
  </si>
  <si>
    <t>Airport Line</t>
  </si>
  <si>
    <t>Light Rail</t>
  </si>
  <si>
    <t>Tramways</t>
  </si>
  <si>
    <t>Number of Train Cars</t>
  </si>
  <si>
    <t>Distance Travelled (km '000 in a month)</t>
  </si>
  <si>
    <t>Miles</t>
  </si>
  <si>
    <t>Distance in vehicle miles/year</t>
  </si>
  <si>
    <t>Distance per vehicle</t>
  </si>
  <si>
    <t>Vehicles (8cars per vehicle)</t>
  </si>
  <si>
    <t>Miles travelled</t>
  </si>
  <si>
    <t>avg (incl. tramways)</t>
  </si>
  <si>
    <t>Type</t>
  </si>
  <si>
    <t>Year</t>
  </si>
  <si>
    <t>Licensed</t>
  </si>
  <si>
    <t>Vehicle travel km</t>
  </si>
  <si>
    <t>Km per vehicle per annum</t>
  </si>
  <si>
    <t>Miles per vehicle per annum</t>
  </si>
  <si>
    <t>Private Cars-LDVs</t>
  </si>
  <si>
    <t>Taxis-LDVs</t>
  </si>
  <si>
    <t>PHDVs (Buses and Light Buses)</t>
  </si>
  <si>
    <t>Motorcycles</t>
  </si>
  <si>
    <t>Rail (includes HK Tramways)</t>
  </si>
  <si>
    <t>Recreational boats</t>
  </si>
  <si>
    <t>All Ferries</t>
  </si>
  <si>
    <t>LDVs</t>
  </si>
  <si>
    <t>HDVs (Goods Vehicles and Special Purpose Vehicles)</t>
  </si>
  <si>
    <t>Air Freighters</t>
  </si>
  <si>
    <t>Ships</t>
  </si>
  <si>
    <t>KM Flown</t>
  </si>
  <si>
    <t xml:space="preserve">Fleet </t>
  </si>
  <si>
    <t>Average seat (or tonne) km/vehicle</t>
  </si>
  <si>
    <t>Average mile/vehicle</t>
  </si>
  <si>
    <t>Air passenger</t>
  </si>
  <si>
    <t>*20 cargo freighters, 174 passenger crafts</t>
  </si>
  <si>
    <t>Note: Since all air travel for HK is int'l, we omit it for now</t>
  </si>
  <si>
    <t>HDVs</t>
  </si>
  <si>
    <t>aircraft</t>
  </si>
  <si>
    <t>rail</t>
  </si>
  <si>
    <t>ships</t>
  </si>
  <si>
    <t>motorbikes</t>
  </si>
  <si>
    <t>Usual Residents ^1</t>
  </si>
  <si>
    <t>IN(Usual Residents)</t>
  </si>
  <si>
    <t>Fleet Size</t>
  </si>
  <si>
    <t>VKM</t>
  </si>
  <si>
    <t>Vehicle KM per vehicle</t>
  </si>
  <si>
    <t>Miles per vehicle</t>
  </si>
  <si>
    <t>Period</t>
  </si>
  <si>
    <t>Fleet Size^2</t>
  </si>
  <si>
    <t xml:space="preserve">Appendix A Hong Kong Resident Population under baseline population projections, high population projections and low population projections </t>
  </si>
  <si>
    <t>https://www.statistics.gov.hk/pub/B1120015072017XXXXB0100.pdf</t>
  </si>
  <si>
    <t>EPD EmfacHKV41</t>
  </si>
  <si>
    <t>Private vehicles projections by Lawrence</t>
  </si>
  <si>
    <t>Passenger LDV total</t>
  </si>
  <si>
    <t>Scaling Factor to 2013</t>
  </si>
  <si>
    <t>Scaling Factors to 2013 data:</t>
  </si>
  <si>
    <t>Lawrence's projections:</t>
  </si>
  <si>
    <t>Container Throughput*
(‘000 TEUs)</t>
  </si>
  <si>
    <t>1/GDP</t>
  </si>
  <si>
    <t xml:space="preserve">Vkm (million
km) </t>
  </si>
  <si>
    <t>Container Throughput* Increase Rate^1</t>
  </si>
  <si>
    <t>HKPC Projection Vkm (million
km)</t>
  </si>
  <si>
    <t>GDP in Chain (2005)
Dollars (HK$ million)</t>
  </si>
  <si>
    <t>Vehicle Miles per vehicle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</si>
  <si>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</si>
  <si>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</si>
  <si>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</si>
  <si>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</si>
  <si>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</si>
  <si>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</si>
  <si>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</si>
  <si>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</si>
  <si>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</si>
  <si>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</si>
  <si>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</si>
  <si>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</si>
  <si>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</si>
  <si>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</si>
  <si>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</si>
  <si>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</si>
  <si>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</si>
  <si>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</si>
  <si>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</si>
  <si>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</si>
  <si>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</si>
  <si>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</si>
  <si>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</si>
  <si>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Findings of Study on the Strategic Development Plan for HK Port 2030</t>
  </si>
  <si>
    <t>https://www.info.gov.hk/gia/general/201412/01/P201412010731.htm</t>
  </si>
  <si>
    <t>Projection based on EmfacHKV41</t>
  </si>
  <si>
    <t>Goods vehicle total</t>
  </si>
  <si>
    <t>1 dangerous goods ferry travels 18 trips, each trip 12km, for 365 days</t>
  </si>
  <si>
    <t>Public Sector Operator</t>
  </si>
  <si>
    <t>Operating Statistics by Public Sector Operators</t>
  </si>
  <si>
    <t>https://www.td.gov.hk/filemanager/en/content_4893/table22.pdf</t>
  </si>
  <si>
    <t>Table 2.2</t>
  </si>
  <si>
    <t>75 ( Star, World, etc)</t>
  </si>
  <si>
    <t>assume same as star ferry</t>
  </si>
  <si>
    <t>Licensed (2017 numbers)</t>
  </si>
  <si>
    <t>Star Ferries</t>
  </si>
  <si>
    <t>Vehicle travel km (from Road Traffic Congestion Report for LDVs, HDVs and motorcycles)</t>
  </si>
  <si>
    <t>Operating Transport Sector Report</t>
  </si>
  <si>
    <t>km/year (2013 numbers)</t>
  </si>
  <si>
    <t>LDVs (Goods vehicles)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</si>
</sst>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_-* #,##0_-;\-* #,##0_-;_-* &quot;-&quot;??_-;_-@_-"/>
    <numFmt numFmtId="167" formatCode="_-* #,##0.00_-;\-* #,##0.00_-;_-* &quot;-&quot;??_-;_-@_-"/>
    <numFmt numFmtId="168" formatCode="0.0%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0" borderId="3" applyNumberFormat="0" applyFont="0" applyProtection="0">
      <alignment wrapText="1"/>
    </xf>
    <xf numFmtId="0" fontId="10" fillId="0" borderId="3" applyNumberFormat="0" applyFont="0" applyProtection="0">
      <alignment wrapText="1"/>
    </xf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>
      <alignment horizontal="center" vertical="center" wrapText="1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" fillId="0" borderId="0">
      <alignment horizontal="left" vertical="center" wrapText="1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15" fillId="0" borderId="6" applyNumberFormat="0" applyFill="0">
      <alignment horizontal="right"/>
    </xf>
    <xf numFmtId="164" fontId="16" fillId="0" borderId="6" applyNumberFormat="0" applyFill="0">
      <alignment horizontal="right"/>
    </xf>
    <xf numFmtId="165" fontId="17" fillId="0" borderId="6">
      <alignment horizontal="right" vertical="center"/>
    </xf>
    <xf numFmtId="49" fontId="18" fillId="0" borderId="6">
      <alignment horizontal="left" vertical="center"/>
    </xf>
    <xf numFmtId="164" fontId="15" fillId="0" borderId="6" applyNumberFormat="0" applyFill="0">
      <alignment horizontal="right"/>
    </xf>
    <xf numFmtId="0" fontId="1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7" applyNumberFormat="0" applyProtection="0">
      <alignment wrapText="1"/>
    </xf>
    <xf numFmtId="0" fontId="10" fillId="0" borderId="7" applyNumberFormat="0" applyProtection="0">
      <alignment wrapText="1"/>
    </xf>
    <xf numFmtId="0" fontId="20" fillId="6" borderId="0" applyNumberFormat="0" applyBorder="0" applyAlignment="0" applyProtection="0"/>
    <xf numFmtId="0" fontId="21" fillId="0" borderId="8" applyNumberFormat="0" applyProtection="0">
      <alignment wrapText="1"/>
    </xf>
    <xf numFmtId="0" fontId="21" fillId="0" borderId="8" applyNumberFormat="0" applyProtection="0">
      <alignment wrapText="1"/>
    </xf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>
      <alignment horizontal="left"/>
    </xf>
    <xf numFmtId="0" fontId="26" fillId="0" borderId="6">
      <alignment horizontal="left"/>
    </xf>
    <xf numFmtId="0" fontId="27" fillId="0" borderId="12">
      <alignment horizontal="right" vertical="center"/>
    </xf>
    <xf numFmtId="0" fontId="28" fillId="0" borderId="6">
      <alignment horizontal="left" vertical="center"/>
    </xf>
    <xf numFmtId="0" fontId="15" fillId="0" borderId="6">
      <alignment horizontal="left" vertical="center"/>
    </xf>
    <xf numFmtId="0" fontId="25" fillId="0" borderId="6">
      <alignment horizontal="left"/>
    </xf>
    <xf numFmtId="0" fontId="25" fillId="24" borderId="0">
      <alignment horizontal="centerContinuous" wrapText="1"/>
    </xf>
    <xf numFmtId="49" fontId="25" fillId="24" borderId="1">
      <alignment horizontal="left" vertical="center"/>
    </xf>
    <xf numFmtId="0" fontId="25" fillId="24" borderId="0">
      <alignment horizontal="centerContinuous" vertical="center" wrapText="1"/>
    </xf>
    <xf numFmtId="0" fontId="29" fillId="0" borderId="0" applyNumberFormat="0" applyFill="0" applyBorder="0" applyAlignment="0" applyProtection="0">
      <alignment vertical="top"/>
      <protection locked="0"/>
    </xf>
    <xf numFmtId="0" fontId="30" fillId="9" borderId="4" applyNumberFormat="0" applyAlignment="0" applyProtection="0"/>
    <xf numFmtId="0" fontId="31" fillId="0" borderId="13" applyNumberFormat="0" applyFill="0" applyAlignment="0" applyProtection="0"/>
    <xf numFmtId="0" fontId="32" fillId="25" borderId="0" applyNumberFormat="0" applyBorder="0" applyAlignment="0" applyProtection="0"/>
    <xf numFmtId="0" fontId="6" fillId="0" borderId="0"/>
    <xf numFmtId="0" fontId="6" fillId="0" borderId="0"/>
    <xf numFmtId="0" fontId="4" fillId="0" borderId="0"/>
    <xf numFmtId="0" fontId="33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3" borderId="2" applyNumberFormat="0" applyFont="0" applyAlignment="0" applyProtection="0"/>
    <xf numFmtId="0" fontId="4" fillId="26" borderId="14" applyNumberFormat="0" applyFont="0" applyAlignment="0" applyProtection="0"/>
    <xf numFmtId="0" fontId="34" fillId="22" borderId="15" applyNumberFormat="0" applyAlignment="0" applyProtection="0"/>
    <xf numFmtId="0" fontId="21" fillId="0" borderId="16" applyNumberFormat="0" applyProtection="0">
      <alignment wrapText="1"/>
    </xf>
    <xf numFmtId="0" fontId="21" fillId="0" borderId="16" applyNumberFormat="0" applyProtection="0">
      <alignment wrapText="1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3" fontId="17" fillId="0" borderId="0">
      <alignment horizontal="left" vertical="center"/>
    </xf>
    <xf numFmtId="0" fontId="13" fillId="0" borderId="0">
      <alignment horizontal="left" vertical="center"/>
    </xf>
    <xf numFmtId="0" fontId="35" fillId="0" borderId="0">
      <alignment horizontal="right"/>
    </xf>
    <xf numFmtId="49" fontId="35" fillId="0" borderId="0">
      <alignment horizontal="center"/>
    </xf>
    <xf numFmtId="0" fontId="18" fillId="0" borderId="0">
      <alignment horizontal="right"/>
    </xf>
    <xf numFmtId="0" fontId="36" fillId="0" borderId="0">
      <alignment horizontal="right"/>
    </xf>
    <xf numFmtId="0" fontId="35" fillId="0" borderId="0">
      <alignment horizontal="left"/>
    </xf>
    <xf numFmtId="0" fontId="37" fillId="0" borderId="0">
      <alignment horizontal="left"/>
    </xf>
    <xf numFmtId="49" fontId="17" fillId="0" borderId="0">
      <alignment horizontal="left" vertical="center"/>
    </xf>
    <xf numFmtId="49" fontId="18" fillId="0" borderId="6">
      <alignment horizontal="left"/>
    </xf>
    <xf numFmtId="164" fontId="17" fillId="0" borderId="0" applyNumberFormat="0">
      <alignment horizontal="right"/>
    </xf>
    <xf numFmtId="0" fontId="27" fillId="27" borderId="0">
      <alignment horizontal="centerContinuous" vertical="center" wrapText="1"/>
    </xf>
    <xf numFmtId="0" fontId="27" fillId="0" borderId="17">
      <alignment horizontal="left" vertical="center"/>
    </xf>
    <xf numFmtId="0" fontId="38" fillId="0" borderId="0" applyNumberFormat="0" applyProtection="0">
      <alignment horizontal="left"/>
    </xf>
    <xf numFmtId="0" fontId="38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5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40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7" fillId="0" borderId="6">
      <alignment horizontal="left"/>
    </xf>
    <xf numFmtId="0" fontId="27" fillId="0" borderId="12">
      <alignment horizontal="left"/>
    </xf>
    <xf numFmtId="0" fontId="25" fillId="0" borderId="0">
      <alignment horizontal="left" vertical="center"/>
    </xf>
    <xf numFmtId="49" fontId="35" fillId="0" borderId="6">
      <alignment horizontal="left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0" fillId="0" borderId="0" xfId="0" applyAlignment="1">
      <alignment horizontal="left" indent="2"/>
    </xf>
    <xf numFmtId="3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right"/>
    </xf>
    <xf numFmtId="0" fontId="1" fillId="28" borderId="19" xfId="0" applyFont="1" applyFill="1" applyBorder="1" applyAlignment="1">
      <alignment vertical="center"/>
    </xf>
    <xf numFmtId="0" fontId="44" fillId="0" borderId="0" xfId="1" applyFont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1" applyFill="1"/>
    <xf numFmtId="0" fontId="0" fillId="0" borderId="0" xfId="0" applyFill="1" applyAlignment="1">
      <alignment horizontal="left" indent="2"/>
    </xf>
    <xf numFmtId="0" fontId="43" fillId="0" borderId="0" xfId="0" applyFont="1" applyFill="1" applyAlignment="1">
      <alignment horizontal="left"/>
    </xf>
    <xf numFmtId="0" fontId="0" fillId="0" borderId="0" xfId="0" applyFont="1" applyFill="1"/>
    <xf numFmtId="0" fontId="2" fillId="0" borderId="0" xfId="1" applyAlignment="1">
      <alignment horizontal="left"/>
    </xf>
    <xf numFmtId="0" fontId="1" fillId="28" borderId="19" xfId="0" applyFont="1" applyFill="1" applyBorder="1" applyAlignment="1">
      <alignment horizontal="right" vertical="center" wrapText="1"/>
    </xf>
    <xf numFmtId="0" fontId="1" fillId="28" borderId="19" xfId="0" applyFont="1" applyFill="1" applyBorder="1" applyAlignment="1">
      <alignment horizontal="right" vertical="center"/>
    </xf>
    <xf numFmtId="0" fontId="0" fillId="29" borderId="0" xfId="0" applyFill="1"/>
    <xf numFmtId="0" fontId="0" fillId="29" borderId="19" xfId="0" applyFill="1" applyBorder="1"/>
    <xf numFmtId="0" fontId="3" fillId="29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0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0" fillId="0" borderId="0" xfId="0" applyFill="1" applyAlignment="1"/>
    <xf numFmtId="2" fontId="0" fillId="0" borderId="0" xfId="0" applyNumberFormat="1" applyFill="1"/>
    <xf numFmtId="0" fontId="1" fillId="28" borderId="21" xfId="0" applyFont="1" applyFill="1" applyBorder="1" applyAlignment="1">
      <alignment vertical="center"/>
    </xf>
    <xf numFmtId="0" fontId="0" fillId="0" borderId="22" xfId="0" applyBorder="1"/>
    <xf numFmtId="0" fontId="0" fillId="0" borderId="0" xfId="0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45" fillId="30" borderId="30" xfId="0" applyFont="1" applyFill="1" applyBorder="1" applyAlignment="1">
      <alignment vertical="center" wrapText="1"/>
    </xf>
    <xf numFmtId="0" fontId="45" fillId="30" borderId="31" xfId="0" applyFont="1" applyFill="1" applyBorder="1" applyAlignment="1">
      <alignment horizontal="right" vertical="center" wrapText="1"/>
    </xf>
    <xf numFmtId="0" fontId="45" fillId="30" borderId="32" xfId="0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5" fillId="30" borderId="3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6" fillId="30" borderId="33" xfId="0" applyFont="1" applyFill="1" applyBorder="1" applyAlignment="1">
      <alignment vertical="center" wrapText="1"/>
    </xf>
    <xf numFmtId="0" fontId="47" fillId="31" borderId="0" xfId="0" applyFont="1" applyFill="1"/>
    <xf numFmtId="0" fontId="0" fillId="0" borderId="0" xfId="0" applyAlignment="1">
      <alignment wrapText="1"/>
    </xf>
    <xf numFmtId="0" fontId="0" fillId="0" borderId="0" xfId="0" quotePrefix="1"/>
    <xf numFmtId="166" fontId="0" fillId="0" borderId="0" xfId="0" applyNumberFormat="1"/>
    <xf numFmtId="166" fontId="0" fillId="0" borderId="0" xfId="154" applyNumberFormat="1" applyFont="1"/>
    <xf numFmtId="9" fontId="0" fillId="0" borderId="0" xfId="155" applyFont="1" applyAlignment="1">
      <alignment wrapText="1"/>
    </xf>
    <xf numFmtId="167" fontId="0" fillId="0" borderId="0" xfId="0" applyNumberFormat="1"/>
    <xf numFmtId="9" fontId="0" fillId="0" borderId="0" xfId="155" applyFont="1"/>
    <xf numFmtId="0" fontId="43" fillId="0" borderId="35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36" xfId="0" applyFill="1" applyBorder="1" applyAlignment="1"/>
    <xf numFmtId="0" fontId="43" fillId="0" borderId="35" xfId="0" applyFont="1" applyFill="1" applyBorder="1" applyAlignment="1">
      <alignment horizontal="center"/>
    </xf>
    <xf numFmtId="168" fontId="0" fillId="0" borderId="0" xfId="155" applyNumberFormat="1" applyFo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32" borderId="25" xfId="0" applyFill="1" applyBorder="1" applyAlignment="1">
      <alignment vertical="center" wrapText="1"/>
    </xf>
    <xf numFmtId="0" fontId="0" fillId="32" borderId="28" xfId="0" applyFill="1" applyBorder="1" applyAlignment="1">
      <alignment vertical="center" wrapText="1"/>
    </xf>
    <xf numFmtId="0" fontId="0" fillId="32" borderId="28" xfId="0" applyFill="1" applyBorder="1" applyAlignment="1">
      <alignment horizontal="right" vertical="center" wrapText="1"/>
    </xf>
    <xf numFmtId="0" fontId="0" fillId="32" borderId="28" xfId="0" applyFill="1" applyBorder="1" applyAlignment="1">
      <alignment wrapText="1"/>
    </xf>
    <xf numFmtId="0" fontId="45" fillId="30" borderId="34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28" xfId="0" applyFill="1" applyBorder="1" applyAlignment="1">
      <alignment horizontal="right" vertical="center" wrapText="1"/>
    </xf>
    <xf numFmtId="1" fontId="0" fillId="0" borderId="28" xfId="0" applyNumberFormat="1" applyBorder="1" applyAlignment="1">
      <alignment vertical="center" wrapText="1"/>
    </xf>
    <xf numFmtId="3" fontId="0" fillId="0" borderId="28" xfId="0" applyNumberFormat="1" applyBorder="1" applyAlignment="1">
      <alignment vertical="center" wrapText="1"/>
    </xf>
    <xf numFmtId="3" fontId="0" fillId="0" borderId="25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156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2000000}"/>
    <cellStyle name="Hed Top - SECTION" xfId="70" xr:uid="{00000000-0005-0000-0000-000043000000}"/>
    <cellStyle name="Hed Top_3-new4" xfId="71" xr:uid="{00000000-0005-0000-0000-000044000000}"/>
    <cellStyle name="Hyperlink" xfId="1" builtinId="8"/>
    <cellStyle name="Hyperlink 2" xfId="72" xr:uid="{00000000-0005-0000-0000-000046000000}"/>
    <cellStyle name="Input 2" xfId="73" xr:uid="{00000000-0005-0000-0000-000047000000}"/>
    <cellStyle name="Linked Cell 2" xfId="74" xr:uid="{00000000-0005-0000-0000-000048000000}"/>
    <cellStyle name="Neutral 2" xfId="75" xr:uid="{00000000-0005-0000-0000-000049000000}"/>
    <cellStyle name="Normal" xfId="0" builtinId="0"/>
    <cellStyle name="Normal 10" xfId="76" xr:uid="{00000000-0005-0000-0000-00004B000000}"/>
    <cellStyle name="Normal 11" xfId="77" xr:uid="{00000000-0005-0000-0000-00004C000000}"/>
    <cellStyle name="Normal 2" xfId="2" xr:uid="{00000000-0005-0000-0000-00004D000000}"/>
    <cellStyle name="Normal 2 2" xfId="78" xr:uid="{00000000-0005-0000-0000-00004E000000}"/>
    <cellStyle name="Normal 2 3" xfId="79" xr:uid="{00000000-0005-0000-0000-00004F000000}"/>
    <cellStyle name="Normal 3" xfId="3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" xfId="155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139" xr:uid="{00000000-0005-0000-0000-00008C000000}"/>
    <cellStyle name="Table title 2" xfId="140" xr:uid="{00000000-0005-0000-0000-00008D000000}"/>
    <cellStyle name="Title 2" xfId="141" xr:uid="{00000000-0005-0000-0000-00008E000000}"/>
    <cellStyle name="Title Text" xfId="142" xr:uid="{00000000-0005-0000-0000-00008F000000}"/>
    <cellStyle name="Title Text 1" xfId="143" xr:uid="{00000000-0005-0000-0000-000090000000}"/>
    <cellStyle name="Title Text 2" xfId="144" xr:uid="{00000000-0005-0000-0000-000091000000}"/>
    <cellStyle name="Title-1" xfId="145" xr:uid="{00000000-0005-0000-0000-000092000000}"/>
    <cellStyle name="Title-2" xfId="146" xr:uid="{00000000-0005-0000-0000-000093000000}"/>
    <cellStyle name="Title-3" xfId="147" xr:uid="{00000000-0005-0000-0000-000094000000}"/>
    <cellStyle name="Total 2" xfId="148" xr:uid="{00000000-0005-0000-0000-000095000000}"/>
    <cellStyle name="Warning Text 2" xfId="149" xr:uid="{00000000-0005-0000-0000-000096000000}"/>
    <cellStyle name="Wrap" xfId="150" xr:uid="{00000000-0005-0000-0000-000097000000}"/>
    <cellStyle name="Wrap Bold" xfId="151" xr:uid="{00000000-0005-0000-0000-000098000000}"/>
    <cellStyle name="Wrap Title" xfId="152" xr:uid="{00000000-0005-0000-0000-000099000000}"/>
    <cellStyle name="Wrap_NTS99-~11" xfId="153" xr:uid="{00000000-0005-0000-0000-00009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Fleet projection (PV)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54995625546806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[2]PV!$J$6:$J$11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</c:numCache>
            </c:numRef>
          </c:xVal>
          <c:yVal>
            <c:numRef>
              <c:f>[2]PV!$L$6:$L$11</c:f>
              <c:numCache>
                <c:formatCode>General</c:formatCode>
                <c:ptCount val="6"/>
                <c:pt idx="0">
                  <c:v>530909</c:v>
                </c:pt>
                <c:pt idx="1">
                  <c:v>608435.10100000002</c:v>
                </c:pt>
                <c:pt idx="2">
                  <c:v>671016.90100000007</c:v>
                </c:pt>
                <c:pt idx="3">
                  <c:v>732926.40100000007</c:v>
                </c:pt>
                <c:pt idx="4">
                  <c:v>769948.30200000003</c:v>
                </c:pt>
                <c:pt idx="5">
                  <c:v>800920.902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3-497F-A5F2-F654FBAD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6544"/>
        <c:axId val="691703056"/>
      </c:scatterChart>
      <c:valAx>
        <c:axId val="5496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03056"/>
        <c:crosses val="autoZero"/>
        <c:crossBetween val="midCat"/>
      </c:valAx>
      <c:valAx>
        <c:axId val="6917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 Fleet Size </a:t>
            </a:r>
            <a:r>
              <a:rPr lang="en-HK" sz="1400" b="0" i="0" u="none" strike="noStrike" baseline="0"/>
              <a:t> 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"/>
            <c:dispRSqr val="1"/>
            <c:dispEq val="1"/>
            <c:trendlineLbl>
              <c:layout>
                <c:manualLayout>
                  <c:x val="-0.22671041119860016"/>
                  <c:y val="-2.6503718285214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'[2]Goods Vehicles'!$A$16:$A$40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</c:numCache>
            </c:numRef>
          </c:xVal>
          <c:yVal>
            <c:numRef>
              <c:f>'[2]Goods Vehicles'!$E$16:$E$40</c:f>
              <c:numCache>
                <c:formatCode>General</c:formatCode>
                <c:ptCount val="25"/>
                <c:pt idx="0">
                  <c:v>112352</c:v>
                </c:pt>
                <c:pt idx="1">
                  <c:v>113200</c:v>
                </c:pt>
                <c:pt idx="2">
                  <c:v>114525.98</c:v>
                </c:pt>
                <c:pt idx="3">
                  <c:v>115193.4</c:v>
                </c:pt>
                <c:pt idx="4">
                  <c:v>115860.82</c:v>
                </c:pt>
                <c:pt idx="5">
                  <c:v>117290.7862</c:v>
                </c:pt>
                <c:pt idx="6">
                  <c:v>117195.66</c:v>
                </c:pt>
                <c:pt idx="7">
                  <c:v>117863.08</c:v>
                </c:pt>
                <c:pt idx="8">
                  <c:v>118530.5</c:v>
                </c:pt>
                <c:pt idx="9">
                  <c:v>119197.92</c:v>
                </c:pt>
                <c:pt idx="10">
                  <c:v>120252.54514</c:v>
                </c:pt>
                <c:pt idx="11">
                  <c:v>120532.76</c:v>
                </c:pt>
                <c:pt idx="12">
                  <c:v>121200.18</c:v>
                </c:pt>
                <c:pt idx="13">
                  <c:v>121867.6</c:v>
                </c:pt>
                <c:pt idx="14">
                  <c:v>122535.02</c:v>
                </c:pt>
                <c:pt idx="15">
                  <c:v>123289.06348</c:v>
                </c:pt>
                <c:pt idx="16">
                  <c:v>123869.86</c:v>
                </c:pt>
                <c:pt idx="17">
                  <c:v>124537.28</c:v>
                </c:pt>
                <c:pt idx="18">
                  <c:v>125204.7</c:v>
                </c:pt>
                <c:pt idx="19">
                  <c:v>125872.12</c:v>
                </c:pt>
                <c:pt idx="20">
                  <c:v>126402.25665000001</c:v>
                </c:pt>
                <c:pt idx="21">
                  <c:v>127206.95999999999</c:v>
                </c:pt>
                <c:pt idx="22">
                  <c:v>127874.38</c:v>
                </c:pt>
                <c:pt idx="23">
                  <c:v>128541.8</c:v>
                </c:pt>
                <c:pt idx="24">
                  <c:v>128949.31996000001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1-402E-9B12-9B6A5DDC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24304"/>
        <c:axId val="797126272"/>
      </c:scatterChart>
      <c:valAx>
        <c:axId val="7971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26272"/>
        <c:crosses val="autoZero"/>
        <c:crossBetween val="midCat"/>
      </c:valAx>
      <c:valAx>
        <c:axId val="7971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29</xdr:row>
      <xdr:rowOff>176212</xdr:rowOff>
    </xdr:from>
    <xdr:to>
      <xdr:col>19</xdr:col>
      <xdr:colOff>90487</xdr:colOff>
      <xdr:row>44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EA967-4ED5-43AE-B9B2-57A0CCD6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279021</xdr:colOff>
      <xdr:row>12</xdr:row>
      <xdr:rowOff>174970</xdr:rowOff>
    </xdr:from>
    <xdr:to>
      <xdr:col>30</xdr:col>
      <xdr:colOff>204478</xdr:colOff>
      <xdr:row>26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7F536-C926-4BA5-8259-7217F1BD2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sites/traccity/Shared%20Documents/HK%202050%20is%20now/InputData%20FOR%20HONG%20KONG/Data%20sources/Transport/Travel%20Dist%20Proj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"/>
      <sheetName val="Sheet4"/>
      <sheetName val="Goods Vehicles"/>
      <sheetName val="Sheet20"/>
      <sheetName val="Sheet3"/>
    </sheetNames>
    <sheetDataSet>
      <sheetData sheetId="0">
        <row r="6">
          <cell r="J6">
            <v>1</v>
          </cell>
          <cell r="L6">
            <v>530909</v>
          </cell>
        </row>
        <row r="7">
          <cell r="J7">
            <v>6</v>
          </cell>
          <cell r="L7">
            <v>608435.10100000002</v>
          </cell>
        </row>
        <row r="8">
          <cell r="J8">
            <v>11</v>
          </cell>
          <cell r="L8">
            <v>671016.90100000007</v>
          </cell>
        </row>
        <row r="9">
          <cell r="J9">
            <v>16</v>
          </cell>
          <cell r="L9">
            <v>732926.40100000007</v>
          </cell>
        </row>
        <row r="10">
          <cell r="J10">
            <v>21</v>
          </cell>
          <cell r="L10">
            <v>769948.30200000003</v>
          </cell>
        </row>
        <row r="11">
          <cell r="J11">
            <v>25</v>
          </cell>
          <cell r="L11">
            <v>800920.902</v>
          </cell>
        </row>
      </sheetData>
      <sheetData sheetId="1"/>
      <sheetData sheetId="2">
        <row r="16">
          <cell r="A16">
            <v>17</v>
          </cell>
          <cell r="E16">
            <v>112352</v>
          </cell>
        </row>
        <row r="17">
          <cell r="A17">
            <v>18</v>
          </cell>
          <cell r="E17">
            <v>113200</v>
          </cell>
        </row>
        <row r="18">
          <cell r="A18">
            <v>19</v>
          </cell>
          <cell r="E18">
            <v>114525.98</v>
          </cell>
        </row>
        <row r="19">
          <cell r="A19">
            <v>20</v>
          </cell>
          <cell r="E19">
            <v>115193.4</v>
          </cell>
        </row>
        <row r="20">
          <cell r="A20">
            <v>21</v>
          </cell>
          <cell r="E20">
            <v>115860.82</v>
          </cell>
        </row>
        <row r="21">
          <cell r="A21">
            <v>22</v>
          </cell>
          <cell r="E21">
            <v>117290.7862</v>
          </cell>
        </row>
        <row r="22">
          <cell r="A22">
            <v>23</v>
          </cell>
          <cell r="E22">
            <v>117195.66</v>
          </cell>
        </row>
        <row r="23">
          <cell r="A23">
            <v>24</v>
          </cell>
          <cell r="E23">
            <v>117863.08</v>
          </cell>
        </row>
        <row r="24">
          <cell r="A24">
            <v>25</v>
          </cell>
          <cell r="E24">
            <v>118530.5</v>
          </cell>
        </row>
        <row r="25">
          <cell r="A25">
            <v>26</v>
          </cell>
          <cell r="E25">
            <v>119197.92</v>
          </cell>
        </row>
        <row r="26">
          <cell r="A26">
            <v>27</v>
          </cell>
          <cell r="E26">
            <v>120252.54514</v>
          </cell>
        </row>
        <row r="27">
          <cell r="A27">
            <v>28</v>
          </cell>
          <cell r="E27">
            <v>120532.76</v>
          </cell>
        </row>
        <row r="28">
          <cell r="A28">
            <v>29</v>
          </cell>
          <cell r="E28">
            <v>121200.18</v>
          </cell>
        </row>
        <row r="29">
          <cell r="A29">
            <v>30</v>
          </cell>
          <cell r="E29">
            <v>121867.6</v>
          </cell>
        </row>
        <row r="30">
          <cell r="A30">
            <v>31</v>
          </cell>
          <cell r="E30">
            <v>122535.02</v>
          </cell>
        </row>
        <row r="31">
          <cell r="A31">
            <v>32</v>
          </cell>
          <cell r="E31">
            <v>123289.06348</v>
          </cell>
        </row>
        <row r="32">
          <cell r="A32">
            <v>33</v>
          </cell>
          <cell r="E32">
            <v>123869.86</v>
          </cell>
        </row>
        <row r="33">
          <cell r="A33">
            <v>34</v>
          </cell>
          <cell r="E33">
            <v>124537.28</v>
          </cell>
        </row>
        <row r="34">
          <cell r="A34">
            <v>35</v>
          </cell>
          <cell r="E34">
            <v>125204.7</v>
          </cell>
        </row>
        <row r="35">
          <cell r="A35">
            <v>36</v>
          </cell>
          <cell r="E35">
            <v>125872.12</v>
          </cell>
        </row>
        <row r="36">
          <cell r="A36">
            <v>37</v>
          </cell>
          <cell r="E36">
            <v>126402.25665000001</v>
          </cell>
        </row>
        <row r="37">
          <cell r="A37">
            <v>38</v>
          </cell>
          <cell r="E37">
            <v>127206.95999999999</v>
          </cell>
        </row>
        <row r="38">
          <cell r="A38">
            <v>39</v>
          </cell>
          <cell r="E38">
            <v>127874.38</v>
          </cell>
        </row>
        <row r="39">
          <cell r="A39">
            <v>40</v>
          </cell>
          <cell r="E39">
            <v>128541.8</v>
          </cell>
        </row>
        <row r="40">
          <cell r="A40">
            <v>41</v>
          </cell>
          <cell r="E40">
            <v>128949.31996000001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dep.gov.hk/en/publication/pdf/portstat_2_y_e3.pdf" TargetMode="External"/><Relationship Id="rId3" Type="http://schemas.openxmlformats.org/officeDocument/2006/relationships/hyperlink" Target="https://www.mtr.com.hk/archive/corporate/en/publications/images/business_overview_e.pdf" TargetMode="External"/><Relationship Id="rId7" Type="http://schemas.openxmlformats.org/officeDocument/2006/relationships/hyperlink" Target="https://www.cathaypacific.com/content/dam/cx/about-us/investor-relations/interim-annual-reports/en/2017_annual_report_en.pdf" TargetMode="External"/><Relationship Id="rId2" Type="http://schemas.openxmlformats.org/officeDocument/2006/relationships/hyperlink" Target="https://www.gov.hk/en/about/abouthk/factsheets/docs/transport.pdf" TargetMode="External"/><Relationship Id="rId1" Type="http://schemas.openxmlformats.org/officeDocument/2006/relationships/hyperlink" Target="https://www.thb.gov.hk/eng/boards/transport/land/Full_Eng_C_cover.pdf" TargetMode="External"/><Relationship Id="rId6" Type="http://schemas.openxmlformats.org/officeDocument/2006/relationships/hyperlink" Target="http://www.starferry.com.hk/en/operationalInfo" TargetMode="External"/><Relationship Id="rId5" Type="http://schemas.openxmlformats.org/officeDocument/2006/relationships/hyperlink" Target="https://data.gov.hk/en-data/dataset/hk-td-tis_10-monthly-traffic-and-transport-digest/resource/dc327887-480e-48bc-b346-978c2465748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tr.com.hk/archive/corporate/en/publications/images/business_overview_e.pdf" TargetMode="External"/><Relationship Id="rId9" Type="http://schemas.openxmlformats.org/officeDocument/2006/relationships/hyperlink" Target="https://www.td.gov.hk/filemanager/en/content_4893/table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nfo.gov.hk/gia/general/201412/01/P201412010731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opLeftCell="A77" workbookViewId="0">
      <selection activeCell="B85" sqref="B85"/>
    </sheetView>
  </sheetViews>
  <sheetFormatPr defaultRowHeight="15"/>
  <cols>
    <col min="1" max="1" width="12.28515625" customWidth="1"/>
    <col min="2" max="2" width="51.5703125" customWidth="1"/>
    <col min="10" max="10" width="48.5703125" customWidth="1"/>
  </cols>
  <sheetData>
    <row r="1" spans="1:11">
      <c r="A1" s="1" t="s">
        <v>0</v>
      </c>
      <c r="I1" s="6"/>
      <c r="J1" s="17"/>
      <c r="K1" s="17"/>
    </row>
    <row r="2" spans="1:11">
      <c r="I2" s="17"/>
      <c r="J2" s="17"/>
      <c r="K2" s="17"/>
    </row>
    <row r="3" spans="1:11">
      <c r="A3" s="1" t="s">
        <v>1</v>
      </c>
      <c r="B3" s="4" t="s">
        <v>2</v>
      </c>
      <c r="I3" s="6"/>
      <c r="J3" s="6"/>
      <c r="K3" s="17"/>
    </row>
    <row r="4" spans="1:11">
      <c r="B4" t="s">
        <v>3</v>
      </c>
      <c r="I4" s="17"/>
      <c r="J4" s="17"/>
      <c r="K4" s="17"/>
    </row>
    <row r="5" spans="1:11">
      <c r="B5" s="2">
        <v>2014</v>
      </c>
      <c r="I5" s="17"/>
      <c r="J5" s="18"/>
      <c r="K5" s="17"/>
    </row>
    <row r="6" spans="1:11">
      <c r="B6" t="s">
        <v>4</v>
      </c>
      <c r="I6" s="17"/>
      <c r="J6" s="17"/>
      <c r="K6" s="17"/>
    </row>
    <row r="7" spans="1:11">
      <c r="B7" s="3" t="s">
        <v>5</v>
      </c>
      <c r="I7" s="17"/>
      <c r="J7" s="19"/>
      <c r="K7" s="17"/>
    </row>
    <row r="8" spans="1:11">
      <c r="B8" t="s">
        <v>6</v>
      </c>
      <c r="I8" s="17"/>
      <c r="J8" s="17"/>
      <c r="K8" s="17"/>
    </row>
    <row r="9" spans="1:11">
      <c r="B9" s="7"/>
      <c r="I9" s="17"/>
      <c r="J9" s="17"/>
      <c r="K9" s="17"/>
    </row>
    <row r="10" spans="1:11">
      <c r="B10" s="9" t="s">
        <v>7</v>
      </c>
      <c r="I10" s="17"/>
      <c r="J10" s="6"/>
      <c r="K10" s="17"/>
    </row>
    <row r="11" spans="1:11">
      <c r="B11" t="s">
        <v>8</v>
      </c>
      <c r="I11" s="17"/>
      <c r="J11" s="17"/>
      <c r="K11" s="17"/>
    </row>
    <row r="12" spans="1:11">
      <c r="B12" s="2">
        <v>2018</v>
      </c>
      <c r="I12" s="17"/>
      <c r="J12" s="18"/>
      <c r="K12" s="17"/>
    </row>
    <row r="13" spans="1:11">
      <c r="B13" s="15" t="s">
        <v>9</v>
      </c>
      <c r="I13" s="17"/>
      <c r="J13" s="17"/>
      <c r="K13" s="17"/>
    </row>
    <row r="14" spans="1:11">
      <c r="B14" s="3" t="s">
        <v>10</v>
      </c>
      <c r="I14" s="17"/>
      <c r="J14" s="19"/>
      <c r="K14" s="17"/>
    </row>
    <row r="15" spans="1:11">
      <c r="B15" s="2"/>
      <c r="I15" s="17"/>
      <c r="J15" s="17"/>
      <c r="K15" s="17"/>
    </row>
    <row r="16" spans="1:11">
      <c r="B16" s="9" t="s">
        <v>11</v>
      </c>
      <c r="I16" s="17"/>
      <c r="J16" s="17"/>
      <c r="K16" s="17"/>
    </row>
    <row r="17" spans="2:11">
      <c r="B17" s="2" t="s">
        <v>12</v>
      </c>
      <c r="I17" s="17"/>
      <c r="J17" s="6"/>
      <c r="K17" s="17"/>
    </row>
    <row r="18" spans="2:11">
      <c r="B18" s="2">
        <v>2018</v>
      </c>
      <c r="I18" s="17"/>
      <c r="J18" s="17"/>
      <c r="K18" s="17"/>
    </row>
    <row r="19" spans="2:11">
      <c r="B19" s="2" t="s">
        <v>13</v>
      </c>
      <c r="I19" s="17"/>
      <c r="J19" s="18"/>
      <c r="K19" s="17"/>
    </row>
    <row r="20" spans="2:11">
      <c r="B20" s="23" t="s">
        <v>14</v>
      </c>
      <c r="I20" s="17"/>
      <c r="J20" s="17"/>
      <c r="K20" s="17"/>
    </row>
    <row r="21" spans="2:11">
      <c r="B21" s="7"/>
      <c r="I21" s="17"/>
      <c r="J21" s="19"/>
      <c r="K21" s="17"/>
    </row>
    <row r="22" spans="2:11">
      <c r="B22" s="9" t="s">
        <v>15</v>
      </c>
      <c r="I22" s="17"/>
      <c r="J22" s="19"/>
      <c r="K22" s="17"/>
    </row>
    <row r="23" spans="2:11">
      <c r="B23" s="2" t="s">
        <v>16</v>
      </c>
      <c r="I23" s="17"/>
      <c r="J23" s="19"/>
      <c r="K23" s="17"/>
    </row>
    <row r="24" spans="2:11">
      <c r="B24" s="2">
        <v>2017</v>
      </c>
      <c r="I24" s="17"/>
      <c r="J24" s="19"/>
      <c r="K24" s="17"/>
    </row>
    <row r="25" spans="2:11">
      <c r="B25" s="2" t="s">
        <v>17</v>
      </c>
      <c r="I25" s="17"/>
      <c r="J25" s="19"/>
      <c r="K25" s="17"/>
    </row>
    <row r="26" spans="2:11">
      <c r="B26" s="19" t="s">
        <v>18</v>
      </c>
      <c r="I26" s="17"/>
      <c r="J26" s="19"/>
      <c r="K26" s="17"/>
    </row>
    <row r="27" spans="2:11">
      <c r="B27" s="7"/>
      <c r="I27" s="17"/>
      <c r="J27" s="19"/>
      <c r="K27" s="17"/>
    </row>
    <row r="28" spans="2:11">
      <c r="B28" s="9" t="s">
        <v>19</v>
      </c>
      <c r="I28" s="17"/>
      <c r="J28" s="17"/>
      <c r="K28" s="17"/>
    </row>
    <row r="29" spans="2:11">
      <c r="B29" s="2" t="s">
        <v>20</v>
      </c>
      <c r="I29" s="17"/>
      <c r="J29" s="17"/>
      <c r="K29" s="17"/>
    </row>
    <row r="30" spans="2:11">
      <c r="B30" s="2">
        <v>2017</v>
      </c>
      <c r="I30" s="17"/>
      <c r="J30" s="6"/>
      <c r="K30" s="17"/>
    </row>
    <row r="31" spans="2:11">
      <c r="B31" s="2" t="s">
        <v>21</v>
      </c>
      <c r="I31" s="17"/>
      <c r="J31" s="17"/>
      <c r="K31" s="17"/>
    </row>
    <row r="32" spans="2:11">
      <c r="B32" s="23" t="s">
        <v>22</v>
      </c>
      <c r="I32" s="17"/>
      <c r="J32" s="18"/>
      <c r="K32" s="17"/>
    </row>
    <row r="33" spans="2:11">
      <c r="B33" s="7"/>
      <c r="I33" s="17"/>
      <c r="J33" s="17"/>
      <c r="K33" s="17"/>
    </row>
    <row r="34" spans="2:11">
      <c r="B34" s="9" t="s">
        <v>23</v>
      </c>
      <c r="I34" s="17"/>
      <c r="J34" s="17"/>
      <c r="K34" s="17"/>
    </row>
    <row r="35" spans="2:11">
      <c r="B35" t="s">
        <v>24</v>
      </c>
      <c r="I35" s="17"/>
      <c r="J35" s="17"/>
      <c r="K35" s="17"/>
    </row>
    <row r="36" spans="2:11">
      <c r="B36" s="2">
        <v>2018</v>
      </c>
      <c r="I36" s="17"/>
      <c r="J36" s="20"/>
      <c r="K36" s="17"/>
    </row>
    <row r="37" spans="2:11">
      <c r="B37" s="15" t="s">
        <v>13</v>
      </c>
      <c r="I37" s="17"/>
      <c r="J37" s="20"/>
      <c r="K37" s="17"/>
    </row>
    <row r="38" spans="2:11">
      <c r="B38" s="3" t="s">
        <v>25</v>
      </c>
      <c r="I38" s="17"/>
      <c r="J38" s="20"/>
      <c r="K38" s="17"/>
    </row>
    <row r="39" spans="2:11">
      <c r="I39" s="17"/>
      <c r="J39" s="20"/>
      <c r="K39" s="17"/>
    </row>
    <row r="40" spans="2:11">
      <c r="B40" s="9" t="s">
        <v>26</v>
      </c>
      <c r="I40" s="17"/>
      <c r="J40" s="20"/>
      <c r="K40" s="17"/>
    </row>
    <row r="41" spans="2:11">
      <c r="B41" s="2" t="s">
        <v>27</v>
      </c>
      <c r="I41" s="17"/>
      <c r="J41" s="20"/>
      <c r="K41" s="17"/>
    </row>
    <row r="42" spans="2:11">
      <c r="B42" s="2">
        <v>2019</v>
      </c>
      <c r="I42" s="17"/>
      <c r="J42" s="20"/>
      <c r="K42" s="17"/>
    </row>
    <row r="43" spans="2:11">
      <c r="B43" s="2" t="s">
        <v>28</v>
      </c>
      <c r="I43" s="17"/>
      <c r="J43" s="20"/>
      <c r="K43" s="17"/>
    </row>
    <row r="44" spans="2:11">
      <c r="B44" s="23" t="s">
        <v>29</v>
      </c>
      <c r="I44" s="17"/>
      <c r="J44" s="20"/>
      <c r="K44" s="17"/>
    </row>
    <row r="45" spans="2:11">
      <c r="I45" s="17"/>
      <c r="J45" s="20"/>
      <c r="K45" s="17"/>
    </row>
    <row r="46" spans="2:11">
      <c r="B46" s="9" t="s">
        <v>30</v>
      </c>
      <c r="I46" s="17"/>
      <c r="J46" s="20"/>
      <c r="K46" s="17"/>
    </row>
    <row r="47" spans="2:11">
      <c r="B47" s="2" t="s">
        <v>31</v>
      </c>
      <c r="I47" s="17"/>
      <c r="J47" s="20"/>
      <c r="K47" s="17"/>
    </row>
    <row r="48" spans="2:11">
      <c r="B48" s="2">
        <v>2019</v>
      </c>
      <c r="I48" s="17"/>
      <c r="J48" s="20"/>
      <c r="K48" s="17"/>
    </row>
    <row r="49" spans="2:11">
      <c r="B49" s="2" t="s">
        <v>32</v>
      </c>
      <c r="I49" s="17"/>
      <c r="J49" s="20"/>
      <c r="K49" s="17"/>
    </row>
    <row r="50" spans="2:11">
      <c r="B50" s="23" t="s">
        <v>33</v>
      </c>
      <c r="I50" s="17"/>
      <c r="J50" s="20"/>
      <c r="K50" s="17"/>
    </row>
    <row r="51" spans="2:11">
      <c r="B51" t="s">
        <v>34</v>
      </c>
      <c r="I51" s="17"/>
      <c r="J51" s="20"/>
      <c r="K51" s="17"/>
    </row>
    <row r="52" spans="2:11">
      <c r="I52" s="17"/>
      <c r="J52" s="20"/>
      <c r="K52" s="17"/>
    </row>
    <row r="53" spans="2:11">
      <c r="B53" s="9" t="s">
        <v>35</v>
      </c>
      <c r="I53" s="17"/>
      <c r="J53" s="20"/>
      <c r="K53" s="17"/>
    </row>
    <row r="54" spans="2:11">
      <c r="B54" s="2" t="s">
        <v>36</v>
      </c>
      <c r="I54" s="17"/>
      <c r="J54" s="20"/>
      <c r="K54" s="17"/>
    </row>
    <row r="55" spans="2:11">
      <c r="B55" s="2" t="s">
        <v>37</v>
      </c>
      <c r="I55" s="17"/>
      <c r="J55" s="20"/>
      <c r="K55" s="17"/>
    </row>
    <row r="56" spans="2:11">
      <c r="B56" s="2" t="s">
        <v>38</v>
      </c>
      <c r="I56" s="17"/>
      <c r="J56" s="20"/>
      <c r="K56" s="17"/>
    </row>
    <row r="57" spans="2:11">
      <c r="B57" s="23" t="s">
        <v>39</v>
      </c>
      <c r="I57" s="17"/>
      <c r="J57" s="20"/>
      <c r="K57" s="17"/>
    </row>
    <row r="58" spans="2:11">
      <c r="I58" s="17"/>
      <c r="J58" s="20"/>
      <c r="K58" s="17"/>
    </row>
    <row r="59" spans="2:11">
      <c r="B59" s="9" t="s">
        <v>40</v>
      </c>
      <c r="I59" s="17"/>
      <c r="J59" s="20"/>
      <c r="K59" s="17"/>
    </row>
    <row r="60" spans="2:11">
      <c r="B60" s="2" t="s">
        <v>41</v>
      </c>
      <c r="I60" s="17"/>
      <c r="J60" s="20"/>
      <c r="K60" s="17"/>
    </row>
    <row r="61" spans="2:11">
      <c r="B61" s="2">
        <v>2019</v>
      </c>
      <c r="I61" s="17"/>
      <c r="J61" s="20"/>
      <c r="K61" s="17"/>
    </row>
    <row r="62" spans="2:11">
      <c r="B62" s="2" t="s">
        <v>42</v>
      </c>
      <c r="I62" s="17"/>
      <c r="J62" s="20"/>
      <c r="K62" s="17"/>
    </row>
    <row r="63" spans="2:11">
      <c r="B63" s="23" t="s">
        <v>43</v>
      </c>
      <c r="I63" s="17"/>
      <c r="J63" s="20"/>
      <c r="K63" s="17"/>
    </row>
    <row r="64" spans="2:11">
      <c r="I64" s="17"/>
      <c r="J64" s="20"/>
      <c r="K64" s="17"/>
    </row>
    <row r="65" spans="1:11">
      <c r="B65" s="9" t="s">
        <v>205</v>
      </c>
      <c r="I65" s="17"/>
      <c r="J65" s="20"/>
      <c r="K65" s="17"/>
    </row>
    <row r="66" spans="1:11">
      <c r="B66" s="2" t="s">
        <v>206</v>
      </c>
      <c r="I66" s="17"/>
      <c r="J66" s="20"/>
      <c r="K66" s="17"/>
    </row>
    <row r="67" spans="1:11">
      <c r="B67" s="2">
        <v>2018</v>
      </c>
      <c r="I67" s="17"/>
      <c r="J67" s="20"/>
      <c r="K67" s="17"/>
    </row>
    <row r="68" spans="1:11">
      <c r="B68" s="2" t="s">
        <v>32</v>
      </c>
      <c r="I68" s="17"/>
      <c r="J68" s="20"/>
      <c r="K68" s="17"/>
    </row>
    <row r="69" spans="1:11">
      <c r="B69" s="3" t="s">
        <v>207</v>
      </c>
      <c r="I69" s="17"/>
      <c r="J69" s="20"/>
      <c r="K69" s="17"/>
    </row>
    <row r="70" spans="1:11">
      <c r="B70" s="65" t="s">
        <v>208</v>
      </c>
      <c r="I70" s="17"/>
      <c r="J70" s="20"/>
      <c r="K70" s="17"/>
    </row>
    <row r="71" spans="1:11">
      <c r="I71" s="17"/>
      <c r="J71" s="20"/>
      <c r="K71" s="17"/>
    </row>
    <row r="72" spans="1:11">
      <c r="I72" s="17"/>
      <c r="J72" s="20"/>
      <c r="K72" s="17"/>
    </row>
    <row r="73" spans="1:11">
      <c r="A73" s="1" t="s">
        <v>44</v>
      </c>
      <c r="I73" s="17"/>
      <c r="J73" s="20"/>
      <c r="K73" s="17"/>
    </row>
    <row r="74" spans="1:11">
      <c r="A74" s="49" t="s">
        <v>45</v>
      </c>
      <c r="B74" s="49"/>
      <c r="I74" s="17"/>
      <c r="J74" s="16"/>
      <c r="K74" s="17"/>
    </row>
    <row r="75" spans="1:11">
      <c r="A75" s="49" t="s">
        <v>46</v>
      </c>
      <c r="B75" s="49"/>
      <c r="I75" s="17"/>
      <c r="J75" s="17"/>
      <c r="K75" s="17"/>
    </row>
    <row r="76" spans="1:11">
      <c r="A76" s="49" t="s">
        <v>47</v>
      </c>
      <c r="B76" s="49"/>
      <c r="I76" s="17"/>
      <c r="J76" s="18"/>
      <c r="K76" s="17"/>
    </row>
    <row r="77" spans="1:11">
      <c r="A77" s="49" t="s">
        <v>48</v>
      </c>
      <c r="B77" s="49"/>
      <c r="I77" s="17"/>
      <c r="J77" s="17"/>
      <c r="K77" s="17"/>
    </row>
    <row r="78" spans="1:11">
      <c r="A78" s="49" t="s">
        <v>49</v>
      </c>
      <c r="B78" s="49"/>
      <c r="I78" s="17"/>
      <c r="J78" s="18"/>
      <c r="K78" s="17"/>
    </row>
    <row r="79" spans="1:11">
      <c r="A79" s="49" t="s">
        <v>50</v>
      </c>
      <c r="B79" s="49"/>
      <c r="I79" s="17"/>
      <c r="J79" s="18"/>
      <c r="K79" s="17"/>
    </row>
    <row r="80" spans="1:11">
      <c r="A80" s="49" t="s">
        <v>51</v>
      </c>
      <c r="B80" s="49"/>
      <c r="I80" s="17"/>
      <c r="J80" s="21"/>
      <c r="K80" s="17"/>
    </row>
    <row r="81" spans="1:11">
      <c r="A81" s="49" t="s">
        <v>52</v>
      </c>
      <c r="B81" s="49"/>
      <c r="I81" s="17"/>
      <c r="J81" s="20"/>
      <c r="K81" s="17"/>
    </row>
    <row r="82" spans="1:11">
      <c r="A82" s="49" t="s">
        <v>53</v>
      </c>
      <c r="B82" s="49"/>
      <c r="I82" s="17"/>
      <c r="J82" s="16"/>
      <c r="K82" s="17"/>
    </row>
    <row r="83" spans="1:11">
      <c r="A83" s="49" t="s">
        <v>54</v>
      </c>
      <c r="B83" s="49"/>
      <c r="I83" s="17"/>
      <c r="J83" s="17"/>
      <c r="K83" s="17"/>
    </row>
    <row r="84" spans="1:11">
      <c r="A84" s="49" t="s">
        <v>55</v>
      </c>
      <c r="B84" s="49"/>
      <c r="I84" s="17"/>
      <c r="J84" s="18"/>
      <c r="K84" s="17"/>
    </row>
    <row r="85" spans="1:11">
      <c r="A85" s="49" t="s">
        <v>56</v>
      </c>
      <c r="B85" s="49" t="s">
        <v>57</v>
      </c>
      <c r="I85" s="17"/>
      <c r="J85" s="17"/>
      <c r="K85" s="17"/>
    </row>
    <row r="86" spans="1:11">
      <c r="A86" s="49" t="s">
        <v>58</v>
      </c>
      <c r="B86" s="49"/>
      <c r="I86" s="17"/>
      <c r="J86" s="17"/>
      <c r="K86" s="17"/>
    </row>
    <row r="87" spans="1:11">
      <c r="I87" s="17"/>
      <c r="J87" s="17"/>
      <c r="K87" s="17"/>
    </row>
    <row r="88" spans="1:11">
      <c r="I88" s="17"/>
      <c r="J88" s="6"/>
      <c r="K88" s="17"/>
    </row>
    <row r="89" spans="1:11">
      <c r="I89" s="6"/>
      <c r="J89" s="5"/>
      <c r="K89" s="17"/>
    </row>
    <row r="90" spans="1:11">
      <c r="I90" s="22"/>
      <c r="J90" s="5"/>
      <c r="K90" s="17"/>
    </row>
    <row r="91" spans="1:11">
      <c r="I91" s="22"/>
      <c r="J91" s="5"/>
      <c r="K91" s="17"/>
    </row>
    <row r="92" spans="1:11">
      <c r="I92" s="22"/>
      <c r="J92" s="5"/>
      <c r="K92" s="17"/>
    </row>
    <row r="93" spans="1:11">
      <c r="I93" s="22"/>
      <c r="J93" s="5"/>
      <c r="K93" s="17"/>
    </row>
    <row r="94" spans="1:11">
      <c r="I94" s="22"/>
      <c r="J94" s="5"/>
      <c r="K94" s="17"/>
    </row>
    <row r="95" spans="1:11">
      <c r="I95" s="22"/>
      <c r="J95" s="17"/>
      <c r="K95" s="17"/>
    </row>
    <row r="96" spans="1:11">
      <c r="I96" s="17"/>
      <c r="J96" s="17"/>
      <c r="K96" s="17"/>
    </row>
    <row r="97" spans="9:11">
      <c r="I97" s="17"/>
      <c r="J97" s="17"/>
      <c r="K97" s="17"/>
    </row>
    <row r="98" spans="9:11">
      <c r="I98" s="17"/>
      <c r="J98" s="17"/>
      <c r="K98" s="17"/>
    </row>
    <row r="99" spans="9:11">
      <c r="I99" s="17"/>
      <c r="J99" s="17"/>
      <c r="K99" s="17"/>
    </row>
    <row r="100" spans="9:11">
      <c r="I100" s="17"/>
      <c r="J100" s="17"/>
      <c r="K100" s="17"/>
    </row>
    <row r="101" spans="9:11">
      <c r="I101" s="17"/>
      <c r="J101" s="17"/>
      <c r="K101" s="17"/>
    </row>
    <row r="102" spans="9:11">
      <c r="I102" s="17"/>
      <c r="J102" s="17"/>
      <c r="K102" s="17"/>
    </row>
  </sheetData>
  <hyperlinks>
    <hyperlink ref="B7" r:id="rId1" xr:uid="{3166AD11-CA0B-4FF1-BD33-3DA44A6EC395}"/>
    <hyperlink ref="B38" r:id="rId2" xr:uid="{57031A12-1635-4021-A0E3-57E5CFFB080F}"/>
    <hyperlink ref="B13" r:id="rId3" display="https://www.mtr.com.hk/archive/corporate/en/publications/images/business_overview_e.pdf" xr:uid="{0BD370F9-7BF0-4670-B015-E4D97657B75A}"/>
    <hyperlink ref="B14" r:id="rId4" xr:uid="{46246A56-1D96-49D5-A76F-E087527B1975}"/>
    <hyperlink ref="B20" r:id="rId5" xr:uid="{A410A50D-4781-48B9-B0E2-85BC1030B070}"/>
    <hyperlink ref="B26" r:id="rId6" xr:uid="{4E5FCA6B-8AA7-4A2B-A889-F38581C78AB3}"/>
    <hyperlink ref="B32" r:id="rId7" xr:uid="{76E03D1B-939D-4826-A2A3-52D211278FC6}"/>
    <hyperlink ref="B57" r:id="rId8" xr:uid="{2BD63BC8-4407-4F0D-BC56-6DA2835FF3EF}"/>
    <hyperlink ref="B69" r:id="rId9" xr:uid="{CB9002C7-B921-4AF6-B12F-7159C4E681E8}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A865-81B9-4CF5-9909-B7F043C51851}">
  <dimension ref="A1:D32"/>
  <sheetViews>
    <sheetView topLeftCell="A19" workbookViewId="0">
      <selection activeCell="B11" sqref="B11"/>
    </sheetView>
  </sheetViews>
  <sheetFormatPr defaultRowHeight="15"/>
  <cols>
    <col min="1" max="1" width="21.5703125" customWidth="1"/>
    <col min="2" max="2" width="14.140625" customWidth="1"/>
  </cols>
  <sheetData>
    <row r="1" spans="1:4">
      <c r="A1" s="51" t="s">
        <v>59</v>
      </c>
      <c r="B1" s="51" t="s">
        <v>60</v>
      </c>
      <c r="C1" s="51" t="s">
        <v>61</v>
      </c>
    </row>
    <row r="2" spans="1:4">
      <c r="A2" t="s">
        <v>62</v>
      </c>
      <c r="B2">
        <v>75</v>
      </c>
      <c r="C2" t="s">
        <v>63</v>
      </c>
      <c r="D2" t="s">
        <v>214</v>
      </c>
    </row>
    <row r="3" spans="1:4">
      <c r="A3" t="s">
        <v>64</v>
      </c>
      <c r="B3">
        <v>132</v>
      </c>
      <c r="C3" t="s">
        <v>63</v>
      </c>
    </row>
    <row r="4" spans="1:4">
      <c r="A4" t="s">
        <v>65</v>
      </c>
      <c r="B4">
        <v>16</v>
      </c>
      <c r="C4" t="s">
        <v>66</v>
      </c>
    </row>
    <row r="5" spans="1:4">
      <c r="A5" t="s">
        <v>67</v>
      </c>
      <c r="B5">
        <v>190</v>
      </c>
      <c r="C5" t="s">
        <v>66</v>
      </c>
    </row>
    <row r="6" spans="1:4">
      <c r="A6" t="s">
        <v>68</v>
      </c>
      <c r="B6">
        <v>28</v>
      </c>
      <c r="C6" t="s">
        <v>66</v>
      </c>
    </row>
    <row r="7" spans="1:4">
      <c r="A7" t="s">
        <v>69</v>
      </c>
      <c r="B7">
        <v>3</v>
      </c>
      <c r="C7" t="s">
        <v>66</v>
      </c>
    </row>
    <row r="8" spans="1:4">
      <c r="A8" t="s">
        <v>70</v>
      </c>
      <c r="B8">
        <v>98</v>
      </c>
      <c r="C8" t="s">
        <v>66</v>
      </c>
    </row>
    <row r="9" spans="1:4">
      <c r="A9" t="s">
        <v>71</v>
      </c>
      <c r="B9">
        <v>13</v>
      </c>
      <c r="C9" t="s">
        <v>66</v>
      </c>
    </row>
    <row r="10" spans="1:4">
      <c r="A10" t="s">
        <v>72</v>
      </c>
      <c r="B10">
        <v>1</v>
      </c>
      <c r="C10" t="s">
        <v>66</v>
      </c>
    </row>
    <row r="11" spans="1:4">
      <c r="A11" t="s">
        <v>73</v>
      </c>
      <c r="B11">
        <v>161</v>
      </c>
      <c r="C11" t="s">
        <v>66</v>
      </c>
    </row>
    <row r="12" spans="1:4">
      <c r="A12" t="s">
        <v>74</v>
      </c>
      <c r="B12">
        <v>23</v>
      </c>
      <c r="C12" t="s">
        <v>66</v>
      </c>
    </row>
    <row r="13" spans="1:4">
      <c r="A13" t="s">
        <v>75</v>
      </c>
      <c r="B13">
        <v>80</v>
      </c>
      <c r="C13" t="s">
        <v>66</v>
      </c>
    </row>
    <row r="14" spans="1:4">
      <c r="A14" t="s">
        <v>76</v>
      </c>
      <c r="B14">
        <v>29</v>
      </c>
      <c r="C14" t="s">
        <v>63</v>
      </c>
    </row>
    <row r="15" spans="1:4">
      <c r="A15" t="s">
        <v>77</v>
      </c>
      <c r="B15">
        <v>73</v>
      </c>
      <c r="C15" t="s">
        <v>63</v>
      </c>
    </row>
    <row r="16" spans="1:4">
      <c r="A16" t="s">
        <v>78</v>
      </c>
      <c r="B16">
        <v>19</v>
      </c>
      <c r="C16" t="s">
        <v>63</v>
      </c>
    </row>
    <row r="17" spans="1:3">
      <c r="A17" t="s">
        <v>79</v>
      </c>
      <c r="B17">
        <v>299</v>
      </c>
      <c r="C17" t="s">
        <v>63</v>
      </c>
    </row>
    <row r="18" spans="1:3">
      <c r="A18" t="s">
        <v>80</v>
      </c>
      <c r="B18">
        <v>30</v>
      </c>
      <c r="C18" t="s">
        <v>66</v>
      </c>
    </row>
    <row r="19" spans="1:3">
      <c r="A19" t="s">
        <v>81</v>
      </c>
      <c r="B19">
        <v>1949</v>
      </c>
      <c r="C19" t="s">
        <v>66</v>
      </c>
    </row>
    <row r="20" spans="1:3">
      <c r="A20" t="s">
        <v>82</v>
      </c>
      <c r="B20">
        <v>780</v>
      </c>
      <c r="C20" t="s">
        <v>83</v>
      </c>
    </row>
    <row r="21" spans="1:3">
      <c r="A21" t="s">
        <v>84</v>
      </c>
      <c r="B21">
        <v>2709</v>
      </c>
      <c r="C21" t="s">
        <v>83</v>
      </c>
    </row>
    <row r="22" spans="1:3">
      <c r="A22" t="s">
        <v>85</v>
      </c>
      <c r="B22">
        <v>6459</v>
      </c>
      <c r="C22" t="s">
        <v>83</v>
      </c>
    </row>
    <row r="23" spans="1:3">
      <c r="A23" t="s">
        <v>86</v>
      </c>
      <c r="B23">
        <v>109</v>
      </c>
      <c r="C23" t="s">
        <v>87</v>
      </c>
    </row>
    <row r="24" spans="1:3">
      <c r="A24" t="s">
        <v>88</v>
      </c>
      <c r="B24">
        <f>SUM(B2:B23)</f>
        <v>13276</v>
      </c>
    </row>
    <row r="26" spans="1:3">
      <c r="A26" t="s">
        <v>89</v>
      </c>
    </row>
    <row r="28" spans="1:3">
      <c r="A28" t="s">
        <v>90</v>
      </c>
      <c r="B28">
        <f>B2+B3+B14+B15+B16+B17+B20+B21+B22+B23</f>
        <v>10684</v>
      </c>
    </row>
    <row r="29" spans="1:3">
      <c r="A29" t="s">
        <v>91</v>
      </c>
      <c r="B29">
        <f>B19+B18+B13+B12+B11+B10+B9+B8+B7+B6+B5+B4</f>
        <v>2592</v>
      </c>
    </row>
    <row r="30" spans="1:3">
      <c r="A30" t="s">
        <v>92</v>
      </c>
      <c r="B30">
        <f>B22+B21+B20</f>
        <v>9948</v>
      </c>
    </row>
    <row r="31" spans="1:3">
      <c r="A31" t="s">
        <v>93</v>
      </c>
      <c r="B31">
        <f>SUM(B14:B17,B2:B3)</f>
        <v>627</v>
      </c>
    </row>
    <row r="32" spans="1:3">
      <c r="A32" t="s">
        <v>94</v>
      </c>
      <c r="B32">
        <f>B23</f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62A3-A48C-45C6-B46B-D3829B982B5F}">
  <dimension ref="A1:E19"/>
  <sheetViews>
    <sheetView workbookViewId="0">
      <selection activeCell="D3" sqref="D3"/>
    </sheetView>
  </sheetViews>
  <sheetFormatPr defaultRowHeight="15"/>
  <cols>
    <col min="2" max="2" width="55.5703125" customWidth="1"/>
    <col min="3" max="3" width="11.85546875" customWidth="1"/>
    <col min="4" max="4" width="14.42578125" customWidth="1"/>
  </cols>
  <sheetData>
    <row r="1" spans="1:5" ht="15.75" thickBot="1">
      <c r="A1" s="36"/>
      <c r="B1" s="36"/>
      <c r="C1" s="36"/>
      <c r="D1" s="36"/>
      <c r="E1" s="36"/>
    </row>
    <row r="2" spans="1:5" ht="30">
      <c r="A2" s="36"/>
      <c r="B2" s="44" t="s">
        <v>95</v>
      </c>
      <c r="C2" s="45" t="s">
        <v>96</v>
      </c>
      <c r="D2" s="46" t="s">
        <v>215</v>
      </c>
      <c r="E2" s="36"/>
    </row>
    <row r="3" spans="1:5">
      <c r="A3" s="36"/>
      <c r="B3" s="40" t="s">
        <v>97</v>
      </c>
      <c r="C3" s="42">
        <v>552710</v>
      </c>
      <c r="D3" s="37">
        <v>5315</v>
      </c>
      <c r="E3" s="36"/>
    </row>
    <row r="4" spans="1:5">
      <c r="A4" s="36"/>
      <c r="B4" s="40" t="s">
        <v>98</v>
      </c>
      <c r="C4" s="42">
        <v>18148</v>
      </c>
      <c r="D4" s="37">
        <v>2399</v>
      </c>
      <c r="E4" s="36"/>
    </row>
    <row r="5" spans="1:5">
      <c r="A5" s="36"/>
      <c r="B5" s="40" t="s">
        <v>99</v>
      </c>
      <c r="C5" s="42">
        <v>12967</v>
      </c>
      <c r="D5" s="37">
        <v>1312</v>
      </c>
      <c r="E5" s="36"/>
    </row>
    <row r="6" spans="1:5">
      <c r="A6" s="36"/>
      <c r="B6" s="40" t="s">
        <v>100</v>
      </c>
      <c r="C6" s="42">
        <v>676</v>
      </c>
      <c r="D6" s="37"/>
      <c r="E6" s="36"/>
    </row>
    <row r="7" spans="1:5">
      <c r="A7" s="36"/>
      <c r="B7" s="40" t="s">
        <v>101</v>
      </c>
      <c r="C7" s="42">
        <v>4338</v>
      </c>
      <c r="D7" s="37"/>
      <c r="E7" s="36"/>
    </row>
    <row r="8" spans="1:5">
      <c r="A8" s="36"/>
      <c r="B8" s="40" t="s">
        <v>102</v>
      </c>
      <c r="C8" s="42">
        <v>3070</v>
      </c>
      <c r="D8" s="37"/>
      <c r="E8" s="36"/>
    </row>
    <row r="9" spans="1:5">
      <c r="A9" s="36"/>
      <c r="B9" s="40" t="s">
        <v>103</v>
      </c>
      <c r="C9" s="42">
        <v>53317</v>
      </c>
      <c r="D9" s="37">
        <v>291</v>
      </c>
      <c r="E9" s="36"/>
    </row>
    <row r="10" spans="1:5">
      <c r="A10" s="36"/>
      <c r="B10" s="40" t="s">
        <v>104</v>
      </c>
      <c r="C10" s="42">
        <v>72384</v>
      </c>
      <c r="D10" s="37"/>
      <c r="E10" s="36"/>
    </row>
    <row r="11" spans="1:5">
      <c r="A11" s="36"/>
      <c r="B11" s="40" t="s">
        <v>105</v>
      </c>
      <c r="C11" s="42">
        <v>40596</v>
      </c>
      <c r="D11" s="37">
        <v>3519</v>
      </c>
      <c r="E11" s="36"/>
    </row>
    <row r="12" spans="1:5">
      <c r="A12" s="36"/>
      <c r="B12" s="40" t="s">
        <v>106</v>
      </c>
      <c r="C12" s="42">
        <v>1683</v>
      </c>
      <c r="D12" s="37"/>
      <c r="E12" s="36"/>
    </row>
    <row r="13" spans="1:5" ht="15.75" thickBot="1">
      <c r="A13" s="36"/>
      <c r="B13" s="41" t="s">
        <v>107</v>
      </c>
      <c r="C13" s="43">
        <v>6311</v>
      </c>
      <c r="D13" s="38"/>
      <c r="E13" s="36"/>
    </row>
    <row r="14" spans="1:5" ht="31.5" customHeight="1">
      <c r="A14" s="47" t="s">
        <v>108</v>
      </c>
      <c r="B14" s="49" t="s">
        <v>33</v>
      </c>
      <c r="C14" s="36"/>
      <c r="D14" s="36"/>
      <c r="E14" s="36"/>
    </row>
    <row r="15" spans="1:5" ht="38.25" customHeight="1">
      <c r="A15" s="36"/>
      <c r="B15" s="49" t="s">
        <v>5</v>
      </c>
      <c r="C15" s="36"/>
      <c r="D15" s="36"/>
      <c r="E15" s="36"/>
    </row>
    <row r="16" spans="1:5">
      <c r="A16" s="36"/>
      <c r="B16" s="49"/>
      <c r="C16" s="36"/>
      <c r="D16" s="36"/>
      <c r="E16" s="36"/>
    </row>
    <row r="17" spans="1:5" ht="36.75" customHeight="1">
      <c r="A17" s="47" t="s">
        <v>109</v>
      </c>
      <c r="B17" s="49" t="s">
        <v>110</v>
      </c>
      <c r="C17" s="36"/>
      <c r="D17" s="36"/>
      <c r="E17" s="36"/>
    </row>
    <row r="18" spans="1:5" ht="22.5" customHeight="1">
      <c r="A18" s="36"/>
      <c r="B18" s="49" t="s">
        <v>111</v>
      </c>
      <c r="C18" s="36"/>
      <c r="D18" s="36"/>
      <c r="E18" s="36"/>
    </row>
    <row r="19" spans="1:5">
      <c r="A19" s="36"/>
      <c r="B19" s="36"/>
      <c r="C19" s="36"/>
      <c r="D19" s="36"/>
      <c r="E19" s="3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D9B0-0ADA-43A1-AA74-345EF02E04B1}">
  <dimension ref="A1:H11"/>
  <sheetViews>
    <sheetView workbookViewId="0">
      <selection activeCell="C4" sqref="C4"/>
    </sheetView>
  </sheetViews>
  <sheetFormatPr defaultRowHeight="15"/>
  <cols>
    <col min="2" max="2" width="29.85546875" customWidth="1"/>
    <col min="3" max="3" width="22.140625" customWidth="1"/>
    <col min="4" max="4" width="13.42578125" customWidth="1"/>
    <col min="5" max="5" width="17.7109375" customWidth="1"/>
    <col min="6" max="6" width="15" customWidth="1"/>
    <col min="8" max="8" width="12.140625" bestFit="1" customWidth="1"/>
  </cols>
  <sheetData>
    <row r="1" spans="1:8" ht="105">
      <c r="A1" s="14" t="s">
        <v>112</v>
      </c>
      <c r="B1" s="34"/>
      <c r="C1" s="24" t="s">
        <v>113</v>
      </c>
      <c r="D1" s="25" t="s">
        <v>114</v>
      </c>
      <c r="E1" s="25" t="s">
        <v>115</v>
      </c>
      <c r="F1" s="25" t="s">
        <v>116</v>
      </c>
    </row>
    <row r="2" spans="1:8">
      <c r="A2" s="1" t="s">
        <v>117</v>
      </c>
      <c r="B2" s="35"/>
      <c r="C2" s="8">
        <v>2018</v>
      </c>
      <c r="D2">
        <v>88</v>
      </c>
      <c r="E2">
        <v>141</v>
      </c>
      <c r="F2">
        <v>161</v>
      </c>
    </row>
    <row r="3" spans="1:8">
      <c r="A3" s="1" t="s">
        <v>118</v>
      </c>
      <c r="B3" s="35"/>
      <c r="C3">
        <v>3135.4290000000001</v>
      </c>
      <c r="D3">
        <v>239.321</v>
      </c>
      <c r="E3">
        <v>666.56100000000004</v>
      </c>
      <c r="F3">
        <v>370.41924</v>
      </c>
    </row>
    <row r="4" spans="1:8">
      <c r="A4" s="1" t="s">
        <v>119</v>
      </c>
      <c r="B4" s="35"/>
      <c r="C4">
        <v>1948.2652559000001</v>
      </c>
      <c r="D4">
        <v>148.7071751</v>
      </c>
      <c r="E4">
        <v>414.18180330000001</v>
      </c>
      <c r="F4">
        <v>230.16784478599999</v>
      </c>
    </row>
    <row r="5" spans="1:8">
      <c r="A5" s="1" t="s">
        <v>120</v>
      </c>
      <c r="B5" s="35"/>
      <c r="C5">
        <f>C4*1000*12</f>
        <v>23379183.070799999</v>
      </c>
      <c r="D5">
        <f>D4*12*1000</f>
        <v>1784486.1012000002</v>
      </c>
      <c r="E5">
        <f>E4*1000*12</f>
        <v>4970181.6396000003</v>
      </c>
      <c r="F5">
        <f>F4*12*1000</f>
        <v>2762014.1374320001</v>
      </c>
    </row>
    <row r="6" spans="1:8">
      <c r="A6" s="1" t="s">
        <v>121</v>
      </c>
      <c r="B6" s="35"/>
      <c r="C6">
        <f>C5/C2</f>
        <v>11585.323622794846</v>
      </c>
      <c r="D6">
        <f>D5/D2</f>
        <v>20278.25115</v>
      </c>
      <c r="E6">
        <f>E5/E2</f>
        <v>35249.515174468084</v>
      </c>
      <c r="F6">
        <f>F5/F2</f>
        <v>17155.367313242237</v>
      </c>
      <c r="H6" s="12"/>
    </row>
    <row r="8" spans="1:8">
      <c r="C8" t="s">
        <v>122</v>
      </c>
      <c r="D8">
        <f>(C2+D2+E2)/8</f>
        <v>280.875</v>
      </c>
    </row>
    <row r="9" spans="1:8">
      <c r="C9" t="s">
        <v>123</v>
      </c>
      <c r="D9">
        <f>SUM(C5:E5)</f>
        <v>30133850.8116</v>
      </c>
    </row>
    <row r="11" spans="1:8">
      <c r="C11" t="s">
        <v>124</v>
      </c>
      <c r="D11">
        <f>(D9+F5)/(D8+F2)</f>
        <v>74446.087579138897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DD96-9C05-4FF8-A8EB-BF16293E6DE1}">
  <dimension ref="A1:AI61"/>
  <sheetViews>
    <sheetView topLeftCell="A41" workbookViewId="0">
      <selection activeCell="G4" sqref="G4"/>
    </sheetView>
  </sheetViews>
  <sheetFormatPr defaultRowHeight="15"/>
  <cols>
    <col min="1" max="1" width="27.28515625" customWidth="1"/>
    <col min="2" max="2" width="7" customWidth="1"/>
    <col min="3" max="3" width="10.85546875" customWidth="1"/>
    <col min="4" max="5" width="16.85546875" customWidth="1"/>
    <col min="6" max="6" width="13" customWidth="1"/>
    <col min="7" max="7" width="14.5703125" customWidth="1"/>
  </cols>
  <sheetData>
    <row r="1" spans="1:9" ht="105">
      <c r="A1" s="48" t="s">
        <v>125</v>
      </c>
      <c r="B1" s="70" t="s">
        <v>126</v>
      </c>
      <c r="C1" s="70" t="s">
        <v>211</v>
      </c>
      <c r="D1" s="70" t="s">
        <v>213</v>
      </c>
      <c r="E1" s="70" t="s">
        <v>119</v>
      </c>
      <c r="F1" s="70" t="s">
        <v>129</v>
      </c>
      <c r="G1" s="70" t="s">
        <v>130</v>
      </c>
    </row>
    <row r="2" spans="1:9">
      <c r="A2" s="39" t="s">
        <v>131</v>
      </c>
      <c r="B2" s="42">
        <v>2013</v>
      </c>
      <c r="C2" s="36">
        <v>552710</v>
      </c>
      <c r="D2" s="42">
        <v>5315000000</v>
      </c>
      <c r="E2" s="42">
        <f>D2*0.621371192</f>
        <v>3302587885.48</v>
      </c>
      <c r="F2" s="72">
        <f t="shared" ref="F2:F8" si="0">D2/C2</f>
        <v>9616.2544553201496</v>
      </c>
      <c r="G2" s="72">
        <f t="shared" ref="G2:G8" si="1">E2/C2</f>
        <v>5975.2634934775924</v>
      </c>
    </row>
    <row r="3" spans="1:9">
      <c r="A3" s="39" t="s">
        <v>132</v>
      </c>
      <c r="B3" s="42"/>
      <c r="C3" s="42">
        <v>18148</v>
      </c>
      <c r="D3" s="42">
        <f>2399*10^6</f>
        <v>2399000000</v>
      </c>
      <c r="E3" s="42">
        <f>D3*0.621371192</f>
        <v>1490669489.608</v>
      </c>
      <c r="F3" s="72">
        <f t="shared" si="0"/>
        <v>132190.87502755126</v>
      </c>
      <c r="G3" s="72">
        <f t="shared" si="1"/>
        <v>82139.60158739255</v>
      </c>
    </row>
    <row r="4" spans="1:9">
      <c r="A4" s="39" t="s">
        <v>166</v>
      </c>
      <c r="B4" s="42"/>
      <c r="C4" s="42">
        <f>C2+C3</f>
        <v>570858</v>
      </c>
      <c r="D4" s="42">
        <f>D2+D3</f>
        <v>7714000000</v>
      </c>
      <c r="E4" s="42">
        <f>E2+E3</f>
        <v>4793257375.0880003</v>
      </c>
      <c r="F4" s="72">
        <f t="shared" si="0"/>
        <v>13512.992723234149</v>
      </c>
      <c r="G4" s="72">
        <f t="shared" si="1"/>
        <v>8396.5843959233298</v>
      </c>
    </row>
    <row r="5" spans="1:9" ht="30">
      <c r="A5" s="39" t="s">
        <v>133</v>
      </c>
      <c r="B5" s="42">
        <v>2013</v>
      </c>
      <c r="C5" s="42">
        <v>21051</v>
      </c>
      <c r="D5" s="42">
        <f>1312*10^6</f>
        <v>1312000000</v>
      </c>
      <c r="E5" s="42">
        <f>D5*0.621371192</f>
        <v>815239003.90400004</v>
      </c>
      <c r="F5" s="72">
        <f t="shared" si="0"/>
        <v>62324.830174338509</v>
      </c>
      <c r="G5" s="72">
        <f t="shared" si="1"/>
        <v>38726.85401662629</v>
      </c>
    </row>
    <row r="6" spans="1:9" s="17" customFormat="1">
      <c r="A6" s="39" t="s">
        <v>134</v>
      </c>
      <c r="B6" s="42">
        <v>2013</v>
      </c>
      <c r="C6" s="42">
        <v>53317</v>
      </c>
      <c r="D6" s="42">
        <f>291*10^6</f>
        <v>291000000</v>
      </c>
      <c r="E6" s="42">
        <f>D6*0.621371192</f>
        <v>180819016.87200001</v>
      </c>
      <c r="F6" s="72">
        <f t="shared" si="0"/>
        <v>5457.9214884558396</v>
      </c>
      <c r="G6" s="72">
        <f t="shared" si="1"/>
        <v>3391.3951811242196</v>
      </c>
      <c r="H6"/>
      <c r="I6"/>
    </row>
    <row r="7" spans="1:9">
      <c r="A7" s="39" t="s">
        <v>135</v>
      </c>
      <c r="B7" s="42">
        <v>2016</v>
      </c>
      <c r="C7" s="74">
        <f>'Rail-MTR'!D8+'Rail-MTR'!F2</f>
        <v>441.875</v>
      </c>
      <c r="D7" s="42"/>
      <c r="E7" s="42">
        <f>SUM('Rail-MTR'!C5:F5)</f>
        <v>32895864.949032001</v>
      </c>
      <c r="F7" s="72">
        <f t="shared" si="0"/>
        <v>0</v>
      </c>
      <c r="G7" s="72">
        <f t="shared" si="1"/>
        <v>74446.087579138897</v>
      </c>
    </row>
    <row r="8" spans="1:9">
      <c r="A8" s="39" t="s">
        <v>19</v>
      </c>
      <c r="B8" s="42">
        <v>2017</v>
      </c>
      <c r="C8" s="42">
        <f>'HK Air'!D2</f>
        <v>194</v>
      </c>
      <c r="D8" s="75">
        <f>'HK Air'!C2</f>
        <v>596000000</v>
      </c>
      <c r="E8" s="42">
        <v>370337116</v>
      </c>
      <c r="F8" s="72">
        <f t="shared" si="0"/>
        <v>3072164.9484536084</v>
      </c>
      <c r="G8" s="72">
        <f t="shared" si="1"/>
        <v>1908954.206185567</v>
      </c>
    </row>
    <row r="9" spans="1:9">
      <c r="A9" s="71" t="s">
        <v>212</v>
      </c>
      <c r="B9" s="72">
        <v>2017</v>
      </c>
      <c r="C9" s="72">
        <v>8</v>
      </c>
      <c r="D9" s="73">
        <v>250670</v>
      </c>
      <c r="E9" s="72">
        <v>155759</v>
      </c>
      <c r="F9" s="72">
        <f>D9/C9</f>
        <v>31333.75</v>
      </c>
      <c r="G9" s="72">
        <f>E9/C9</f>
        <v>19469.875</v>
      </c>
    </row>
    <row r="10" spans="1:9">
      <c r="A10" s="66" t="s">
        <v>136</v>
      </c>
      <c r="B10" s="67"/>
      <c r="C10" s="67">
        <f>Ships!B30</f>
        <v>9948</v>
      </c>
      <c r="D10" s="67"/>
      <c r="E10" s="67">
        <v>10296180</v>
      </c>
      <c r="F10" s="67"/>
      <c r="G10" s="67">
        <f>E10/C10</f>
        <v>1035</v>
      </c>
    </row>
    <row r="11" spans="1:9">
      <c r="A11" s="66" t="s">
        <v>90</v>
      </c>
      <c r="B11" s="67"/>
      <c r="C11" s="67">
        <f>Ships!B28</f>
        <v>10684</v>
      </c>
      <c r="D11" s="67"/>
      <c r="E11" s="67">
        <v>11211264.810000001</v>
      </c>
      <c r="F11" s="67"/>
      <c r="G11" s="67">
        <f>E11/C11</f>
        <v>1049.3508807562712</v>
      </c>
    </row>
    <row r="12" spans="1:9" ht="30">
      <c r="A12" s="66" t="s">
        <v>137</v>
      </c>
      <c r="B12" s="67">
        <v>2018</v>
      </c>
      <c r="C12" s="68" t="s">
        <v>209</v>
      </c>
      <c r="D12" s="67"/>
      <c r="E12" s="67"/>
      <c r="F12" s="67"/>
      <c r="G12" s="69">
        <v>1035</v>
      </c>
      <c r="H12" t="s">
        <v>210</v>
      </c>
    </row>
    <row r="15" spans="1:9">
      <c r="G15">
        <f>'HK Passenger'!G8*75</f>
        <v>143171565.46391752</v>
      </c>
    </row>
    <row r="17" spans="1:13">
      <c r="A17" t="s">
        <v>165</v>
      </c>
    </row>
    <row r="18" spans="1:13" ht="30">
      <c r="A18" t="s">
        <v>126</v>
      </c>
      <c r="C18" t="s">
        <v>154</v>
      </c>
      <c r="D18" t="s">
        <v>155</v>
      </c>
      <c r="E18" t="s">
        <v>156</v>
      </c>
      <c r="F18" t="s">
        <v>157</v>
      </c>
      <c r="G18" s="52" t="s">
        <v>158</v>
      </c>
      <c r="H18" t="s">
        <v>159</v>
      </c>
      <c r="I18" t="s">
        <v>167</v>
      </c>
      <c r="K18" t="s">
        <v>160</v>
      </c>
      <c r="L18" t="s">
        <v>126</v>
      </c>
      <c r="M18" t="s">
        <v>161</v>
      </c>
    </row>
    <row r="19" spans="1:13">
      <c r="C19" s="53"/>
      <c r="L19">
        <v>1997</v>
      </c>
      <c r="M19" s="54">
        <v>313639.00900000002</v>
      </c>
    </row>
    <row r="20" spans="1:13">
      <c r="A20">
        <v>2016</v>
      </c>
      <c r="B20">
        <v>1</v>
      </c>
      <c r="C20">
        <v>7336600</v>
      </c>
      <c r="D20">
        <f t="shared" ref="D20:D43" si="2">LN(C20/1000)</f>
        <v>8.9006307990323759</v>
      </c>
      <c r="E20" s="12">
        <f t="shared" ref="E20:E43" si="3" xml:space="preserve">  -219.68*(B20^2)+16930*B20+514143</f>
        <v>530853.31999999995</v>
      </c>
      <c r="F20">
        <f t="shared" ref="F20:F43" si="4">D20*5954.038+E20*0.0054592-50018.53</f>
        <v>5874.1984459531232</v>
      </c>
      <c r="G20">
        <f>F20*10^6/E20</f>
        <v>11065.577297233676</v>
      </c>
      <c r="H20">
        <f>G20*0.621371</f>
        <v>6875.8288307593866</v>
      </c>
      <c r="I20">
        <f>F20/($D$2/10^6)</f>
        <v>1.1052113727099009</v>
      </c>
      <c r="L20">
        <v>2002</v>
      </c>
      <c r="M20" s="54">
        <v>339282</v>
      </c>
    </row>
    <row r="21" spans="1:13">
      <c r="A21">
        <v>2017</v>
      </c>
      <c r="B21">
        <v>2</v>
      </c>
      <c r="C21">
        <v>7391700</v>
      </c>
      <c r="D21">
        <f t="shared" si="2"/>
        <v>8.9081130280823668</v>
      </c>
      <c r="E21" s="12">
        <f t="shared" si="3"/>
        <v>547124.28</v>
      </c>
      <c r="F21">
        <f t="shared" si="4"/>
        <v>6007.57434687348</v>
      </c>
      <c r="G21">
        <f t="shared" ref="G21:G54" si="5">F21*10^6/E21</f>
        <v>10980.273708330911</v>
      </c>
      <c r="H21">
        <f t="shared" ref="H21:H54" si="6">G21*0.621371</f>
        <v>6822.8236544192869</v>
      </c>
      <c r="I21">
        <f t="shared" ref="I21:I54" si="7">F21/($D$2/10^6)</f>
        <v>1.1303056155923763</v>
      </c>
      <c r="L21">
        <v>2007</v>
      </c>
      <c r="M21" s="54">
        <v>373373</v>
      </c>
    </row>
    <row r="22" spans="1:13">
      <c r="A22">
        <v>2018</v>
      </c>
      <c r="B22">
        <v>3</v>
      </c>
      <c r="C22">
        <v>7448900</v>
      </c>
      <c r="D22">
        <f t="shared" si="2"/>
        <v>8.9158216494654106</v>
      </c>
      <c r="E22" s="12">
        <f t="shared" si="3"/>
        <v>562955.88</v>
      </c>
      <c r="F22">
        <f t="shared" si="4"/>
        <v>6139.8996422357304</v>
      </c>
      <c r="G22">
        <f t="shared" si="5"/>
        <v>10906.537901754806</v>
      </c>
      <c r="H22">
        <f t="shared" si="6"/>
        <v>6777.0063625512857</v>
      </c>
      <c r="I22">
        <f t="shared" si="7"/>
        <v>1.1552021904488674</v>
      </c>
      <c r="L22">
        <v>2012</v>
      </c>
      <c r="M22" s="54">
        <v>455989</v>
      </c>
    </row>
    <row r="23" spans="1:13">
      <c r="A23">
        <v>2019</v>
      </c>
      <c r="B23">
        <v>4</v>
      </c>
      <c r="C23">
        <v>7502600</v>
      </c>
      <c r="D23">
        <f t="shared" si="2"/>
        <v>8.9230049061160628</v>
      </c>
      <c r="E23" s="12">
        <f t="shared" si="3"/>
        <v>578348.12</v>
      </c>
      <c r="F23">
        <f t="shared" si="4"/>
        <v>6266.6983419054741</v>
      </c>
      <c r="G23">
        <f t="shared" si="5"/>
        <v>10835.51260079392</v>
      </c>
      <c r="H23">
        <f t="shared" si="6"/>
        <v>6732.8733002679191</v>
      </c>
      <c r="I23">
        <f t="shared" si="7"/>
        <v>1.179058954262554</v>
      </c>
      <c r="K23">
        <v>1</v>
      </c>
      <c r="L23">
        <v>2016</v>
      </c>
      <c r="M23" s="54">
        <v>530909</v>
      </c>
    </row>
    <row r="24" spans="1:13">
      <c r="A24">
        <v>2020</v>
      </c>
      <c r="B24">
        <v>5</v>
      </c>
      <c r="C24">
        <v>7558100</v>
      </c>
      <c r="D24">
        <f t="shared" si="2"/>
        <v>8.9303751148354014</v>
      </c>
      <c r="E24" s="12">
        <f t="shared" si="3"/>
        <v>593301</v>
      </c>
      <c r="F24">
        <f t="shared" si="4"/>
        <v>6392.2116071843411</v>
      </c>
      <c r="G24">
        <f t="shared" si="5"/>
        <v>10773.977470431268</v>
      </c>
      <c r="H24">
        <f t="shared" si="6"/>
        <v>6694.6371547793469</v>
      </c>
      <c r="I24">
        <f t="shared" si="7"/>
        <v>1.2026738677675148</v>
      </c>
      <c r="K24">
        <v>6</v>
      </c>
      <c r="L24">
        <v>2021</v>
      </c>
      <c r="M24" s="54">
        <v>608435.10100000002</v>
      </c>
    </row>
    <row r="25" spans="1:13">
      <c r="A25">
        <v>2021</v>
      </c>
      <c r="B25">
        <v>6</v>
      </c>
      <c r="C25">
        <v>7608400</v>
      </c>
      <c r="D25">
        <f t="shared" si="2"/>
        <v>8.9370081790786866</v>
      </c>
      <c r="E25" s="12">
        <f t="shared" si="3"/>
        <v>607814.52</v>
      </c>
      <c r="F25">
        <f t="shared" si="4"/>
        <v>6510.9373321293024</v>
      </c>
      <c r="G25">
        <f t="shared" si="5"/>
        <v>10712.046385679141</v>
      </c>
      <c r="H25">
        <f t="shared" si="6"/>
        <v>6656.1549747158333</v>
      </c>
      <c r="I25">
        <f t="shared" si="7"/>
        <v>1.2250117275878274</v>
      </c>
      <c r="K25">
        <v>11</v>
      </c>
      <c r="L25">
        <v>2026</v>
      </c>
      <c r="M25" s="54">
        <v>671016.90100000007</v>
      </c>
    </row>
    <row r="26" spans="1:13">
      <c r="A26">
        <v>2022</v>
      </c>
      <c r="B26">
        <v>7</v>
      </c>
      <c r="C26">
        <v>7657700</v>
      </c>
      <c r="D26">
        <f t="shared" si="2"/>
        <v>8.9434669565506422</v>
      </c>
      <c r="E26" s="12">
        <f t="shared" si="3"/>
        <v>621888.67999999993</v>
      </c>
      <c r="F26">
        <f t="shared" si="4"/>
        <v>6626.2267929028749</v>
      </c>
      <c r="G26">
        <f t="shared" si="5"/>
        <v>10655.004675278662</v>
      </c>
      <c r="H26">
        <f t="shared" si="6"/>
        <v>6620.7109100825774</v>
      </c>
      <c r="I26">
        <f t="shared" si="7"/>
        <v>1.2467030654567968</v>
      </c>
      <c r="K26">
        <v>16</v>
      </c>
      <c r="L26">
        <v>2031</v>
      </c>
      <c r="M26" s="54">
        <v>732926.40100000007</v>
      </c>
    </row>
    <row r="27" spans="1:13">
      <c r="A27">
        <v>2023</v>
      </c>
      <c r="B27">
        <v>8</v>
      </c>
      <c r="C27">
        <v>7705400</v>
      </c>
      <c r="D27">
        <f t="shared" si="2"/>
        <v>8.9496766607480502</v>
      </c>
      <c r="E27" s="12">
        <f t="shared" si="3"/>
        <v>635523.48</v>
      </c>
      <c r="F27">
        <f t="shared" si="4"/>
        <v>6737.6347078230028</v>
      </c>
      <c r="G27">
        <f t="shared" si="5"/>
        <v>10601.708543991172</v>
      </c>
      <c r="H27">
        <f t="shared" si="6"/>
        <v>6587.5942396883383</v>
      </c>
      <c r="I27">
        <f t="shared" si="7"/>
        <v>1.26766410307112</v>
      </c>
      <c r="K27">
        <v>21</v>
      </c>
      <c r="L27">
        <v>2036</v>
      </c>
      <c r="M27" s="54">
        <v>769948.30200000003</v>
      </c>
    </row>
    <row r="28" spans="1:13">
      <c r="A28">
        <v>2024</v>
      </c>
      <c r="B28">
        <v>9</v>
      </c>
      <c r="C28">
        <v>7748400</v>
      </c>
      <c r="D28">
        <f t="shared" si="2"/>
        <v>8.9552416494204223</v>
      </c>
      <c r="E28" s="12">
        <f t="shared" si="3"/>
        <v>648718.91999999993</v>
      </c>
      <c r="F28">
        <f t="shared" si="4"/>
        <v>6842.8054078958667</v>
      </c>
      <c r="G28">
        <f t="shared" si="5"/>
        <v>10548.182266513619</v>
      </c>
      <c r="H28">
        <f t="shared" si="6"/>
        <v>6554.3345631258335</v>
      </c>
      <c r="I28">
        <f t="shared" si="7"/>
        <v>1.2874516289550078</v>
      </c>
      <c r="K28">
        <v>25</v>
      </c>
      <c r="L28">
        <v>2040</v>
      </c>
      <c r="M28" s="54">
        <v>800920.902</v>
      </c>
    </row>
    <row r="29" spans="1:13">
      <c r="A29">
        <v>2025</v>
      </c>
      <c r="B29">
        <v>10</v>
      </c>
      <c r="C29">
        <v>7788700</v>
      </c>
      <c r="D29">
        <f t="shared" si="2"/>
        <v>8.9604292443224995</v>
      </c>
      <c r="E29" s="12">
        <f t="shared" si="3"/>
        <v>661475</v>
      </c>
      <c r="F29">
        <f t="shared" si="4"/>
        <v>6943.3305370074449</v>
      </c>
      <c r="G29">
        <f t="shared" si="5"/>
        <v>10496.739161733165</v>
      </c>
      <c r="H29">
        <f t="shared" si="6"/>
        <v>6522.3693096652987</v>
      </c>
      <c r="I29">
        <f t="shared" si="7"/>
        <v>1.3063651057398769</v>
      </c>
    </row>
    <row r="30" spans="1:13">
      <c r="A30">
        <v>2026</v>
      </c>
      <c r="B30">
        <v>11</v>
      </c>
      <c r="C30">
        <v>7825200</v>
      </c>
      <c r="D30">
        <f t="shared" si="2"/>
        <v>8.9651045741871567</v>
      </c>
      <c r="E30" s="12">
        <f t="shared" si="3"/>
        <v>673791.72</v>
      </c>
      <c r="F30">
        <f t="shared" si="4"/>
        <v>7038.4070665081454</v>
      </c>
      <c r="G30">
        <f t="shared" si="5"/>
        <v>10445.968475997517</v>
      </c>
      <c r="H30">
        <f t="shared" si="6"/>
        <v>6490.8218778990531</v>
      </c>
      <c r="I30">
        <f t="shared" si="7"/>
        <v>1.3242534461915607</v>
      </c>
    </row>
    <row r="31" spans="1:13">
      <c r="A31">
        <v>2027</v>
      </c>
      <c r="B31">
        <v>12</v>
      </c>
      <c r="C31">
        <v>7859600</v>
      </c>
      <c r="D31">
        <f t="shared" si="2"/>
        <v>8.9694909935430402</v>
      </c>
      <c r="E31" s="12">
        <f t="shared" si="3"/>
        <v>685669.08</v>
      </c>
      <c r="F31">
        <f t="shared" si="4"/>
        <v>7129.3648577490167</v>
      </c>
      <c r="G31">
        <f t="shared" si="5"/>
        <v>10397.675884333325</v>
      </c>
      <c r="H31">
        <f t="shared" si="6"/>
        <v>6460.8142619240825</v>
      </c>
      <c r="I31">
        <f t="shared" si="7"/>
        <v>1.3413668594071526</v>
      </c>
    </row>
    <row r="32" spans="1:13">
      <c r="A32">
        <v>2028</v>
      </c>
      <c r="B32">
        <v>13</v>
      </c>
      <c r="C32">
        <v>7895200</v>
      </c>
      <c r="D32">
        <f t="shared" si="2"/>
        <v>8.9740102588577972</v>
      </c>
      <c r="E32" s="12">
        <f t="shared" si="3"/>
        <v>697107.08000000007</v>
      </c>
      <c r="F32">
        <f t="shared" si="4"/>
        <v>7218.7150647651579</v>
      </c>
      <c r="G32">
        <f t="shared" si="5"/>
        <v>10355.245660057213</v>
      </c>
      <c r="H32">
        <f t="shared" si="6"/>
        <v>6434.4493510354105</v>
      </c>
      <c r="I32">
        <f t="shared" si="7"/>
        <v>1.3581778108683269</v>
      </c>
    </row>
    <row r="33" spans="1:9">
      <c r="A33">
        <v>2029</v>
      </c>
      <c r="B33">
        <v>14</v>
      </c>
      <c r="C33">
        <v>7930500</v>
      </c>
      <c r="D33">
        <f t="shared" si="2"/>
        <v>8.9784713643436138</v>
      </c>
      <c r="E33" s="12">
        <f t="shared" si="3"/>
        <v>708105.72</v>
      </c>
      <c r="F33">
        <f t="shared" si="4"/>
        <v>7305.3204318377175</v>
      </c>
      <c r="G33">
        <f t="shared" si="5"/>
        <v>10316.708685586833</v>
      </c>
      <c r="H33">
        <f t="shared" si="6"/>
        <v>6410.5035926717756</v>
      </c>
      <c r="I33">
        <f t="shared" si="7"/>
        <v>1.3744723296025809</v>
      </c>
    </row>
    <row r="34" spans="1:9">
      <c r="A34">
        <v>2030</v>
      </c>
      <c r="B34">
        <v>15</v>
      </c>
      <c r="C34">
        <v>7963800</v>
      </c>
      <c r="D34">
        <f t="shared" si="2"/>
        <v>8.9826615518602111</v>
      </c>
      <c r="E34" s="12">
        <f t="shared" si="3"/>
        <v>718665</v>
      </c>
      <c r="F34">
        <f t="shared" si="4"/>
        <v>7387.9141889146631</v>
      </c>
      <c r="G34">
        <f t="shared" si="5"/>
        <v>10280.052860393456</v>
      </c>
      <c r="H34">
        <f t="shared" si="6"/>
        <v>6387.7267259155424</v>
      </c>
      <c r="I34">
        <f t="shared" si="7"/>
        <v>1.3900120769359667</v>
      </c>
    </row>
    <row r="35" spans="1:9">
      <c r="A35">
        <v>2031</v>
      </c>
      <c r="B35">
        <v>16</v>
      </c>
      <c r="C35">
        <v>7996200</v>
      </c>
      <c r="D35">
        <f t="shared" si="2"/>
        <v>8.9867217078137358</v>
      </c>
      <c r="E35" s="12">
        <f t="shared" si="3"/>
        <v>728784.91999999993</v>
      </c>
      <c r="F35">
        <f t="shared" si="4"/>
        <v>7467.3351790118759</v>
      </c>
      <c r="G35">
        <f t="shared" si="5"/>
        <v>10246.28113739219</v>
      </c>
      <c r="H35">
        <f t="shared" si="6"/>
        <v>6366.7419566225226</v>
      </c>
      <c r="I35">
        <f t="shared" si="7"/>
        <v>1.404954878459431</v>
      </c>
    </row>
    <row r="36" spans="1:9">
      <c r="A36">
        <v>2032</v>
      </c>
      <c r="B36">
        <v>17</v>
      </c>
      <c r="C36">
        <v>8028000</v>
      </c>
      <c r="D36">
        <f t="shared" si="2"/>
        <v>8.9906907099162279</v>
      </c>
      <c r="E36" s="12">
        <f t="shared" si="3"/>
        <v>738465.48</v>
      </c>
      <c r="F36">
        <f t="shared" si="4"/>
        <v>7543.8148815041932</v>
      </c>
      <c r="G36">
        <f t="shared" si="5"/>
        <v>10215.528126655552</v>
      </c>
      <c r="H36">
        <f t="shared" si="6"/>
        <v>6347.6329275880871</v>
      </c>
      <c r="I36">
        <f t="shared" si="7"/>
        <v>1.4193442862660759</v>
      </c>
    </row>
    <row r="37" spans="1:9">
      <c r="A37">
        <v>2033</v>
      </c>
      <c r="B37">
        <v>18</v>
      </c>
      <c r="C37">
        <v>8060000</v>
      </c>
      <c r="D37">
        <f t="shared" si="2"/>
        <v>8.9946688355006739</v>
      </c>
      <c r="E37" s="12">
        <f t="shared" si="3"/>
        <v>747706.67999999993</v>
      </c>
      <c r="F37">
        <f t="shared" si="4"/>
        <v>7617.9503514427561</v>
      </c>
      <c r="G37">
        <f t="shared" si="5"/>
        <v>10188.420881090371</v>
      </c>
      <c r="H37">
        <f t="shared" si="6"/>
        <v>6330.7892713040046</v>
      </c>
      <c r="I37">
        <f t="shared" si="7"/>
        <v>1.4332926343260124</v>
      </c>
    </row>
    <row r="38" spans="1:9">
      <c r="A38">
        <v>2034</v>
      </c>
      <c r="B38">
        <v>19</v>
      </c>
      <c r="C38">
        <v>8090200</v>
      </c>
      <c r="D38">
        <f t="shared" si="2"/>
        <v>8.998408731625819</v>
      </c>
      <c r="E38" s="12">
        <f t="shared" si="3"/>
        <v>756508.52</v>
      </c>
      <c r="F38">
        <f t="shared" si="4"/>
        <v>7688.2688400159241</v>
      </c>
      <c r="G38">
        <f t="shared" si="5"/>
        <v>10162.831794697995</v>
      </c>
      <c r="H38">
        <f t="shared" si="6"/>
        <v>6314.888955103288</v>
      </c>
      <c r="I38">
        <f t="shared" si="7"/>
        <v>1.4465228297301833</v>
      </c>
    </row>
    <row r="39" spans="1:9">
      <c r="A39">
        <v>2035</v>
      </c>
      <c r="B39">
        <v>20</v>
      </c>
      <c r="C39">
        <v>8117200</v>
      </c>
      <c r="D39">
        <f t="shared" si="2"/>
        <v>9.0017405461028144</v>
      </c>
      <c r="E39" s="12">
        <f t="shared" si="3"/>
        <v>764871</v>
      </c>
      <c r="F39">
        <f t="shared" si="4"/>
        <v>7753.7590408368997</v>
      </c>
      <c r="G39">
        <f t="shared" si="5"/>
        <v>10137.342167289517</v>
      </c>
      <c r="H39">
        <f t="shared" si="6"/>
        <v>6299.050439830854</v>
      </c>
      <c r="I39">
        <f t="shared" si="7"/>
        <v>1.4588445984641392</v>
      </c>
    </row>
    <row r="40" spans="1:9">
      <c r="A40">
        <v>2036</v>
      </c>
      <c r="B40">
        <v>21</v>
      </c>
      <c r="C40">
        <v>8141700</v>
      </c>
      <c r="D40">
        <f t="shared" si="2"/>
        <v>9.004754282400306</v>
      </c>
      <c r="E40" s="12">
        <f t="shared" si="3"/>
        <v>772794.12</v>
      </c>
      <c r="F40">
        <f t="shared" si="4"/>
        <v>7814.9568379781485</v>
      </c>
      <c r="G40">
        <f t="shared" si="5"/>
        <v>10112.598731960006</v>
      </c>
      <c r="H40">
        <f t="shared" si="6"/>
        <v>6283.6755866767207</v>
      </c>
      <c r="I40">
        <f t="shared" si="7"/>
        <v>1.4703587653768859</v>
      </c>
    </row>
    <row r="41" spans="1:9">
      <c r="A41">
        <v>2037</v>
      </c>
      <c r="B41">
        <v>22</v>
      </c>
      <c r="C41">
        <v>8163500</v>
      </c>
      <c r="D41">
        <f t="shared" si="2"/>
        <v>9.0074282775662198</v>
      </c>
      <c r="E41" s="12">
        <f t="shared" si="3"/>
        <v>780277.88</v>
      </c>
      <c r="F41">
        <f t="shared" si="4"/>
        <v>7871.7332493998183</v>
      </c>
      <c r="G41">
        <f t="shared" si="5"/>
        <v>10088.371657286783</v>
      </c>
      <c r="H41">
        <f t="shared" si="6"/>
        <v>6268.6215850599456</v>
      </c>
      <c r="I41">
        <f t="shared" si="7"/>
        <v>1.4810410629162405</v>
      </c>
    </row>
    <row r="42" spans="1:9">
      <c r="A42">
        <v>2038</v>
      </c>
      <c r="B42">
        <v>23</v>
      </c>
      <c r="C42">
        <v>8182000</v>
      </c>
      <c r="D42">
        <f t="shared" si="2"/>
        <v>9.0096918984893435</v>
      </c>
      <c r="E42" s="12">
        <f t="shared" si="3"/>
        <v>787322.28</v>
      </c>
      <c r="F42">
        <f t="shared" si="4"/>
        <v>7923.667722873688</v>
      </c>
      <c r="G42">
        <f t="shared" si="5"/>
        <v>10064.071504331983</v>
      </c>
      <c r="H42">
        <f t="shared" si="6"/>
        <v>6253.5221747182686</v>
      </c>
      <c r="I42">
        <f t="shared" si="7"/>
        <v>1.4908123655453787</v>
      </c>
    </row>
    <row r="43" spans="1:9">
      <c r="A43">
        <v>2039</v>
      </c>
      <c r="B43">
        <v>24</v>
      </c>
      <c r="C43">
        <v>8196200</v>
      </c>
      <c r="D43">
        <f t="shared" si="2"/>
        <v>9.0114259112084518</v>
      </c>
      <c r="E43" s="12">
        <f t="shared" si="3"/>
        <v>793927.32000000007</v>
      </c>
      <c r="F43">
        <f t="shared" si="4"/>
        <v>7970.050334863743</v>
      </c>
      <c r="G43">
        <f t="shared" si="5"/>
        <v>10038.765683064972</v>
      </c>
      <c r="H43">
        <f t="shared" si="6"/>
        <v>6237.7978712517652</v>
      </c>
      <c r="I43">
        <f t="shared" si="7"/>
        <v>1.4995391034550787</v>
      </c>
    </row>
    <row r="44" spans="1:9">
      <c r="A44">
        <v>2040</v>
      </c>
      <c r="B44">
        <v>25</v>
      </c>
      <c r="C44">
        <v>8207000</v>
      </c>
      <c r="D44">
        <f>LN(C44/1000)</f>
        <v>9.0127427276297123</v>
      </c>
      <c r="E44" s="12">
        <f xml:space="preserve">  -219.68*(B44^2)+16930*B44+514143</f>
        <v>800093</v>
      </c>
      <c r="F44">
        <f>D44*5954.038+E44*0.0054592-50018.53</f>
        <v>8011.5503901309567</v>
      </c>
      <c r="G44">
        <f t="shared" si="5"/>
        <v>10013.27394456764</v>
      </c>
      <c r="H44">
        <f t="shared" si="6"/>
        <v>6221.9580442099386</v>
      </c>
      <c r="I44">
        <f t="shared" si="7"/>
        <v>1.5073472041638676</v>
      </c>
    </row>
    <row r="45" spans="1:9">
      <c r="A45">
        <v>2041</v>
      </c>
      <c r="B45">
        <v>26</v>
      </c>
      <c r="C45">
        <v>8213799.9999999991</v>
      </c>
      <c r="D45">
        <f t="shared" ref="D45:D54" si="8">LN(C45/1000)</f>
        <v>9.0135709455470732</v>
      </c>
      <c r="E45" s="12">
        <f t="shared" ref="E45:E54" si="9" xml:space="preserve">  -219.68*(B45^2)+16930*B45+514143</f>
        <v>805819.32000000007</v>
      </c>
      <c r="F45">
        <f t="shared" ref="F45:F54" si="10">D45*5954.038+E45*0.0054592-50018.53</f>
        <v>8047.742757227199</v>
      </c>
      <c r="G45">
        <f t="shared" si="5"/>
        <v>9987.0312829272916</v>
      </c>
      <c r="H45">
        <f t="shared" si="6"/>
        <v>6205.6516153038137</v>
      </c>
      <c r="I45">
        <f t="shared" si="7"/>
        <v>1.5141566805695577</v>
      </c>
    </row>
    <row r="46" spans="1:9">
      <c r="A46">
        <v>2042</v>
      </c>
      <c r="B46">
        <v>27</v>
      </c>
      <c r="C46">
        <v>8217100</v>
      </c>
      <c r="D46">
        <f t="shared" si="8"/>
        <v>9.0139726277488226</v>
      </c>
      <c r="E46" s="12">
        <f t="shared" si="9"/>
        <v>811106.28</v>
      </c>
      <c r="F46">
        <f t="shared" si="10"/>
        <v>8078.9969603523423</v>
      </c>
      <c r="G46">
        <f t="shared" si="5"/>
        <v>9960.466537569333</v>
      </c>
      <c r="H46">
        <f t="shared" si="6"/>
        <v>6189.1450529159938</v>
      </c>
      <c r="I46">
        <f t="shared" si="7"/>
        <v>1.5200370574510522</v>
      </c>
    </row>
    <row r="47" spans="1:9">
      <c r="A47">
        <v>2043</v>
      </c>
      <c r="B47">
        <v>28</v>
      </c>
      <c r="C47">
        <v>8218500</v>
      </c>
      <c r="D47">
        <f t="shared" si="8"/>
        <v>9.0141429896465795</v>
      </c>
      <c r="E47" s="12">
        <f t="shared" si="9"/>
        <v>815953.88</v>
      </c>
      <c r="F47">
        <f t="shared" si="10"/>
        <v>8106.4753194853402</v>
      </c>
      <c r="G47">
        <f t="shared" si="5"/>
        <v>9934.9675492508723</v>
      </c>
      <c r="H47">
        <f t="shared" si="6"/>
        <v>6173.3007210455635</v>
      </c>
      <c r="I47">
        <f t="shared" si="7"/>
        <v>1.5252070215400453</v>
      </c>
    </row>
    <row r="48" spans="1:9">
      <c r="A48">
        <v>2044</v>
      </c>
      <c r="B48">
        <v>29</v>
      </c>
      <c r="C48">
        <v>8217600</v>
      </c>
      <c r="D48">
        <f t="shared" si="8"/>
        <v>9.0140334746155322</v>
      </c>
      <c r="E48" s="12">
        <f t="shared" si="9"/>
        <v>820362.12</v>
      </c>
      <c r="F48">
        <f t="shared" si="10"/>
        <v>8129.8887266369129</v>
      </c>
      <c r="G48">
        <f t="shared" si="5"/>
        <v>9910.1220405409658</v>
      </c>
      <c r="H48">
        <f t="shared" si="6"/>
        <v>6157.8624424529808</v>
      </c>
      <c r="I48">
        <f t="shared" si="7"/>
        <v>1.5296121781066627</v>
      </c>
    </row>
    <row r="49" spans="1:35">
      <c r="A49">
        <v>2045</v>
      </c>
      <c r="B49">
        <v>30</v>
      </c>
      <c r="C49">
        <v>8213700.0000000009</v>
      </c>
      <c r="D49">
        <f t="shared" si="8"/>
        <v>9.0135587708400262</v>
      </c>
      <c r="E49" s="12">
        <f t="shared" si="9"/>
        <v>824331</v>
      </c>
      <c r="F49">
        <f t="shared" si="10"/>
        <v>8148.7292320148044</v>
      </c>
      <c r="G49">
        <f t="shared" si="5"/>
        <v>9885.2636040799207</v>
      </c>
      <c r="H49">
        <f t="shared" si="6"/>
        <v>6142.4161309307447</v>
      </c>
      <c r="I49">
        <f t="shared" si="7"/>
        <v>1.5331569580460591</v>
      </c>
    </row>
    <row r="50" spans="1:35">
      <c r="A50">
        <v>2046</v>
      </c>
      <c r="B50">
        <v>31</v>
      </c>
      <c r="C50">
        <v>8207200.0000000009</v>
      </c>
      <c r="D50">
        <f t="shared" si="8"/>
        <v>9.0127670967735032</v>
      </c>
      <c r="E50" s="12">
        <f t="shared" si="9"/>
        <v>827860.52</v>
      </c>
      <c r="F50">
        <f t="shared" si="10"/>
        <v>8163.283930123107</v>
      </c>
      <c r="G50">
        <f t="shared" si="5"/>
        <v>9860.6996382954785</v>
      </c>
      <c r="H50">
        <f t="shared" si="6"/>
        <v>6127.1527949473002</v>
      </c>
      <c r="I50">
        <f t="shared" si="7"/>
        <v>1.5358953772574049</v>
      </c>
    </row>
    <row r="51" spans="1:35">
      <c r="A51">
        <v>2047</v>
      </c>
      <c r="B51">
        <v>32</v>
      </c>
      <c r="C51">
        <v>8197100</v>
      </c>
      <c r="D51">
        <f t="shared" si="8"/>
        <v>9.0115357121638304</v>
      </c>
      <c r="E51" s="12">
        <f t="shared" si="9"/>
        <v>830950.67999999993</v>
      </c>
      <c r="F51">
        <f t="shared" si="10"/>
        <v>8172.8220208365019</v>
      </c>
      <c r="G51">
        <f t="shared" si="5"/>
        <v>9835.5079519719548</v>
      </c>
      <c r="H51">
        <f t="shared" si="6"/>
        <v>6111.4994116247653</v>
      </c>
      <c r="I51">
        <f t="shared" si="7"/>
        <v>1.5376899380689562</v>
      </c>
    </row>
    <row r="52" spans="1:35">
      <c r="A52">
        <v>2048</v>
      </c>
      <c r="B52">
        <v>33</v>
      </c>
      <c r="C52">
        <v>8185000</v>
      </c>
      <c r="D52">
        <f t="shared" si="8"/>
        <v>9.0100584898052354</v>
      </c>
      <c r="E52" s="12">
        <f t="shared" si="9"/>
        <v>833601.48</v>
      </c>
      <c r="F52">
        <f t="shared" si="10"/>
        <v>8178.4978301389783</v>
      </c>
      <c r="G52">
        <f t="shared" si="5"/>
        <v>9811.0404388185325</v>
      </c>
      <c r="H52">
        <f t="shared" si="6"/>
        <v>6096.2960085091108</v>
      </c>
      <c r="I52">
        <f t="shared" si="7"/>
        <v>1.5387578231681991</v>
      </c>
    </row>
    <row r="53" spans="1:35">
      <c r="A53">
        <v>2049</v>
      </c>
      <c r="B53">
        <v>34</v>
      </c>
      <c r="C53">
        <v>8170000</v>
      </c>
      <c r="D53">
        <f t="shared" si="8"/>
        <v>9.008224187854049</v>
      </c>
      <c r="E53" s="12">
        <f t="shared" si="9"/>
        <v>835812.91999999993</v>
      </c>
      <c r="F53">
        <f t="shared" si="10"/>
        <v>8179.6490198661413</v>
      </c>
      <c r="G53">
        <f t="shared" si="5"/>
        <v>9786.4591754170797</v>
      </c>
      <c r="H53">
        <f t="shared" si="6"/>
        <v>6081.0219242880867</v>
      </c>
      <c r="I53">
        <f t="shared" si="7"/>
        <v>1.5389744157791423</v>
      </c>
    </row>
    <row r="54" spans="1:35">
      <c r="A54">
        <v>2050</v>
      </c>
      <c r="B54">
        <v>35</v>
      </c>
      <c r="C54">
        <v>8152300</v>
      </c>
      <c r="D54">
        <f t="shared" si="8"/>
        <v>9.0060553750105115</v>
      </c>
      <c r="E54" s="12">
        <f t="shared" si="9"/>
        <v>837585</v>
      </c>
      <c r="F54">
        <f t="shared" si="10"/>
        <v>8176.4099649168274</v>
      </c>
      <c r="G54">
        <f t="shared" si="5"/>
        <v>9761.8868113884891</v>
      </c>
      <c r="H54">
        <f t="shared" si="6"/>
        <v>6065.7533698792768</v>
      </c>
      <c r="I54">
        <f t="shared" si="7"/>
        <v>1.5383649981028837</v>
      </c>
    </row>
    <row r="56" spans="1:35">
      <c r="A56">
        <v>1</v>
      </c>
      <c r="B56" t="s">
        <v>162</v>
      </c>
      <c r="C56" t="s">
        <v>163</v>
      </c>
    </row>
    <row r="57" spans="1:35">
      <c r="A57">
        <v>2</v>
      </c>
      <c r="B57" t="s">
        <v>164</v>
      </c>
    </row>
    <row r="59" spans="1:35">
      <c r="A59" t="s">
        <v>168</v>
      </c>
    </row>
    <row r="60" spans="1:35">
      <c r="A60">
        <v>2016</v>
      </c>
      <c r="B60">
        <v>2017</v>
      </c>
      <c r="C60">
        <v>2018</v>
      </c>
      <c r="D60">
        <v>2019</v>
      </c>
      <c r="E60">
        <v>2020</v>
      </c>
      <c r="F60">
        <v>2021</v>
      </c>
      <c r="G60">
        <v>2022</v>
      </c>
      <c r="H60">
        <v>2023</v>
      </c>
      <c r="I60">
        <v>2024</v>
      </c>
      <c r="J60">
        <v>2025</v>
      </c>
      <c r="K60">
        <v>2026</v>
      </c>
      <c r="L60">
        <v>2027</v>
      </c>
      <c r="M60">
        <v>2028</v>
      </c>
      <c r="N60">
        <v>2029</v>
      </c>
      <c r="O60">
        <v>2030</v>
      </c>
      <c r="P60">
        <v>2031</v>
      </c>
      <c r="Q60">
        <v>2032</v>
      </c>
      <c r="R60">
        <v>2033</v>
      </c>
      <c r="S60">
        <v>2034</v>
      </c>
      <c r="T60">
        <v>2035</v>
      </c>
      <c r="U60">
        <v>2036</v>
      </c>
      <c r="V60">
        <v>2037</v>
      </c>
      <c r="W60">
        <v>2038</v>
      </c>
      <c r="X60">
        <v>2039</v>
      </c>
      <c r="Y60">
        <v>2040</v>
      </c>
      <c r="Z60">
        <v>2041</v>
      </c>
      <c r="AA60">
        <v>2042</v>
      </c>
      <c r="AB60">
        <v>2043</v>
      </c>
      <c r="AC60">
        <v>2044</v>
      </c>
      <c r="AD60">
        <v>2045</v>
      </c>
      <c r="AE60">
        <v>2046</v>
      </c>
      <c r="AF60">
        <v>2047</v>
      </c>
      <c r="AG60">
        <v>2048</v>
      </c>
      <c r="AH60">
        <v>2049</v>
      </c>
      <c r="AI60">
        <v>2050</v>
      </c>
    </row>
    <row r="61" spans="1:35">
      <c r="A61">
        <v>1.1052113727099009</v>
      </c>
      <c r="B61">
        <v>1.1303056155923763</v>
      </c>
      <c r="C61">
        <v>1.1552021904488674</v>
      </c>
      <c r="D61">
        <v>1.179058954262554</v>
      </c>
      <c r="E61">
        <v>1.2026738677675148</v>
      </c>
      <c r="F61">
        <v>1.2250117275878274</v>
      </c>
      <c r="G61">
        <v>1.2467030654567968</v>
      </c>
      <c r="H61">
        <v>1.26766410307112</v>
      </c>
      <c r="I61">
        <v>1.2874516289550078</v>
      </c>
      <c r="J61">
        <v>1.3063651057398769</v>
      </c>
      <c r="K61">
        <v>1.3242534461915607</v>
      </c>
      <c r="L61">
        <v>1.3413668594071526</v>
      </c>
      <c r="M61">
        <v>1.3581778108683269</v>
      </c>
      <c r="N61">
        <v>1.3744723296025809</v>
      </c>
      <c r="O61">
        <v>1.3900120769359667</v>
      </c>
      <c r="P61">
        <v>1.404954878459431</v>
      </c>
      <c r="Q61">
        <v>1.4193442862660759</v>
      </c>
      <c r="R61">
        <v>1.4332926343260124</v>
      </c>
      <c r="S61">
        <v>1.4465228297301833</v>
      </c>
      <c r="T61">
        <v>1.4588445984641392</v>
      </c>
      <c r="U61">
        <v>1.4703587653768859</v>
      </c>
      <c r="V61">
        <v>1.4810410629162405</v>
      </c>
      <c r="W61">
        <v>1.4908123655453787</v>
      </c>
      <c r="X61">
        <v>1.4995391034550787</v>
      </c>
      <c r="Y61">
        <v>1.5073472041638676</v>
      </c>
      <c r="Z61">
        <v>1.5141566805695577</v>
      </c>
      <c r="AA61">
        <v>1.5200370574510522</v>
      </c>
      <c r="AB61">
        <v>1.5252070215400453</v>
      </c>
      <c r="AC61">
        <v>1.5296121781066627</v>
      </c>
      <c r="AD61">
        <v>1.5331569580460591</v>
      </c>
      <c r="AE61">
        <v>1.5358953772574049</v>
      </c>
      <c r="AF61">
        <v>1.5376899380689562</v>
      </c>
      <c r="AG61">
        <v>1.5387578231681991</v>
      </c>
      <c r="AH61">
        <v>1.5389744157791423</v>
      </c>
      <c r="AI61">
        <v>1.5383649981028837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728C-D3D3-4ADB-A821-301AB86C47B6}">
  <dimension ref="A1:AX91"/>
  <sheetViews>
    <sheetView workbookViewId="0">
      <selection activeCell="G6" sqref="G6"/>
    </sheetView>
  </sheetViews>
  <sheetFormatPr defaultRowHeight="15"/>
  <cols>
    <col min="1" max="1" width="29.85546875" customWidth="1"/>
    <col min="2" max="2" width="10.7109375" customWidth="1"/>
    <col min="3" max="3" width="12.7109375" customWidth="1"/>
    <col min="4" max="5" width="14.7109375" customWidth="1"/>
    <col min="6" max="6" width="16.5703125" customWidth="1"/>
    <col min="7" max="7" width="17.85546875" customWidth="1"/>
  </cols>
  <sheetData>
    <row r="1" spans="1:14" ht="30">
      <c r="A1" s="50" t="s">
        <v>125</v>
      </c>
      <c r="B1" s="50" t="s">
        <v>126</v>
      </c>
      <c r="C1" s="50" t="s">
        <v>127</v>
      </c>
      <c r="D1" s="50" t="s">
        <v>128</v>
      </c>
      <c r="E1" s="50" t="s">
        <v>119</v>
      </c>
      <c r="F1" s="50" t="s">
        <v>129</v>
      </c>
      <c r="G1" s="50" t="s">
        <v>130</v>
      </c>
      <c r="H1" s="36"/>
    </row>
    <row r="2" spans="1:14" ht="27.75" customHeight="1">
      <c r="A2" t="s">
        <v>203</v>
      </c>
      <c r="B2">
        <v>2013</v>
      </c>
      <c r="C2">
        <f>C3+C4</f>
        <v>114663</v>
      </c>
      <c r="D2">
        <f>3519*10^6</f>
        <v>3519000000</v>
      </c>
      <c r="E2">
        <f>D2*0.621371192</f>
        <v>2186605224.6480002</v>
      </c>
      <c r="H2" s="36"/>
    </row>
    <row r="3" spans="1:14" ht="27.75" customHeight="1">
      <c r="A3" s="39" t="s">
        <v>216</v>
      </c>
      <c r="B3" s="39"/>
      <c r="C3" s="39">
        <f>Extra_Info!C10</f>
        <v>72384</v>
      </c>
      <c r="D3" s="39">
        <f>D2*(C3/(C3+C4))</f>
        <v>2221460244.368279</v>
      </c>
      <c r="E3">
        <f t="shared" ref="E3:E4" si="0">D3*0.621371192</f>
        <v>1380351400.0237288</v>
      </c>
      <c r="F3" s="39">
        <f>D3/C3</f>
        <v>30689.934852567956</v>
      </c>
      <c r="G3" s="39">
        <f>E3/C3</f>
        <v>19069.841401742495</v>
      </c>
      <c r="H3" s="36"/>
    </row>
    <row r="4" spans="1:14" ht="41.25" customHeight="1">
      <c r="A4" s="39" t="s">
        <v>139</v>
      </c>
      <c r="B4" s="39">
        <v>2013</v>
      </c>
      <c r="C4" s="39">
        <f>Extra_Info!C11+Extra_Info!C12</f>
        <v>42279</v>
      </c>
      <c r="D4" s="39">
        <f>D2*(C4/(C3+C4))</f>
        <v>1297539755.6317208</v>
      </c>
      <c r="E4">
        <f t="shared" si="0"/>
        <v>806253824.62427104</v>
      </c>
      <c r="F4" s="39">
        <f>D4/C4</f>
        <v>30689.93485256796</v>
      </c>
      <c r="G4" s="39">
        <f>E4/C4</f>
        <v>19069.841401742498</v>
      </c>
      <c r="H4" s="36"/>
    </row>
    <row r="5" spans="1:14" ht="16.5" customHeight="1">
      <c r="A5" s="39" t="s">
        <v>140</v>
      </c>
      <c r="B5" s="39">
        <v>2017</v>
      </c>
      <c r="C5" s="39">
        <f>'HK Air'!D3</f>
        <v>194</v>
      </c>
      <c r="D5" s="76">
        <f>'HK Air'!C3</f>
        <v>596000000</v>
      </c>
      <c r="E5" s="39">
        <v>370337116</v>
      </c>
      <c r="F5" s="39">
        <v>3072164.9479999999</v>
      </c>
      <c r="G5" s="39">
        <v>1908954.206</v>
      </c>
      <c r="H5" s="36"/>
    </row>
    <row r="6" spans="1:14">
      <c r="A6" s="39" t="s">
        <v>141</v>
      </c>
      <c r="B6" s="39"/>
      <c r="C6" s="39">
        <f>Ships!B6</f>
        <v>28</v>
      </c>
      <c r="D6" s="39"/>
      <c r="E6" s="39"/>
      <c r="F6" s="39">
        <f>18*12*365</f>
        <v>78840</v>
      </c>
      <c r="G6" s="39">
        <f>F6*0.621371192</f>
        <v>48988.904777280004</v>
      </c>
      <c r="H6" s="36"/>
    </row>
    <row r="7" spans="1:14">
      <c r="A7" s="39"/>
      <c r="B7" s="39"/>
      <c r="C7" s="39"/>
      <c r="D7" s="39"/>
      <c r="E7" s="39"/>
      <c r="F7" s="39"/>
      <c r="G7" s="39"/>
      <c r="H7" s="36"/>
    </row>
    <row r="8" spans="1:14" ht="33" customHeight="1">
      <c r="A8" s="36" t="s">
        <v>141</v>
      </c>
      <c r="B8" s="49" t="s">
        <v>204</v>
      </c>
      <c r="C8" s="36"/>
      <c r="D8" s="36"/>
      <c r="E8" s="36"/>
      <c r="F8" s="36"/>
      <c r="G8" s="36"/>
      <c r="H8" s="36"/>
    </row>
    <row r="9" spans="1:14">
      <c r="A9" s="36"/>
      <c r="B9" s="36"/>
      <c r="C9" s="36"/>
      <c r="D9" s="36"/>
      <c r="E9" s="36"/>
      <c r="F9" s="36"/>
      <c r="G9" s="36"/>
      <c r="H9" s="36"/>
    </row>
    <row r="10" spans="1:14">
      <c r="A10" s="36"/>
      <c r="B10" s="36"/>
      <c r="C10" s="36"/>
      <c r="D10" s="36">
        <f>18*25*365</f>
        <v>164250</v>
      </c>
      <c r="E10" s="36"/>
      <c r="F10" s="36"/>
      <c r="G10" s="36"/>
      <c r="H10" s="36"/>
    </row>
    <row r="11" spans="1:14">
      <c r="A11" s="36"/>
      <c r="B11" s="36"/>
      <c r="C11" s="36"/>
      <c r="D11" s="36"/>
      <c r="E11" s="36"/>
      <c r="F11" s="36"/>
      <c r="G11" s="36"/>
      <c r="H11" s="36"/>
    </row>
    <row r="12" spans="1:14">
      <c r="A12" t="s">
        <v>169</v>
      </c>
    </row>
    <row r="13" spans="1:14" ht="90">
      <c r="B13" t="s">
        <v>126</v>
      </c>
      <c r="C13" s="52" t="s">
        <v>170</v>
      </c>
      <c r="D13" t="s">
        <v>171</v>
      </c>
      <c r="E13" s="55" t="s">
        <v>161</v>
      </c>
      <c r="F13" s="52" t="s">
        <v>172</v>
      </c>
      <c r="G13" s="56" t="s">
        <v>173</v>
      </c>
      <c r="H13" s="52" t="s">
        <v>174</v>
      </c>
      <c r="I13" s="52" t="s">
        <v>175</v>
      </c>
      <c r="J13" s="52" t="s">
        <v>158</v>
      </c>
      <c r="K13" s="52" t="s">
        <v>176</v>
      </c>
    </row>
    <row r="14" spans="1:14">
      <c r="A14">
        <v>3</v>
      </c>
      <c r="B14">
        <v>2002</v>
      </c>
      <c r="C14" s="8">
        <v>11738</v>
      </c>
      <c r="D14" s="57">
        <v>8.5194477693955875E-7</v>
      </c>
      <c r="E14" s="55">
        <v>114973</v>
      </c>
      <c r="F14" s="55">
        <v>4489</v>
      </c>
      <c r="G14" s="58"/>
      <c r="H14">
        <v>4489</v>
      </c>
      <c r="I14" s="55">
        <v>1173785</v>
      </c>
      <c r="J14">
        <v>39043.949449001069</v>
      </c>
      <c r="K14">
        <v>24260.777913075242</v>
      </c>
      <c r="M14" t="s">
        <v>177</v>
      </c>
    </row>
    <row r="15" spans="1:14" ht="15.75" thickBot="1">
      <c r="A15">
        <v>4</v>
      </c>
      <c r="B15">
        <v>2003</v>
      </c>
      <c r="C15" s="8">
        <v>11915</v>
      </c>
      <c r="D15" s="57">
        <v>8.2646813800034377E-7</v>
      </c>
      <c r="E15" s="55">
        <v>113572</v>
      </c>
      <c r="F15" s="55">
        <v>4485</v>
      </c>
      <c r="G15" s="58"/>
      <c r="H15">
        <v>4485</v>
      </c>
      <c r="I15" s="55">
        <v>1209968</v>
      </c>
      <c r="J15">
        <v>39490.367344063678</v>
      </c>
      <c r="K15">
        <v>24538.169046948191</v>
      </c>
    </row>
    <row r="16" spans="1:14">
      <c r="A16">
        <v>5</v>
      </c>
      <c r="B16">
        <v>2004</v>
      </c>
      <c r="C16" s="8">
        <v>12496</v>
      </c>
      <c r="D16" s="57">
        <v>7.6110683199936675E-7</v>
      </c>
      <c r="E16" s="55">
        <v>114170</v>
      </c>
      <c r="F16" s="55">
        <v>4578</v>
      </c>
      <c r="G16" s="58"/>
      <c r="H16">
        <v>4578</v>
      </c>
      <c r="I16" s="55">
        <v>1313876</v>
      </c>
      <c r="J16">
        <v>40098.099325567135</v>
      </c>
      <c r="K16">
        <v>24915.796076026978</v>
      </c>
      <c r="M16" s="59" t="s">
        <v>178</v>
      </c>
      <c r="N16" s="59"/>
    </row>
    <row r="17" spans="1:21">
      <c r="A17">
        <v>6</v>
      </c>
      <c r="B17">
        <v>2005</v>
      </c>
      <c r="C17" s="8">
        <v>12451</v>
      </c>
      <c r="D17" s="57">
        <v>7.0815260688678407E-7</v>
      </c>
      <c r="E17" s="55">
        <v>114635</v>
      </c>
      <c r="F17" s="55">
        <v>4660</v>
      </c>
      <c r="G17" s="58"/>
      <c r="H17">
        <v>4660</v>
      </c>
      <c r="I17" s="55">
        <v>1412125</v>
      </c>
      <c r="J17">
        <v>40650.761111353429</v>
      </c>
      <c r="K17">
        <v>25259.204082522792</v>
      </c>
      <c r="M17" s="60" t="s">
        <v>179</v>
      </c>
      <c r="N17" s="60">
        <v>0.91869673659983353</v>
      </c>
    </row>
    <row r="18" spans="1:21">
      <c r="A18">
        <v>7</v>
      </c>
      <c r="B18">
        <v>2006</v>
      </c>
      <c r="C18" s="8">
        <v>12573</v>
      </c>
      <c r="D18" s="57">
        <v>6.6206881940550194E-7</v>
      </c>
      <c r="E18" s="55">
        <v>115289</v>
      </c>
      <c r="F18" s="55">
        <v>4764</v>
      </c>
      <c r="G18" s="58"/>
      <c r="H18">
        <v>4764</v>
      </c>
      <c r="I18" s="55">
        <v>1510417</v>
      </c>
      <c r="J18">
        <v>41322.242364839665</v>
      </c>
      <c r="K18">
        <v>25676.443060482787</v>
      </c>
      <c r="M18" s="60" t="s">
        <v>180</v>
      </c>
      <c r="N18" s="60">
        <v>0.84400369383918383</v>
      </c>
    </row>
    <row r="19" spans="1:21">
      <c r="A19">
        <v>8</v>
      </c>
      <c r="B19">
        <v>2007</v>
      </c>
      <c r="C19" s="8">
        <v>11802</v>
      </c>
      <c r="D19" s="57">
        <v>6.2137042003397656E-7</v>
      </c>
      <c r="E19" s="55">
        <v>114254</v>
      </c>
      <c r="F19" s="55">
        <v>4856</v>
      </c>
      <c r="G19" s="58"/>
      <c r="H19">
        <v>4856</v>
      </c>
      <c r="I19" s="55">
        <v>1609346</v>
      </c>
      <c r="J19">
        <v>42501.794247903796</v>
      </c>
      <c r="K19">
        <v>26409.382393614229</v>
      </c>
      <c r="M19" s="60" t="s">
        <v>181</v>
      </c>
      <c r="N19" s="60">
        <v>0.78550507902887778</v>
      </c>
    </row>
    <row r="20" spans="1:21">
      <c r="A20">
        <v>9</v>
      </c>
      <c r="B20">
        <v>2008</v>
      </c>
      <c r="C20" s="8">
        <v>11675</v>
      </c>
      <c r="D20" s="57">
        <v>6.0894516083459589E-7</v>
      </c>
      <c r="E20" s="55">
        <v>112996</v>
      </c>
      <c r="F20" s="55">
        <v>4825</v>
      </c>
      <c r="G20" s="58"/>
      <c r="H20">
        <v>4825</v>
      </c>
      <c r="I20" s="55">
        <v>1642184</v>
      </c>
      <c r="J20">
        <v>42700.626570852066</v>
      </c>
      <c r="K20">
        <v>26532.93103295692</v>
      </c>
      <c r="M20" s="60" t="s">
        <v>182</v>
      </c>
      <c r="N20" s="60">
        <v>53.608999461706844</v>
      </c>
    </row>
    <row r="21" spans="1:21" ht="15.75" thickBot="1">
      <c r="A21">
        <v>10</v>
      </c>
      <c r="B21">
        <v>2009</v>
      </c>
      <c r="C21" s="8">
        <v>9614</v>
      </c>
      <c r="D21" s="57">
        <v>6.2383070731797084E-7</v>
      </c>
      <c r="E21" s="55">
        <v>110910</v>
      </c>
      <c r="F21" s="55">
        <v>4641</v>
      </c>
      <c r="G21" s="58"/>
      <c r="H21">
        <v>4641</v>
      </c>
      <c r="I21" s="55">
        <v>1602999</v>
      </c>
      <c r="J21">
        <v>41844.738977549365</v>
      </c>
      <c r="K21">
        <v>26001.107303218825</v>
      </c>
      <c r="M21" s="61" t="s">
        <v>183</v>
      </c>
      <c r="N21" s="61">
        <v>12</v>
      </c>
    </row>
    <row r="22" spans="1:21">
      <c r="A22">
        <v>11</v>
      </c>
      <c r="B22">
        <v>2010</v>
      </c>
      <c r="C22" s="8">
        <v>10477</v>
      </c>
      <c r="D22" s="57">
        <v>5.846859067309042E-7</v>
      </c>
      <c r="E22" s="55">
        <v>112874</v>
      </c>
      <c r="F22" s="55">
        <v>4663</v>
      </c>
      <c r="G22" s="58"/>
      <c r="H22">
        <v>4663</v>
      </c>
      <c r="I22" s="55">
        <v>1710320</v>
      </c>
      <c r="J22">
        <v>41311.55093289863</v>
      </c>
      <c r="K22">
        <v>25669.799714726156</v>
      </c>
    </row>
    <row r="23" spans="1:21" ht="15.75" thickBot="1">
      <c r="A23">
        <v>12</v>
      </c>
      <c r="B23">
        <v>2011</v>
      </c>
      <c r="C23" s="8">
        <v>10136</v>
      </c>
      <c r="D23" s="57">
        <v>5.5745741443446782E-7</v>
      </c>
      <c r="E23" s="55">
        <v>114308</v>
      </c>
      <c r="F23" s="55">
        <v>4679</v>
      </c>
      <c r="G23" s="58"/>
      <c r="H23">
        <v>4679</v>
      </c>
      <c r="I23" s="55">
        <v>1793859</v>
      </c>
      <c r="J23">
        <v>40933.268012737513</v>
      </c>
      <c r="K23">
        <v>25434.745678342722</v>
      </c>
      <c r="M23" t="s">
        <v>184</v>
      </c>
    </row>
    <row r="24" spans="1:21">
      <c r="A24">
        <v>13</v>
      </c>
      <c r="B24">
        <v>2012</v>
      </c>
      <c r="C24" s="8">
        <v>9179</v>
      </c>
      <c r="D24" s="57">
        <v>5.4831956502905549E-7</v>
      </c>
      <c r="E24" s="55">
        <v>117127</v>
      </c>
      <c r="F24" s="55">
        <v>4665</v>
      </c>
      <c r="G24" s="58"/>
      <c r="H24">
        <v>4665</v>
      </c>
      <c r="I24" s="55">
        <v>1823754</v>
      </c>
      <c r="J24">
        <v>39828.562159023968</v>
      </c>
      <c r="K24">
        <v>24748.313497314881</v>
      </c>
      <c r="M24" s="62"/>
      <c r="N24" s="62" t="s">
        <v>185</v>
      </c>
      <c r="O24" s="62" t="s">
        <v>186</v>
      </c>
      <c r="P24" s="62" t="s">
        <v>187</v>
      </c>
      <c r="Q24" s="62" t="s">
        <v>188</v>
      </c>
      <c r="R24" s="62" t="s">
        <v>189</v>
      </c>
    </row>
    <row r="25" spans="1:21">
      <c r="A25">
        <v>14</v>
      </c>
      <c r="B25">
        <v>2013</v>
      </c>
      <c r="C25" s="8">
        <v>8610</v>
      </c>
      <c r="D25" s="57">
        <v>5.3165585278662094E-7</v>
      </c>
      <c r="E25" s="55">
        <v>120277</v>
      </c>
      <c r="F25" s="55">
        <v>4600</v>
      </c>
      <c r="G25" s="58"/>
      <c r="H25">
        <v>4600</v>
      </c>
      <c r="I25" s="55">
        <v>1880916</v>
      </c>
      <c r="J25">
        <v>38245.051007258247</v>
      </c>
      <c r="K25">
        <v>23764.365589431065</v>
      </c>
      <c r="M25" s="60" t="s">
        <v>190</v>
      </c>
      <c r="N25" s="60">
        <v>3</v>
      </c>
      <c r="O25" s="60">
        <v>124392.85141371773</v>
      </c>
      <c r="P25" s="60">
        <v>41464.283804572573</v>
      </c>
      <c r="Q25" s="60">
        <v>14.427755196871605</v>
      </c>
      <c r="R25" s="60">
        <v>1.3632229762697234E-3</v>
      </c>
    </row>
    <row r="26" spans="1:21">
      <c r="A26">
        <v>15</v>
      </c>
      <c r="B26">
        <v>2014</v>
      </c>
      <c r="C26" s="8">
        <v>8844</v>
      </c>
      <c r="D26" s="57">
        <v>5.1751691245269894E-7</v>
      </c>
      <c r="E26" s="55">
        <v>116561</v>
      </c>
      <c r="F26" s="55">
        <v>4586</v>
      </c>
      <c r="G26" s="58"/>
      <c r="H26">
        <v>4586</v>
      </c>
      <c r="I26" s="55">
        <v>1932304</v>
      </c>
      <c r="J26">
        <v>39344.206038040167</v>
      </c>
      <c r="K26">
        <v>24447.348650063057</v>
      </c>
      <c r="M26" s="60" t="s">
        <v>191</v>
      </c>
      <c r="N26" s="60">
        <v>8</v>
      </c>
      <c r="O26" s="60">
        <v>22991.398586282277</v>
      </c>
      <c r="P26" s="60">
        <v>2873.9248232852847</v>
      </c>
      <c r="Q26" s="60"/>
      <c r="R26" s="60"/>
    </row>
    <row r="27" spans="1:21" ht="15.75" thickBot="1">
      <c r="A27">
        <v>16</v>
      </c>
      <c r="B27">
        <v>2015</v>
      </c>
      <c r="C27" s="8">
        <v>8281</v>
      </c>
      <c r="D27" s="57">
        <v>5.0569616156385525E-7</v>
      </c>
      <c r="E27" s="55">
        <v>115482</v>
      </c>
      <c r="F27" s="55">
        <v>4524</v>
      </c>
      <c r="G27" s="58"/>
      <c r="H27">
        <v>4524</v>
      </c>
      <c r="I27" s="55">
        <v>1977472</v>
      </c>
      <c r="J27">
        <v>39174.936353717465</v>
      </c>
      <c r="K27">
        <v>24342.169377045775</v>
      </c>
      <c r="M27" s="61" t="s">
        <v>88</v>
      </c>
      <c r="N27" s="61">
        <v>11</v>
      </c>
      <c r="O27" s="61">
        <v>147384.25</v>
      </c>
      <c r="P27" s="61"/>
      <c r="Q27" s="61"/>
      <c r="R27" s="61"/>
    </row>
    <row r="28" spans="1:21" ht="15.75" thickBot="1">
      <c r="A28">
        <v>17</v>
      </c>
      <c r="B28">
        <v>2016</v>
      </c>
      <c r="C28" s="8">
        <v>8115</v>
      </c>
      <c r="D28" s="57">
        <v>4.9394082786458508E-7</v>
      </c>
      <c r="E28" s="55">
        <v>112352</v>
      </c>
      <c r="F28" s="55">
        <v>4665</v>
      </c>
      <c r="G28" s="58"/>
      <c r="H28">
        <v>4665</v>
      </c>
      <c r="I28" s="55">
        <v>2024534</v>
      </c>
      <c r="J28">
        <v>41521.290230703504</v>
      </c>
      <c r="K28">
        <v>25800.125631942468</v>
      </c>
    </row>
    <row r="29" spans="1:21">
      <c r="A29">
        <v>18</v>
      </c>
      <c r="B29">
        <v>2017</v>
      </c>
      <c r="C29">
        <v>8196.15</v>
      </c>
      <c r="D29" s="57">
        <v>4.7575210460837275E-7</v>
      </c>
      <c r="E29" s="55">
        <v>113200</v>
      </c>
      <c r="F29" s="54">
        <v>4709</v>
      </c>
      <c r="G29" s="63">
        <v>0.01</v>
      </c>
      <c r="H29">
        <v>4709</v>
      </c>
      <c r="I29" s="55">
        <v>2101935</v>
      </c>
      <c r="J29">
        <v>41598.939929328619</v>
      </c>
      <c r="K29">
        <v>25848.374902826854</v>
      </c>
      <c r="M29" s="62"/>
      <c r="N29" s="62" t="s">
        <v>192</v>
      </c>
      <c r="O29" s="62" t="s">
        <v>182</v>
      </c>
      <c r="P29" s="62" t="s">
        <v>193</v>
      </c>
      <c r="Q29" s="62" t="s">
        <v>194</v>
      </c>
      <c r="R29" s="62" t="s">
        <v>195</v>
      </c>
      <c r="S29" s="62" t="s">
        <v>196</v>
      </c>
      <c r="T29" s="62" t="s">
        <v>197</v>
      </c>
      <c r="U29" s="62" t="s">
        <v>198</v>
      </c>
    </row>
    <row r="30" spans="1:21">
      <c r="A30">
        <v>19</v>
      </c>
      <c r="B30">
        <v>2018</v>
      </c>
      <c r="C30">
        <v>8278.1114999999991</v>
      </c>
      <c r="E30" s="55">
        <v>114525.98</v>
      </c>
      <c r="F30" s="54">
        <v>4828.9528927589381</v>
      </c>
      <c r="G30" s="63">
        <v>0.01</v>
      </c>
      <c r="H30">
        <v>4801.6202574873405</v>
      </c>
      <c r="I30" s="55">
        <v>2668011.1958249994</v>
      </c>
      <c r="J30">
        <v>42164.693921492209</v>
      </c>
      <c r="K30">
        <v>26199.918026691535</v>
      </c>
      <c r="M30" s="60" t="s">
        <v>199</v>
      </c>
      <c r="N30" s="60">
        <v>5422.5334590750663</v>
      </c>
      <c r="O30" s="60">
        <v>919.75518425266444</v>
      </c>
      <c r="P30" s="60">
        <v>5.8956269580378367</v>
      </c>
      <c r="Q30" s="60">
        <v>3.6353325719636976E-4</v>
      </c>
      <c r="R30" s="60">
        <v>3301.5742008129514</v>
      </c>
      <c r="S30" s="60">
        <v>7543.4927173371816</v>
      </c>
      <c r="T30" s="60">
        <v>3301.5742008129514</v>
      </c>
      <c r="U30" s="60">
        <v>7543.4927173371816</v>
      </c>
    </row>
    <row r="31" spans="1:21" ht="90">
      <c r="A31">
        <v>20</v>
      </c>
      <c r="B31">
        <v>2019</v>
      </c>
      <c r="C31">
        <v>8360.8926149999988</v>
      </c>
      <c r="E31" s="55">
        <v>115193.4</v>
      </c>
      <c r="F31" s="54">
        <v>4848.3279341592133</v>
      </c>
      <c r="G31" s="63">
        <v>0.01</v>
      </c>
      <c r="H31">
        <v>4960.4456777650503</v>
      </c>
      <c r="I31" s="55">
        <v>2761391.5876788739</v>
      </c>
      <c r="J31">
        <v>42088.591309564727</v>
      </c>
      <c r="K31">
        <v>26152.630070615545</v>
      </c>
      <c r="M31" s="64" t="s">
        <v>170</v>
      </c>
      <c r="N31" s="60">
        <v>7.6961655843498233E-2</v>
      </c>
      <c r="O31" s="60">
        <v>1.6790258459451108E-2</v>
      </c>
      <c r="P31" s="60">
        <v>4.5837088231466208</v>
      </c>
      <c r="Q31" s="60">
        <v>1.7932753796653501E-3</v>
      </c>
      <c r="R31" s="60">
        <v>3.8243250404857231E-2</v>
      </c>
      <c r="S31" s="60">
        <v>0.11568006128213923</v>
      </c>
      <c r="T31" s="60">
        <v>3.8243250404857231E-2</v>
      </c>
      <c r="U31" s="60">
        <v>0.11568006128213923</v>
      </c>
    </row>
    <row r="32" spans="1:21">
      <c r="A32">
        <v>21</v>
      </c>
      <c r="B32">
        <v>2020</v>
      </c>
      <c r="C32">
        <v>8444.501541149999</v>
      </c>
      <c r="E32" s="55">
        <v>115860.82</v>
      </c>
      <c r="F32" s="54">
        <v>4867.1846984545573</v>
      </c>
      <c r="G32" s="63">
        <v>0.01</v>
      </c>
      <c r="H32">
        <v>4991.303713891346</v>
      </c>
      <c r="I32" s="55">
        <v>2858040.2932476341</v>
      </c>
      <c r="J32">
        <v>42008.892207517238</v>
      </c>
      <c r="K32">
        <v>26103.107359877195</v>
      </c>
      <c r="M32" s="60" t="s">
        <v>171</v>
      </c>
      <c r="N32" s="60">
        <v>-1357830029.9852417</v>
      </c>
      <c r="O32" s="60">
        <v>208710412.18583694</v>
      </c>
      <c r="P32" s="60">
        <v>-6.5058087699823144</v>
      </c>
      <c r="Q32" s="60">
        <v>1.86956363000894E-4</v>
      </c>
      <c r="R32" s="60">
        <v>-1839117103.5459478</v>
      </c>
      <c r="S32" s="60">
        <v>-876542956.42453551</v>
      </c>
      <c r="T32" s="60">
        <v>-1839117103.5459478</v>
      </c>
      <c r="U32" s="60">
        <v>-876542956.42453551</v>
      </c>
    </row>
    <row r="33" spans="1:21" ht="15.75" thickBot="1">
      <c r="A33">
        <v>22</v>
      </c>
      <c r="B33">
        <v>2021</v>
      </c>
      <c r="C33">
        <v>8528.9465565614992</v>
      </c>
      <c r="E33" s="55">
        <v>117290.7862</v>
      </c>
      <c r="F33" s="54">
        <v>4880.7379016887271</v>
      </c>
      <c r="G33" s="63">
        <v>0.01</v>
      </c>
      <c r="H33">
        <v>5022.5826842022798</v>
      </c>
      <c r="I33" s="55">
        <v>2958071.703511301</v>
      </c>
      <c r="J33">
        <v>41612.287374101747</v>
      </c>
      <c r="K33">
        <v>25856.668617932977</v>
      </c>
      <c r="M33" s="61" t="s">
        <v>161</v>
      </c>
      <c r="N33" s="61">
        <v>-6.3020467050917076E-3</v>
      </c>
      <c r="O33" s="61">
        <v>7.4844087314185166E-3</v>
      </c>
      <c r="P33" s="61">
        <v>-0.84202332224810006</v>
      </c>
      <c r="Q33" s="61">
        <v>0.42422976154762715</v>
      </c>
      <c r="R33" s="61">
        <v>-2.356112418930098E-2</v>
      </c>
      <c r="S33" s="61">
        <v>1.0957030779117567E-2</v>
      </c>
      <c r="T33" s="61">
        <v>-2.356112418930098E-2</v>
      </c>
      <c r="U33" s="61">
        <v>1.0957030779117567E-2</v>
      </c>
    </row>
    <row r="34" spans="1:21">
      <c r="A34">
        <v>23</v>
      </c>
      <c r="B34">
        <v>2022</v>
      </c>
      <c r="C34">
        <v>8614.2360221271138</v>
      </c>
      <c r="E34" s="55">
        <v>117195.66</v>
      </c>
      <c r="F34" s="54">
        <v>4903.42400781383</v>
      </c>
      <c r="G34" s="63">
        <v>0.01</v>
      </c>
      <c r="H34">
        <v>5050.5459323605137</v>
      </c>
      <c r="I34" s="55">
        <v>3061604.2131341961</v>
      </c>
      <c r="J34">
        <v>41839.638155660628</v>
      </c>
      <c r="K34">
        <v>25997.937800421001</v>
      </c>
    </row>
    <row r="35" spans="1:21">
      <c r="A35">
        <v>24</v>
      </c>
      <c r="B35">
        <v>2023</v>
      </c>
      <c r="C35">
        <v>8700.3783823483845</v>
      </c>
      <c r="E35" s="55">
        <v>117863.08</v>
      </c>
      <c r="F35" s="54">
        <v>4918.7651116594197</v>
      </c>
      <c r="G35" s="63">
        <v>0.01</v>
      </c>
      <c r="H35">
        <v>5075.756595119683</v>
      </c>
      <c r="I35" s="55">
        <v>3153452.3395282221</v>
      </c>
      <c r="J35">
        <v>41732.874379826317</v>
      </c>
      <c r="K35">
        <v>25931.59788626706</v>
      </c>
    </row>
    <row r="36" spans="1:21">
      <c r="A36">
        <v>25</v>
      </c>
      <c r="B36">
        <v>2024</v>
      </c>
      <c r="C36">
        <v>8787.3821661718684</v>
      </c>
      <c r="E36" s="55">
        <v>118530.5</v>
      </c>
      <c r="F36" s="54">
        <v>4933.7962725624029</v>
      </c>
      <c r="G36" s="63">
        <v>0.01</v>
      </c>
      <c r="H36">
        <v>5100.4229856303937</v>
      </c>
      <c r="I36" s="55">
        <v>3248055.9097140688</v>
      </c>
      <c r="J36">
        <v>41624.698052926484</v>
      </c>
      <c r="K36">
        <v>25864.380253844982</v>
      </c>
    </row>
    <row r="37" spans="1:21">
      <c r="A37">
        <v>26</v>
      </c>
      <c r="B37">
        <v>2025</v>
      </c>
      <c r="C37">
        <v>8875.2559878335869</v>
      </c>
      <c r="E37" s="55">
        <v>119197.92</v>
      </c>
      <c r="F37" s="54">
        <v>4948.5291119215426</v>
      </c>
      <c r="G37" s="63">
        <v>0.01</v>
      </c>
      <c r="H37">
        <v>5124.5625366013946</v>
      </c>
      <c r="I37" s="55">
        <v>3345497.5870054909</v>
      </c>
      <c r="J37">
        <v>41515.230399335342</v>
      </c>
      <c r="K37">
        <v>25796.360228465401</v>
      </c>
    </row>
    <row r="38" spans="1:21">
      <c r="A38">
        <v>27</v>
      </c>
      <c r="B38">
        <v>2026</v>
      </c>
      <c r="C38">
        <v>8964.0085477119228</v>
      </c>
      <c r="E38" s="55">
        <v>120252.54514</v>
      </c>
      <c r="F38" s="54">
        <v>4960.5347537108728</v>
      </c>
      <c r="G38" s="63">
        <v>0.01</v>
      </c>
      <c r="H38">
        <v>5148.8297220568393</v>
      </c>
      <c r="I38" s="55">
        <v>3445862.5146156559</v>
      </c>
      <c r="J38">
        <v>41250.975170095036</v>
      </c>
      <c r="K38">
        <v>25632.159692417124</v>
      </c>
    </row>
    <row r="39" spans="1:21">
      <c r="A39">
        <v>28</v>
      </c>
      <c r="B39">
        <v>2027</v>
      </c>
      <c r="C39">
        <v>9053.6486331890428</v>
      </c>
      <c r="E39" s="55">
        <v>120532.76</v>
      </c>
      <c r="F39" s="54">
        <v>4975.2785659915971</v>
      </c>
      <c r="G39" s="63">
        <v>0.01</v>
      </c>
      <c r="H39">
        <v>5168.4284360507963</v>
      </c>
      <c r="I39" s="55">
        <v>3532009.0774810468</v>
      </c>
      <c r="J39">
        <v>41277.396833786908</v>
      </c>
      <c r="K39">
        <v>25648.577348007006</v>
      </c>
    </row>
    <row r="40" spans="1:21">
      <c r="A40">
        <v>29</v>
      </c>
      <c r="B40">
        <v>2028</v>
      </c>
      <c r="C40">
        <v>9144.1851195209329</v>
      </c>
      <c r="E40" s="55">
        <v>121200.18</v>
      </c>
      <c r="F40" s="54">
        <v>4987.416769938266</v>
      </c>
      <c r="G40" s="63">
        <v>0.01</v>
      </c>
      <c r="H40">
        <v>5188.3424438268112</v>
      </c>
      <c r="I40" s="55">
        <v>3620309.3044180726</v>
      </c>
      <c r="J40">
        <v>41150.242268107737</v>
      </c>
      <c r="K40">
        <v>25569.567188376372</v>
      </c>
    </row>
    <row r="41" spans="1:21">
      <c r="A41">
        <v>30</v>
      </c>
      <c r="B41">
        <v>2029</v>
      </c>
      <c r="C41">
        <v>9235.6269707161428</v>
      </c>
      <c r="E41" s="55">
        <v>121867.6</v>
      </c>
      <c r="F41" s="54">
        <v>4999.3959576772222</v>
      </c>
      <c r="G41" s="63">
        <v>0.01</v>
      </c>
      <c r="H41">
        <v>5207.9435168705559</v>
      </c>
      <c r="I41" s="55">
        <v>3710817.0370285241</v>
      </c>
      <c r="J41">
        <v>41023.175624015093</v>
      </c>
      <c r="K41">
        <v>25490.611660669882</v>
      </c>
    </row>
    <row r="42" spans="1:21">
      <c r="A42">
        <v>31</v>
      </c>
      <c r="B42">
        <v>2030</v>
      </c>
      <c r="C42">
        <v>9327.9832404233039</v>
      </c>
      <c r="E42" s="55">
        <v>122535.02</v>
      </c>
      <c r="F42" s="54">
        <v>5011.2224039090033</v>
      </c>
      <c r="G42" s="63">
        <v>0.01</v>
      </c>
      <c r="H42">
        <v>5227.2407474381171</v>
      </c>
      <c r="I42" s="55">
        <v>3803587.4629542367</v>
      </c>
      <c r="J42">
        <v>40896.246672249312</v>
      </c>
      <c r="K42">
        <v>25411.741690982228</v>
      </c>
    </row>
    <row r="43" spans="1:21">
      <c r="A43">
        <v>32</v>
      </c>
      <c r="B43">
        <v>2031</v>
      </c>
      <c r="C43">
        <v>9421.2630728275362</v>
      </c>
      <c r="E43" s="55">
        <v>123289.06348</v>
      </c>
      <c r="F43" s="54">
        <v>5022.3563490385222</v>
      </c>
      <c r="G43" s="63">
        <v>0.01</v>
      </c>
      <c r="H43">
        <v>5246.3856461800724</v>
      </c>
      <c r="I43" s="55">
        <v>3898677.1495280922</v>
      </c>
      <c r="J43">
        <v>40736.430363535452</v>
      </c>
      <c r="K43">
        <v>25312.436471420388</v>
      </c>
    </row>
    <row r="44" spans="1:21">
      <c r="A44">
        <v>33</v>
      </c>
      <c r="B44">
        <v>2032</v>
      </c>
      <c r="C44">
        <v>9515.4757035558123</v>
      </c>
      <c r="E44" s="55">
        <v>123869.86</v>
      </c>
      <c r="F44" s="54">
        <v>5034.4415286465373</v>
      </c>
      <c r="G44" s="63">
        <v>0.01</v>
      </c>
      <c r="H44">
        <v>5264.9590195411765</v>
      </c>
      <c r="I44" s="55">
        <v>3996144.0782662942</v>
      </c>
      <c r="J44">
        <v>40642.99038237823</v>
      </c>
      <c r="K44">
        <v>25254.375576888742</v>
      </c>
    </row>
    <row r="45" spans="1:21">
      <c r="A45">
        <v>34</v>
      </c>
      <c r="B45">
        <v>2033</v>
      </c>
      <c r="C45">
        <v>9610.6304605913701</v>
      </c>
      <c r="E45" s="55">
        <v>124537.28</v>
      </c>
      <c r="F45" s="54">
        <v>5045.8461246301395</v>
      </c>
      <c r="G45" s="63">
        <v>0.01</v>
      </c>
      <c r="H45">
        <v>5283.3972304320014</v>
      </c>
      <c r="I45" s="55">
        <v>4096047.6802229513</v>
      </c>
      <c r="J45">
        <v>40516.752289998141</v>
      </c>
      <c r="K45">
        <v>25175.934887188436</v>
      </c>
    </row>
    <row r="46" spans="1:21">
      <c r="A46">
        <v>35</v>
      </c>
      <c r="B46">
        <v>2034</v>
      </c>
      <c r="C46">
        <v>9706.7367651972836</v>
      </c>
      <c r="E46" s="55">
        <v>125204.7</v>
      </c>
      <c r="F46" s="54">
        <v>5057.12182059933</v>
      </c>
      <c r="G46" s="63">
        <v>0.01</v>
      </c>
      <c r="H46">
        <v>5301.5659475819157</v>
      </c>
      <c r="I46" s="55">
        <v>4198448.8722285246</v>
      </c>
      <c r="J46">
        <v>40390.830540701187</v>
      </c>
      <c r="K46">
        <v>25097.690763906037</v>
      </c>
    </row>
    <row r="47" spans="1:21">
      <c r="A47">
        <v>36</v>
      </c>
      <c r="B47">
        <v>2035</v>
      </c>
      <c r="C47">
        <v>9803.8041328492563</v>
      </c>
      <c r="E47" s="55">
        <v>125872.12</v>
      </c>
      <c r="F47" s="54">
        <v>5068.2742789465101</v>
      </c>
      <c r="G47" s="63">
        <v>0.01</v>
      </c>
      <c r="H47">
        <v>5319.4732781700823</v>
      </c>
      <c r="I47" s="55">
        <v>4303410.0940342378</v>
      </c>
      <c r="J47">
        <v>40265.265087666041</v>
      </c>
      <c r="K47">
        <v>25019.668032788137</v>
      </c>
    </row>
    <row r="48" spans="1:21">
      <c r="A48">
        <v>37</v>
      </c>
      <c r="B48">
        <v>2036</v>
      </c>
      <c r="C48">
        <v>9901.8421741777493</v>
      </c>
      <c r="E48" s="55">
        <v>126402.25665000001</v>
      </c>
      <c r="F48" s="54">
        <v>5080.1742152253755</v>
      </c>
      <c r="G48" s="63">
        <v>0.01</v>
      </c>
      <c r="H48">
        <v>5336.9011099454247</v>
      </c>
      <c r="I48" s="55">
        <v>4410995.3463850934</v>
      </c>
      <c r="J48">
        <v>40190.534171332569</v>
      </c>
      <c r="K48">
        <v>24973.232408575092</v>
      </c>
    </row>
    <row r="49" spans="1:11">
      <c r="A49">
        <v>38</v>
      </c>
      <c r="B49">
        <v>2037</v>
      </c>
      <c r="C49">
        <v>10000.860595919527</v>
      </c>
      <c r="E49" s="55">
        <v>127206.95999999999</v>
      </c>
      <c r="F49" s="54">
        <v>5090.2315707393136</v>
      </c>
      <c r="G49" s="63">
        <v>0.01</v>
      </c>
      <c r="H49">
        <v>5354.5353010075623</v>
      </c>
      <c r="I49" s="55">
        <v>4521270.2300447207</v>
      </c>
      <c r="J49">
        <v>40015.354275735495</v>
      </c>
      <c r="K49">
        <v>24864.38070166804</v>
      </c>
    </row>
    <row r="50" spans="1:11">
      <c r="A50">
        <v>39</v>
      </c>
      <c r="B50">
        <v>2038</v>
      </c>
      <c r="C50">
        <v>10100.869201878722</v>
      </c>
      <c r="E50" s="55">
        <v>127874.38</v>
      </c>
      <c r="F50" s="54">
        <v>5101.0471763119622</v>
      </c>
      <c r="G50" s="63">
        <v>0.01</v>
      </c>
      <c r="H50">
        <v>5371.7053139404097</v>
      </c>
      <c r="I50" s="55">
        <v>4634301.9857958388</v>
      </c>
      <c r="J50">
        <v>39891.080420581216</v>
      </c>
      <c r="K50">
        <v>24787.160532016973</v>
      </c>
    </row>
    <row r="51" spans="1:11">
      <c r="A51">
        <v>40</v>
      </c>
      <c r="B51">
        <v>2039</v>
      </c>
      <c r="C51">
        <v>10201.87789389751</v>
      </c>
      <c r="E51" s="55">
        <v>128541.8</v>
      </c>
      <c r="F51" s="54">
        <v>5111.7610943180998</v>
      </c>
      <c r="G51" s="63">
        <v>0.01</v>
      </c>
      <c r="H51">
        <v>5388.644590553281</v>
      </c>
      <c r="I51" s="55">
        <v>4750159.5354407346</v>
      </c>
      <c r="J51">
        <v>39767.305999434422</v>
      </c>
      <c r="K51">
        <v>24710.250696174568</v>
      </c>
    </row>
    <row r="52" spans="1:11">
      <c r="A52">
        <v>41</v>
      </c>
      <c r="B52">
        <v>2040</v>
      </c>
      <c r="C52">
        <v>10303.896672836485</v>
      </c>
      <c r="E52" s="55">
        <v>128949.31996000001</v>
      </c>
      <c r="F52" s="54">
        <v>5124.0163540909043</v>
      </c>
      <c r="G52" s="63">
        <v>0.01</v>
      </c>
      <c r="H52">
        <v>5404.9324455641654</v>
      </c>
      <c r="I52" s="55">
        <v>4868913.5238267528</v>
      </c>
      <c r="J52">
        <v>39736.668294802723</v>
      </c>
      <c r="K52">
        <v>24691.213315009863</v>
      </c>
    </row>
    <row r="53" spans="1:11">
      <c r="A53">
        <v>42</v>
      </c>
      <c r="B53">
        <v>2041</v>
      </c>
      <c r="C53">
        <v>10406.93563956485</v>
      </c>
      <c r="E53" s="55">
        <v>129876.64</v>
      </c>
      <c r="F53" s="54">
        <v>5132.904277617934</v>
      </c>
      <c r="G53" s="63">
        <v>0.01</v>
      </c>
      <c r="H53">
        <v>5421.8597348900503</v>
      </c>
      <c r="I53" s="55">
        <v>4990636.3619224215</v>
      </c>
      <c r="J53">
        <v>39521.381809830731</v>
      </c>
      <c r="K53">
        <v>24557.440536556333</v>
      </c>
    </row>
    <row r="54" spans="1:11">
      <c r="A54">
        <v>43</v>
      </c>
      <c r="B54">
        <v>2042</v>
      </c>
      <c r="C54">
        <v>10511.004995960498</v>
      </c>
      <c r="E54" s="55">
        <v>130544.06</v>
      </c>
      <c r="F54" s="54">
        <v>5143.3435041176363</v>
      </c>
      <c r="G54" s="63">
        <v>0.01</v>
      </c>
      <c r="H54">
        <v>5438.1496055633252</v>
      </c>
      <c r="I54" s="55">
        <v>5115402.2709704814</v>
      </c>
      <c r="J54">
        <v>39399.291734282182</v>
      </c>
      <c r="K54">
        <v>24481.577304222654</v>
      </c>
    </row>
    <row r="55" spans="1:11">
      <c r="A55">
        <v>44</v>
      </c>
      <c r="B55">
        <v>2043</v>
      </c>
      <c r="C55">
        <v>10616.115045920104</v>
      </c>
      <c r="E55" s="55">
        <v>131211.48000000001</v>
      </c>
      <c r="F55" s="54">
        <v>5153.7009707386896</v>
      </c>
      <c r="G55" s="63">
        <v>0.01</v>
      </c>
      <c r="H55">
        <v>5454.236753867619</v>
      </c>
      <c r="I55" s="55">
        <v>5243287.3277447429</v>
      </c>
      <c r="J55">
        <v>39277.82058962134</v>
      </c>
      <c r="K55">
        <v>24406.0986575936</v>
      </c>
    </row>
    <row r="56" spans="1:11">
      <c r="A56">
        <v>45</v>
      </c>
      <c r="B56">
        <v>2044</v>
      </c>
      <c r="C56">
        <v>10722.276196379305</v>
      </c>
      <c r="E56" s="55">
        <v>131878.9</v>
      </c>
      <c r="F56" s="54">
        <v>5163.9814260594721</v>
      </c>
      <c r="G56" s="63">
        <v>0.01</v>
      </c>
      <c r="H56">
        <v>5470.1278021403486</v>
      </c>
      <c r="I56" s="55">
        <v>5374369.5109383613</v>
      </c>
      <c r="J56">
        <v>39156.994986002101</v>
      </c>
      <c r="K56">
        <v>24331.021131447113</v>
      </c>
    </row>
    <row r="57" spans="1:11">
      <c r="A57">
        <v>46</v>
      </c>
      <c r="B57">
        <v>2045</v>
      </c>
      <c r="C57">
        <v>10829.498958343098</v>
      </c>
      <c r="E57" s="55">
        <v>132546.32</v>
      </c>
      <c r="F57" s="54">
        <v>5174.1895303837273</v>
      </c>
      <c r="G57" s="63">
        <v>0.01</v>
      </c>
      <c r="H57">
        <v>5485.8292279774032</v>
      </c>
      <c r="I57" s="55">
        <v>5508728.7487118198</v>
      </c>
      <c r="J57">
        <v>39036.840331619365</v>
      </c>
      <c r="K57">
        <v>24256.360513698655</v>
      </c>
    </row>
    <row r="58" spans="1:11">
      <c r="A58">
        <v>47</v>
      </c>
      <c r="B58">
        <v>2046</v>
      </c>
      <c r="C58">
        <v>10937.79394792653</v>
      </c>
      <c r="E58" s="55">
        <v>133213.74</v>
      </c>
      <c r="F58" s="54">
        <v>5184.3298581690478</v>
      </c>
      <c r="G58" s="63">
        <v>0.01</v>
      </c>
      <c r="H58">
        <v>5501.3473679312065</v>
      </c>
      <c r="I58" s="55">
        <v>5646446.9674296146</v>
      </c>
      <c r="J58">
        <v>38917.380881049125</v>
      </c>
      <c r="K58">
        <v>24182.131875438376</v>
      </c>
    </row>
    <row r="59" spans="1:11">
      <c r="A59">
        <v>48</v>
      </c>
      <c r="B59">
        <v>2047</v>
      </c>
      <c r="C59">
        <v>11047.171887405795</v>
      </c>
      <c r="E59" s="55">
        <v>133881.16</v>
      </c>
      <c r="F59" s="54">
        <v>5194.4069003988798</v>
      </c>
      <c r="G59" s="63">
        <v>0.01</v>
      </c>
      <c r="H59">
        <v>5516.6884211202769</v>
      </c>
      <c r="I59" s="55">
        <v>5787608.1416153545</v>
      </c>
      <c r="J59">
        <v>38798.639781720442</v>
      </c>
      <c r="K59">
        <v>24108.349599807414</v>
      </c>
    </row>
    <row r="60" spans="1:11">
      <c r="A60">
        <v>49</v>
      </c>
      <c r="B60">
        <v>2048</v>
      </c>
      <c r="C60">
        <v>11157.643606279853</v>
      </c>
      <c r="E60" s="55">
        <v>134548.57999999999</v>
      </c>
      <c r="F60" s="54">
        <v>5204.4250668994619</v>
      </c>
      <c r="G60" s="63">
        <v>0.01</v>
      </c>
      <c r="H60">
        <v>5531.858452752429</v>
      </c>
      <c r="I60" s="55">
        <v>5932298.3451557374</v>
      </c>
      <c r="J60">
        <v>38680.639118595398</v>
      </c>
      <c r="K60">
        <v>24035.02740976074</v>
      </c>
    </row>
    <row r="61" spans="1:11">
      <c r="A61">
        <v>50</v>
      </c>
      <c r="B61">
        <v>2049</v>
      </c>
      <c r="C61">
        <v>11269.220042342651</v>
      </c>
      <c r="E61" s="55">
        <v>135216</v>
      </c>
      <c r="F61" s="54">
        <v>5214.3886886030523</v>
      </c>
      <c r="G61" s="63">
        <v>0.01</v>
      </c>
      <c r="H61">
        <v>5546.8633975637649</v>
      </c>
      <c r="I61" s="55">
        <v>6080605.8037846303</v>
      </c>
      <c r="J61">
        <v>38563.39995712824</v>
      </c>
      <c r="K61">
        <v>23962.178394760733</v>
      </c>
    </row>
    <row r="62" spans="1:11">
      <c r="A62">
        <v>51</v>
      </c>
      <c r="B62">
        <v>2050</v>
      </c>
      <c r="C62">
        <v>11381.912242766079</v>
      </c>
      <c r="E62" s="55">
        <v>135883.41999999998</v>
      </c>
      <c r="F62" s="54">
        <v>5224.3020197588075</v>
      </c>
      <c r="G62" s="63">
        <v>0.01</v>
      </c>
      <c r="H62">
        <v>5561.7090631755118</v>
      </c>
      <c r="I62" s="55">
        <v>6232620.9488792457</v>
      </c>
      <c r="J62">
        <v>38446.942384573536</v>
      </c>
      <c r="K62">
        <v>23889.815036444845</v>
      </c>
    </row>
    <row r="63" spans="1:11">
      <c r="E63" s="55"/>
      <c r="G63" s="58"/>
    </row>
    <row r="64" spans="1:11">
      <c r="E64" s="55"/>
      <c r="G64" s="58"/>
    </row>
    <row r="65" spans="1:9">
      <c r="E65" s="55"/>
      <c r="G65" s="58"/>
    </row>
    <row r="66" spans="1:9">
      <c r="A66">
        <v>1</v>
      </c>
      <c r="B66" t="s">
        <v>200</v>
      </c>
      <c r="C66" s="3" t="s">
        <v>201</v>
      </c>
      <c r="E66" s="55"/>
      <c r="G66" s="58"/>
    </row>
    <row r="67" spans="1:9">
      <c r="A67">
        <v>2</v>
      </c>
      <c r="B67" t="s">
        <v>202</v>
      </c>
      <c r="E67" s="55"/>
      <c r="G67" s="58"/>
    </row>
    <row r="68" spans="1:9">
      <c r="E68" s="55"/>
      <c r="G68" s="58"/>
    </row>
    <row r="69" spans="1:9">
      <c r="A69">
        <v>1</v>
      </c>
      <c r="B69">
        <v>2000</v>
      </c>
      <c r="C69" s="8">
        <v>12164</v>
      </c>
      <c r="D69" s="57">
        <f>1/1000000/I69</f>
        <v>8.7096178568069145E-13</v>
      </c>
      <c r="E69" s="55">
        <v>118582</v>
      </c>
      <c r="F69" s="55">
        <v>3782</v>
      </c>
      <c r="G69" s="58"/>
      <c r="H69">
        <v>3782</v>
      </c>
      <c r="I69" s="55">
        <v>1148156</v>
      </c>
    </row>
    <row r="70" spans="1:9">
      <c r="A70">
        <v>2</v>
      </c>
      <c r="B70">
        <v>2001</v>
      </c>
      <c r="C70" s="8">
        <v>11370</v>
      </c>
      <c r="D70" s="57">
        <f t="shared" ref="D70:D76" si="1">1/I70</f>
        <v>8.6669682771627121E-7</v>
      </c>
      <c r="E70" s="55">
        <v>117129</v>
      </c>
      <c r="F70" s="55">
        <v>4535</v>
      </c>
      <c r="G70" s="58"/>
      <c r="H70">
        <v>4535</v>
      </c>
      <c r="I70" s="55">
        <v>1153806</v>
      </c>
    </row>
    <row r="71" spans="1:9">
      <c r="A71">
        <v>3</v>
      </c>
      <c r="B71">
        <v>2002</v>
      </c>
      <c r="C71" s="8">
        <v>11738</v>
      </c>
      <c r="D71" s="57">
        <f t="shared" si="1"/>
        <v>8.5194477693955875E-7</v>
      </c>
      <c r="E71" s="55">
        <v>114973</v>
      </c>
      <c r="F71" s="55">
        <v>4489</v>
      </c>
      <c r="G71" s="58"/>
      <c r="H71">
        <v>4489</v>
      </c>
      <c r="I71" s="55">
        <v>1173785</v>
      </c>
    </row>
    <row r="72" spans="1:9">
      <c r="A72">
        <v>4</v>
      </c>
      <c r="B72">
        <v>2003</v>
      </c>
      <c r="C72" s="8">
        <v>11915</v>
      </c>
      <c r="D72" s="57">
        <f t="shared" si="1"/>
        <v>8.2646813800034377E-7</v>
      </c>
      <c r="E72" s="55">
        <v>113572</v>
      </c>
      <c r="F72" s="55">
        <v>4485</v>
      </c>
      <c r="G72" s="58"/>
      <c r="H72">
        <v>4485</v>
      </c>
      <c r="I72" s="55">
        <v>1209968</v>
      </c>
    </row>
    <row r="73" spans="1:9">
      <c r="A73">
        <v>5</v>
      </c>
      <c r="B73">
        <v>2004</v>
      </c>
      <c r="C73" s="8">
        <v>12496</v>
      </c>
      <c r="D73" s="57">
        <f t="shared" si="1"/>
        <v>7.6110683199936675E-7</v>
      </c>
      <c r="E73" s="55">
        <v>114170</v>
      </c>
      <c r="F73" s="55">
        <v>4578</v>
      </c>
      <c r="G73" s="58"/>
      <c r="H73">
        <v>4578</v>
      </c>
      <c r="I73" s="55">
        <v>1313876</v>
      </c>
    </row>
    <row r="74" spans="1:9">
      <c r="A74">
        <v>6</v>
      </c>
      <c r="B74">
        <v>2005</v>
      </c>
      <c r="C74" s="8">
        <v>12451</v>
      </c>
      <c r="D74" s="57">
        <f t="shared" si="1"/>
        <v>7.0815260688678407E-7</v>
      </c>
      <c r="E74" s="55">
        <v>114635</v>
      </c>
      <c r="F74" s="55">
        <v>4660</v>
      </c>
      <c r="G74" s="58"/>
      <c r="H74">
        <v>4660</v>
      </c>
      <c r="I74" s="55">
        <v>1412125</v>
      </c>
    </row>
    <row r="75" spans="1:9">
      <c r="A75">
        <v>7</v>
      </c>
      <c r="B75">
        <v>2006</v>
      </c>
      <c r="C75" s="8">
        <v>12573</v>
      </c>
      <c r="D75" s="57">
        <f t="shared" si="1"/>
        <v>6.6206881940550194E-7</v>
      </c>
      <c r="E75" s="55">
        <v>115289</v>
      </c>
      <c r="F75" s="55">
        <v>4764</v>
      </c>
      <c r="G75" s="58"/>
      <c r="H75">
        <v>4764</v>
      </c>
      <c r="I75" s="55">
        <v>1510417</v>
      </c>
    </row>
    <row r="76" spans="1:9">
      <c r="A76">
        <v>8</v>
      </c>
      <c r="B76">
        <v>2007</v>
      </c>
      <c r="C76" s="8">
        <v>11802</v>
      </c>
      <c r="D76" s="57">
        <f t="shared" si="1"/>
        <v>6.2137042003397656E-7</v>
      </c>
      <c r="E76" s="55">
        <v>114254</v>
      </c>
      <c r="F76" s="55">
        <v>4856</v>
      </c>
      <c r="G76" s="58"/>
      <c r="H76">
        <v>4856</v>
      </c>
      <c r="I76" s="55">
        <v>1609346</v>
      </c>
    </row>
    <row r="77" spans="1:9">
      <c r="E77" s="55"/>
      <c r="G77" s="58"/>
    </row>
    <row r="78" spans="1:9">
      <c r="E78" s="55"/>
      <c r="G78" s="58"/>
    </row>
    <row r="79" spans="1:9">
      <c r="E79" s="55"/>
      <c r="G79" s="58"/>
    </row>
    <row r="80" spans="1:9">
      <c r="E80" s="55"/>
      <c r="G80" s="58"/>
    </row>
    <row r="81" spans="1:50">
      <c r="B81">
        <v>3</v>
      </c>
      <c r="C81">
        <v>4</v>
      </c>
      <c r="D81">
        <v>5</v>
      </c>
      <c r="E81">
        <v>6</v>
      </c>
      <c r="F81">
        <v>7</v>
      </c>
      <c r="G81">
        <v>8</v>
      </c>
      <c r="H81">
        <v>9</v>
      </c>
      <c r="I81">
        <v>10</v>
      </c>
      <c r="J81">
        <v>11</v>
      </c>
      <c r="K81">
        <v>12</v>
      </c>
      <c r="L81">
        <v>13</v>
      </c>
      <c r="M81">
        <v>14</v>
      </c>
      <c r="N81">
        <v>15</v>
      </c>
      <c r="O81">
        <v>16</v>
      </c>
      <c r="P81">
        <v>17</v>
      </c>
      <c r="Q81">
        <v>18</v>
      </c>
      <c r="R81">
        <v>19</v>
      </c>
      <c r="S81">
        <v>20</v>
      </c>
      <c r="T81">
        <v>21</v>
      </c>
      <c r="U81">
        <v>22</v>
      </c>
      <c r="V81">
        <v>23</v>
      </c>
      <c r="W81">
        <v>24</v>
      </c>
      <c r="X81">
        <v>25</v>
      </c>
      <c r="Y81">
        <v>26</v>
      </c>
      <c r="Z81">
        <v>27</v>
      </c>
      <c r="AA81">
        <v>28</v>
      </c>
      <c r="AB81">
        <v>29</v>
      </c>
      <c r="AC81">
        <v>30</v>
      </c>
      <c r="AD81">
        <v>31</v>
      </c>
      <c r="AE81">
        <v>32</v>
      </c>
      <c r="AF81">
        <v>33</v>
      </c>
      <c r="AG81">
        <v>34</v>
      </c>
      <c r="AH81">
        <v>35</v>
      </c>
      <c r="AI81">
        <v>36</v>
      </c>
      <c r="AJ81">
        <v>37</v>
      </c>
      <c r="AK81">
        <v>38</v>
      </c>
      <c r="AL81">
        <v>39</v>
      </c>
      <c r="AM81">
        <v>40</v>
      </c>
      <c r="AN81">
        <v>41</v>
      </c>
      <c r="AO81">
        <v>42</v>
      </c>
      <c r="AP81">
        <v>43</v>
      </c>
      <c r="AQ81">
        <v>44</v>
      </c>
      <c r="AR81">
        <v>45</v>
      </c>
      <c r="AS81">
        <v>46</v>
      </c>
      <c r="AT81">
        <v>47</v>
      </c>
      <c r="AU81">
        <v>48</v>
      </c>
      <c r="AV81">
        <v>49</v>
      </c>
      <c r="AW81">
        <v>50</v>
      </c>
      <c r="AX81">
        <v>51</v>
      </c>
    </row>
    <row r="82" spans="1:50">
      <c r="A82" t="s">
        <v>126</v>
      </c>
      <c r="B82">
        <v>2002</v>
      </c>
      <c r="C82">
        <v>2003</v>
      </c>
      <c r="D82">
        <v>2004</v>
      </c>
      <c r="E82">
        <v>2005</v>
      </c>
      <c r="F82">
        <v>2006</v>
      </c>
      <c r="G82">
        <v>2007</v>
      </c>
      <c r="H82">
        <v>2008</v>
      </c>
      <c r="I82">
        <v>2009</v>
      </c>
      <c r="J82">
        <v>2010</v>
      </c>
      <c r="K82">
        <v>2011</v>
      </c>
      <c r="L82">
        <v>2012</v>
      </c>
      <c r="M82">
        <v>2013</v>
      </c>
      <c r="N82">
        <v>2014</v>
      </c>
      <c r="O82">
        <v>2015</v>
      </c>
      <c r="P82">
        <v>2016</v>
      </c>
      <c r="Q82">
        <v>2017</v>
      </c>
      <c r="R82">
        <v>2018</v>
      </c>
      <c r="S82">
        <v>2019</v>
      </c>
      <c r="T82">
        <v>2020</v>
      </c>
      <c r="U82">
        <v>2021</v>
      </c>
      <c r="V82">
        <v>2022</v>
      </c>
      <c r="W82">
        <v>2023</v>
      </c>
      <c r="X82">
        <v>2024</v>
      </c>
      <c r="Y82">
        <v>2025</v>
      </c>
      <c r="Z82">
        <v>2026</v>
      </c>
      <c r="AA82">
        <v>2027</v>
      </c>
      <c r="AB82">
        <v>2028</v>
      </c>
      <c r="AC82">
        <v>2029</v>
      </c>
      <c r="AD82">
        <v>2030</v>
      </c>
      <c r="AE82">
        <v>2031</v>
      </c>
      <c r="AF82">
        <v>2032</v>
      </c>
      <c r="AG82">
        <v>2033</v>
      </c>
      <c r="AH82">
        <v>2034</v>
      </c>
      <c r="AI82">
        <v>2035</v>
      </c>
      <c r="AJ82">
        <v>2036</v>
      </c>
      <c r="AK82">
        <v>2037</v>
      </c>
      <c r="AL82">
        <v>2038</v>
      </c>
      <c r="AM82">
        <v>2039</v>
      </c>
      <c r="AN82">
        <v>2040</v>
      </c>
      <c r="AO82">
        <v>2041</v>
      </c>
      <c r="AP82">
        <v>2042</v>
      </c>
      <c r="AQ82">
        <v>2043</v>
      </c>
      <c r="AR82">
        <v>2044</v>
      </c>
      <c r="AS82">
        <v>2045</v>
      </c>
      <c r="AT82">
        <v>2046</v>
      </c>
      <c r="AU82">
        <v>2047</v>
      </c>
      <c r="AV82">
        <v>2048</v>
      </c>
      <c r="AW82">
        <v>2049</v>
      </c>
      <c r="AX82">
        <v>2050</v>
      </c>
    </row>
    <row r="83" spans="1:50" ht="30">
      <c r="A83" s="52" t="s">
        <v>170</v>
      </c>
      <c r="B83" s="8">
        <v>11738</v>
      </c>
      <c r="C83" s="8">
        <v>11915</v>
      </c>
      <c r="D83" s="8">
        <v>12496</v>
      </c>
      <c r="E83" s="8">
        <v>12451</v>
      </c>
      <c r="F83" s="8">
        <v>12573</v>
      </c>
      <c r="G83" s="8">
        <v>11802</v>
      </c>
      <c r="H83" s="8">
        <v>11675</v>
      </c>
      <c r="I83" s="8">
        <v>9614</v>
      </c>
      <c r="J83" s="8">
        <v>10477</v>
      </c>
      <c r="K83" s="8">
        <v>10136</v>
      </c>
      <c r="L83" s="8">
        <v>9179</v>
      </c>
      <c r="M83" s="8">
        <v>8610</v>
      </c>
      <c r="N83" s="8">
        <v>8844</v>
      </c>
      <c r="O83" s="8">
        <v>8281</v>
      </c>
      <c r="P83" s="8">
        <v>8115</v>
      </c>
      <c r="Q83">
        <v>8196.15</v>
      </c>
      <c r="R83">
        <v>8278.1114999999991</v>
      </c>
      <c r="S83">
        <v>8360.8926149999988</v>
      </c>
      <c r="T83">
        <v>8444.501541149999</v>
      </c>
      <c r="U83">
        <v>8528.9465565614992</v>
      </c>
      <c r="V83">
        <v>8614.2360221271138</v>
      </c>
      <c r="W83">
        <v>8700.3783823483845</v>
      </c>
      <c r="X83">
        <v>8787.3821661718684</v>
      </c>
      <c r="Y83">
        <v>8875.2559878335869</v>
      </c>
      <c r="Z83">
        <v>8964.0085477119228</v>
      </c>
      <c r="AA83">
        <v>9053.6486331890428</v>
      </c>
      <c r="AB83">
        <v>9144.1851195209329</v>
      </c>
      <c r="AC83">
        <v>9235.6269707161428</v>
      </c>
      <c r="AD83">
        <v>9327.9832404233039</v>
      </c>
      <c r="AE83">
        <v>9421.2630728275362</v>
      </c>
      <c r="AF83">
        <v>9515.4757035558123</v>
      </c>
      <c r="AG83">
        <v>9610.6304605913701</v>
      </c>
      <c r="AH83">
        <v>9706.7367651972836</v>
      </c>
      <c r="AI83">
        <v>9803.8041328492563</v>
      </c>
      <c r="AJ83">
        <v>9901.8421741777493</v>
      </c>
      <c r="AK83">
        <v>10000.860595919527</v>
      </c>
      <c r="AL83">
        <v>10100.869201878722</v>
      </c>
      <c r="AM83">
        <v>10201.87789389751</v>
      </c>
      <c r="AN83">
        <v>10303.896672836485</v>
      </c>
      <c r="AO83">
        <v>10406.93563956485</v>
      </c>
      <c r="AP83">
        <v>10511.004995960498</v>
      </c>
      <c r="AQ83">
        <v>10616.115045920104</v>
      </c>
      <c r="AR83">
        <v>10722.276196379305</v>
      </c>
      <c r="AS83">
        <v>10829.498958343098</v>
      </c>
      <c r="AT83">
        <v>10937.79394792653</v>
      </c>
      <c r="AU83">
        <v>11047.171887405795</v>
      </c>
      <c r="AV83">
        <v>11157.643606279853</v>
      </c>
      <c r="AW83">
        <v>11269.220042342651</v>
      </c>
      <c r="AX83">
        <v>11381.912242766079</v>
      </c>
    </row>
    <row r="84" spans="1:50">
      <c r="A84" t="s">
        <v>171</v>
      </c>
      <c r="B84" s="57">
        <v>8.5194477693955875E-7</v>
      </c>
      <c r="C84" s="57">
        <v>8.2646813800034377E-7</v>
      </c>
      <c r="D84" s="57">
        <v>7.6110683199936675E-7</v>
      </c>
      <c r="E84" s="57">
        <v>7.0815260688678407E-7</v>
      </c>
      <c r="F84" s="57">
        <v>6.6206881940550194E-7</v>
      </c>
      <c r="G84" s="57">
        <v>6.2137042003397656E-7</v>
      </c>
      <c r="H84" s="57">
        <v>6.0894516083459589E-7</v>
      </c>
      <c r="I84" s="57">
        <v>6.2383070731797084E-7</v>
      </c>
      <c r="J84" s="57">
        <v>5.846859067309042E-7</v>
      </c>
      <c r="K84" s="57">
        <v>5.5745741443446782E-7</v>
      </c>
      <c r="L84" s="57">
        <v>5.4831956502905549E-7</v>
      </c>
      <c r="M84" s="57">
        <v>5.3165585278662094E-7</v>
      </c>
      <c r="N84" s="57">
        <v>5.1751691245269894E-7</v>
      </c>
      <c r="O84" s="57">
        <v>5.0569616156385525E-7</v>
      </c>
      <c r="P84" s="57">
        <v>4.9394082786458508E-7</v>
      </c>
      <c r="Q84" s="57">
        <v>4.7575210460837275E-7</v>
      </c>
    </row>
    <row r="85" spans="1:50">
      <c r="A85" s="55" t="s">
        <v>161</v>
      </c>
      <c r="B85" s="55">
        <v>114973</v>
      </c>
      <c r="C85" s="55">
        <v>113572</v>
      </c>
      <c r="D85" s="55">
        <v>114170</v>
      </c>
      <c r="E85" s="55">
        <v>114635</v>
      </c>
      <c r="F85" s="55">
        <v>115289</v>
      </c>
      <c r="G85" s="55">
        <v>114254</v>
      </c>
      <c r="H85" s="55">
        <v>112996</v>
      </c>
      <c r="I85" s="55">
        <v>110910</v>
      </c>
      <c r="J85" s="55">
        <v>112874</v>
      </c>
      <c r="K85" s="55">
        <v>114308</v>
      </c>
      <c r="L85" s="55">
        <v>117127</v>
      </c>
      <c r="M85" s="55">
        <v>120277</v>
      </c>
      <c r="N85" s="55">
        <v>116561</v>
      </c>
      <c r="O85" s="55">
        <v>115482</v>
      </c>
      <c r="P85" s="55">
        <v>112352</v>
      </c>
      <c r="Q85" s="55">
        <v>113200</v>
      </c>
      <c r="R85" s="55">
        <v>114525.98</v>
      </c>
      <c r="S85" s="55">
        <v>115193.4</v>
      </c>
      <c r="T85" s="55">
        <v>115860.82</v>
      </c>
      <c r="U85" s="55">
        <v>117290.7862</v>
      </c>
      <c r="V85" s="55">
        <v>117195.66</v>
      </c>
      <c r="W85" s="55">
        <v>117863.08</v>
      </c>
      <c r="X85" s="55">
        <v>118530.5</v>
      </c>
      <c r="Y85" s="55">
        <v>119197.92</v>
      </c>
      <c r="Z85" s="55">
        <v>120252.54514</v>
      </c>
      <c r="AA85" s="55">
        <v>120532.76</v>
      </c>
      <c r="AB85" s="55">
        <v>121200.18</v>
      </c>
      <c r="AC85" s="55">
        <v>121867.6</v>
      </c>
      <c r="AD85" s="55">
        <v>122535.02</v>
      </c>
      <c r="AE85" s="55">
        <v>123289.06348</v>
      </c>
      <c r="AF85" s="55">
        <v>123869.86</v>
      </c>
      <c r="AG85" s="55">
        <v>124537.28</v>
      </c>
      <c r="AH85" s="55">
        <v>125204.7</v>
      </c>
      <c r="AI85" s="55">
        <v>125872.12</v>
      </c>
      <c r="AJ85" s="55">
        <v>126402.25665000001</v>
      </c>
      <c r="AK85" s="55">
        <v>127206.95999999999</v>
      </c>
      <c r="AL85" s="55">
        <v>127874.38</v>
      </c>
      <c r="AM85" s="55">
        <v>128541.8</v>
      </c>
      <c r="AN85" s="55">
        <v>128949.31996000001</v>
      </c>
      <c r="AO85" s="55">
        <v>129876.64</v>
      </c>
      <c r="AP85" s="55">
        <v>130544.06</v>
      </c>
      <c r="AQ85" s="55">
        <v>131211.48000000001</v>
      </c>
      <c r="AR85" s="55">
        <v>131878.9</v>
      </c>
      <c r="AS85" s="55">
        <v>132546.32</v>
      </c>
      <c r="AT85" s="55">
        <v>133213.74</v>
      </c>
      <c r="AU85" s="55">
        <v>133881.16</v>
      </c>
      <c r="AV85" s="55">
        <v>134548.57999999999</v>
      </c>
      <c r="AW85" s="55">
        <v>135216</v>
      </c>
      <c r="AX85" s="55">
        <v>135883.41999999998</v>
      </c>
    </row>
    <row r="86" spans="1:50" ht="30">
      <c r="A86" s="52" t="s">
        <v>172</v>
      </c>
      <c r="B86" s="55">
        <v>4489</v>
      </c>
      <c r="C86" s="55">
        <v>4485</v>
      </c>
      <c r="D86" s="55">
        <v>4578</v>
      </c>
      <c r="E86" s="55">
        <v>4660</v>
      </c>
      <c r="F86" s="55">
        <v>4764</v>
      </c>
      <c r="G86" s="55">
        <v>4856</v>
      </c>
      <c r="H86" s="55">
        <v>4825</v>
      </c>
      <c r="I86" s="55">
        <v>4641</v>
      </c>
      <c r="J86" s="55">
        <v>4663</v>
      </c>
      <c r="K86" s="55">
        <v>4679</v>
      </c>
      <c r="L86" s="55">
        <v>4665</v>
      </c>
      <c r="M86" s="55">
        <v>4600</v>
      </c>
      <c r="N86" s="55">
        <v>4586</v>
      </c>
      <c r="O86" s="55">
        <v>4524</v>
      </c>
      <c r="P86" s="55">
        <v>4665</v>
      </c>
      <c r="Q86" s="54">
        <v>4709</v>
      </c>
      <c r="R86" s="54">
        <v>4828.9528927589381</v>
      </c>
      <c r="S86" s="54">
        <v>4848.3279341592133</v>
      </c>
      <c r="T86" s="54">
        <v>4867.1846984545573</v>
      </c>
      <c r="U86" s="54">
        <v>4880.7379016887271</v>
      </c>
      <c r="V86" s="54">
        <v>4903.42400781383</v>
      </c>
      <c r="W86" s="54">
        <v>4918.7651116594197</v>
      </c>
      <c r="X86" s="54">
        <v>4933.7962725624029</v>
      </c>
      <c r="Y86" s="54">
        <v>4948.5291119215426</v>
      </c>
      <c r="Z86" s="54">
        <v>4960.5347537108728</v>
      </c>
      <c r="AA86" s="54">
        <v>4975.2785659915971</v>
      </c>
      <c r="AB86" s="54">
        <v>4987.416769938266</v>
      </c>
      <c r="AC86" s="54">
        <v>4999.3959576772222</v>
      </c>
      <c r="AD86" s="54">
        <v>5011.2224039090033</v>
      </c>
      <c r="AE86" s="54">
        <v>5022.3563490385222</v>
      </c>
      <c r="AF86" s="54">
        <v>5034.4415286465373</v>
      </c>
      <c r="AG86" s="54">
        <v>5045.8461246301395</v>
      </c>
      <c r="AH86" s="54">
        <v>5057.12182059933</v>
      </c>
      <c r="AI86" s="54">
        <v>5068.2742789465101</v>
      </c>
      <c r="AJ86" s="54">
        <v>5080.1742152253755</v>
      </c>
      <c r="AK86" s="54">
        <v>5090.2315707393136</v>
      </c>
      <c r="AL86" s="54">
        <v>5101.0471763119622</v>
      </c>
      <c r="AM86" s="54">
        <v>5111.7610943180998</v>
      </c>
      <c r="AN86" s="54">
        <v>5124.0163540909043</v>
      </c>
      <c r="AO86" s="54">
        <v>5132.904277617934</v>
      </c>
      <c r="AP86" s="54">
        <v>5143.3435041176363</v>
      </c>
      <c r="AQ86" s="54">
        <v>5153.7009707386896</v>
      </c>
      <c r="AR86" s="54">
        <v>5163.9814260594721</v>
      </c>
      <c r="AS86" s="54">
        <v>5174.1895303837273</v>
      </c>
      <c r="AT86" s="54">
        <v>5184.3298581690478</v>
      </c>
      <c r="AU86" s="54">
        <v>5194.4069003988798</v>
      </c>
      <c r="AV86" s="54">
        <v>5204.4250668994619</v>
      </c>
      <c r="AW86" s="54">
        <v>5214.3886886030523</v>
      </c>
      <c r="AX86" s="54">
        <v>5224.3020197588075</v>
      </c>
    </row>
    <row r="87" spans="1:50" ht="30">
      <c r="A87" s="56" t="s">
        <v>173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63">
        <v>0.01</v>
      </c>
      <c r="R87" s="63">
        <v>0.01</v>
      </c>
      <c r="S87" s="63">
        <v>0.01</v>
      </c>
      <c r="T87" s="63">
        <v>0.01</v>
      </c>
      <c r="U87" s="63">
        <v>0.01</v>
      </c>
      <c r="V87" s="63">
        <v>0.01</v>
      </c>
      <c r="W87" s="63">
        <v>0.01</v>
      </c>
      <c r="X87" s="63">
        <v>0.01</v>
      </c>
      <c r="Y87" s="63">
        <v>0.01</v>
      </c>
      <c r="Z87" s="63">
        <v>0.01</v>
      </c>
      <c r="AA87" s="63">
        <v>0.01</v>
      </c>
      <c r="AB87" s="63">
        <v>0.01</v>
      </c>
      <c r="AC87" s="63">
        <v>0.01</v>
      </c>
      <c r="AD87" s="63">
        <v>0.01</v>
      </c>
      <c r="AE87" s="63">
        <v>0.01</v>
      </c>
      <c r="AF87" s="63">
        <v>0.01</v>
      </c>
      <c r="AG87" s="63">
        <v>0.01</v>
      </c>
      <c r="AH87" s="63">
        <v>0.01</v>
      </c>
      <c r="AI87" s="63">
        <v>0.01</v>
      </c>
      <c r="AJ87" s="63">
        <v>0.01</v>
      </c>
      <c r="AK87" s="63">
        <v>0.01</v>
      </c>
      <c r="AL87" s="63">
        <v>0.01</v>
      </c>
      <c r="AM87" s="63">
        <v>0.01</v>
      </c>
      <c r="AN87" s="63">
        <v>0.01</v>
      </c>
      <c r="AO87" s="63">
        <v>0.01</v>
      </c>
      <c r="AP87" s="63">
        <v>0.01</v>
      </c>
      <c r="AQ87" s="63">
        <v>0.01</v>
      </c>
      <c r="AR87" s="63">
        <v>0.01</v>
      </c>
      <c r="AS87" s="63">
        <v>0.01</v>
      </c>
      <c r="AT87" s="63">
        <v>0.01</v>
      </c>
      <c r="AU87" s="63">
        <v>0.01</v>
      </c>
      <c r="AV87" s="63">
        <v>0.01</v>
      </c>
      <c r="AW87" s="63">
        <v>0.01</v>
      </c>
      <c r="AX87" s="63">
        <v>0.01</v>
      </c>
    </row>
    <row r="88" spans="1:50" ht="30">
      <c r="A88" s="52" t="s">
        <v>174</v>
      </c>
      <c r="B88">
        <v>4489</v>
      </c>
      <c r="C88">
        <v>4485</v>
      </c>
      <c r="D88">
        <v>4578</v>
      </c>
      <c r="E88">
        <v>4660</v>
      </c>
      <c r="F88">
        <v>4764</v>
      </c>
      <c r="G88">
        <v>4856</v>
      </c>
      <c r="H88">
        <v>4825</v>
      </c>
      <c r="I88">
        <v>4641</v>
      </c>
      <c r="J88">
        <v>4663</v>
      </c>
      <c r="K88">
        <v>4679</v>
      </c>
      <c r="L88">
        <v>4665</v>
      </c>
      <c r="M88">
        <v>4600</v>
      </c>
      <c r="N88">
        <v>4586</v>
      </c>
      <c r="O88">
        <v>4524</v>
      </c>
      <c r="P88">
        <v>4665</v>
      </c>
      <c r="Q88">
        <v>4709</v>
      </c>
      <c r="R88">
        <v>4801.6202574873405</v>
      </c>
      <c r="S88">
        <v>4960.4456777650503</v>
      </c>
      <c r="T88">
        <v>4991.303713891346</v>
      </c>
      <c r="U88">
        <v>5022.5826842022798</v>
      </c>
      <c r="V88">
        <v>5050.5459323605137</v>
      </c>
      <c r="W88">
        <v>5075.756595119683</v>
      </c>
      <c r="X88">
        <v>5100.4229856303937</v>
      </c>
      <c r="Y88">
        <v>5124.5625366013946</v>
      </c>
      <c r="Z88">
        <v>5148.8297220568393</v>
      </c>
      <c r="AA88">
        <v>5168.4284360507963</v>
      </c>
      <c r="AB88">
        <v>5188.3424438268112</v>
      </c>
      <c r="AC88">
        <v>5207.9435168705559</v>
      </c>
      <c r="AD88">
        <v>5227.2407474381171</v>
      </c>
      <c r="AE88">
        <v>5246.3856461800724</v>
      </c>
      <c r="AF88">
        <v>5264.9590195411765</v>
      </c>
      <c r="AG88">
        <v>5283.3972304320014</v>
      </c>
      <c r="AH88">
        <v>5301.5659475819157</v>
      </c>
      <c r="AI88">
        <v>5319.4732781700823</v>
      </c>
      <c r="AJ88">
        <v>5336.9011099454247</v>
      </c>
      <c r="AK88">
        <v>5354.5353010075623</v>
      </c>
      <c r="AL88">
        <v>5371.7053139404097</v>
      </c>
      <c r="AM88">
        <v>5388.644590553281</v>
      </c>
      <c r="AN88">
        <v>5404.9324455641654</v>
      </c>
      <c r="AO88">
        <v>5421.8597348900503</v>
      </c>
      <c r="AP88">
        <v>5438.1496055633252</v>
      </c>
      <c r="AQ88">
        <v>5454.236753867619</v>
      </c>
      <c r="AR88">
        <v>5470.1278021403486</v>
      </c>
      <c r="AS88">
        <v>5485.8292279774032</v>
      </c>
      <c r="AT88">
        <v>5501.3473679312065</v>
      </c>
      <c r="AU88">
        <v>5516.6884211202769</v>
      </c>
      <c r="AV88">
        <v>5531.858452752429</v>
      </c>
      <c r="AW88">
        <v>5546.8633975637649</v>
      </c>
      <c r="AX88">
        <v>5561.7090631755118</v>
      </c>
    </row>
    <row r="89" spans="1:50" ht="30">
      <c r="A89" s="52" t="s">
        <v>175</v>
      </c>
      <c r="B89" s="55">
        <v>1173785</v>
      </c>
      <c r="C89" s="55">
        <v>1209968</v>
      </c>
      <c r="D89" s="55">
        <v>1313876</v>
      </c>
      <c r="E89" s="55">
        <v>1412125</v>
      </c>
      <c r="F89" s="55">
        <v>1510417</v>
      </c>
      <c r="G89" s="55">
        <v>1609346</v>
      </c>
      <c r="H89" s="55">
        <v>1642184</v>
      </c>
      <c r="I89" s="55">
        <v>1602999</v>
      </c>
      <c r="J89" s="55">
        <v>1710320</v>
      </c>
      <c r="K89" s="55">
        <v>1793859</v>
      </c>
      <c r="L89" s="55">
        <v>1823754</v>
      </c>
      <c r="M89" s="55">
        <v>1880916</v>
      </c>
      <c r="N89" s="55">
        <v>1932304</v>
      </c>
      <c r="O89" s="55">
        <v>1977472</v>
      </c>
      <c r="P89" s="55">
        <v>2024534</v>
      </c>
      <c r="Q89" s="55">
        <v>2101935</v>
      </c>
      <c r="R89" s="55">
        <v>2668011.1958249994</v>
      </c>
      <c r="S89" s="55">
        <v>2761391.5876788739</v>
      </c>
      <c r="T89" s="55">
        <v>2858040.2932476341</v>
      </c>
      <c r="U89" s="55">
        <v>2958071.703511301</v>
      </c>
      <c r="V89" s="55">
        <v>3061604.2131341961</v>
      </c>
      <c r="W89" s="55">
        <v>3153452.3395282221</v>
      </c>
      <c r="X89" s="55">
        <v>3248055.9097140688</v>
      </c>
      <c r="Y89" s="55">
        <v>3345497.5870054909</v>
      </c>
      <c r="Z89" s="55">
        <v>3445862.5146156559</v>
      </c>
      <c r="AA89" s="55">
        <v>3532009.0774810468</v>
      </c>
      <c r="AB89" s="55">
        <v>3620309.3044180726</v>
      </c>
      <c r="AC89" s="55">
        <v>3710817.0370285241</v>
      </c>
      <c r="AD89" s="55">
        <v>3803587.4629542367</v>
      </c>
      <c r="AE89" s="55">
        <v>3898677.1495280922</v>
      </c>
      <c r="AF89" s="55">
        <v>3996144.0782662942</v>
      </c>
      <c r="AG89" s="55">
        <v>4096047.6802229513</v>
      </c>
      <c r="AH89" s="55">
        <v>4198448.8722285246</v>
      </c>
      <c r="AI89" s="55">
        <v>4303410.0940342378</v>
      </c>
      <c r="AJ89" s="55">
        <v>4410995.3463850934</v>
      </c>
      <c r="AK89" s="55">
        <v>4521270.2300447207</v>
      </c>
      <c r="AL89" s="55">
        <v>4634301.9857958388</v>
      </c>
      <c r="AM89" s="55">
        <v>4750159.5354407346</v>
      </c>
      <c r="AN89" s="55">
        <v>4868913.5238267528</v>
      </c>
      <c r="AO89" s="55">
        <v>4990636.3619224215</v>
      </c>
      <c r="AP89" s="55">
        <v>5115402.2709704814</v>
      </c>
      <c r="AQ89" s="55">
        <v>5243287.3277447429</v>
      </c>
      <c r="AR89" s="55">
        <v>5374369.5109383613</v>
      </c>
      <c r="AS89" s="55">
        <v>5508728.7487118198</v>
      </c>
      <c r="AT89" s="55">
        <v>5646446.9674296146</v>
      </c>
      <c r="AU89" s="55">
        <v>5787608.1416153545</v>
      </c>
      <c r="AV89" s="55">
        <v>5932298.3451557374</v>
      </c>
      <c r="AW89" s="55">
        <v>6080605.8037846303</v>
      </c>
      <c r="AX89" s="55">
        <v>6232620.9488792457</v>
      </c>
    </row>
    <row r="90" spans="1:50">
      <c r="A90" s="52" t="s">
        <v>158</v>
      </c>
      <c r="B90">
        <v>39043.949449001069</v>
      </c>
      <c r="C90">
        <v>39490.367344063678</v>
      </c>
      <c r="D90">
        <v>40098.099325567135</v>
      </c>
      <c r="E90">
        <v>40650.761111353429</v>
      </c>
      <c r="F90">
        <v>41322.242364839665</v>
      </c>
      <c r="G90">
        <v>42501.794247903796</v>
      </c>
      <c r="H90">
        <v>42700.626570852066</v>
      </c>
      <c r="I90">
        <v>41844.738977549365</v>
      </c>
      <c r="J90">
        <v>41311.55093289863</v>
      </c>
      <c r="K90">
        <v>40933.268012737513</v>
      </c>
      <c r="L90">
        <v>39828.562159023968</v>
      </c>
      <c r="M90">
        <v>38245.051007258247</v>
      </c>
      <c r="N90">
        <v>39344.206038040167</v>
      </c>
      <c r="O90">
        <v>39174.936353717465</v>
      </c>
      <c r="P90">
        <v>41521.290230703504</v>
      </c>
      <c r="Q90">
        <v>41598.939929328619</v>
      </c>
      <c r="R90">
        <v>42164.693921492209</v>
      </c>
      <c r="S90">
        <v>42088.591309564727</v>
      </c>
      <c r="T90">
        <v>42008.892207517238</v>
      </c>
      <c r="U90">
        <v>41612.287374101747</v>
      </c>
      <c r="V90">
        <v>41839.638155660628</v>
      </c>
      <c r="W90">
        <v>41732.874379826317</v>
      </c>
      <c r="X90">
        <v>41624.698052926484</v>
      </c>
      <c r="Y90">
        <v>41515.230399335342</v>
      </c>
      <c r="Z90">
        <v>41250.975170095036</v>
      </c>
      <c r="AA90">
        <v>41277.396833786908</v>
      </c>
      <c r="AB90">
        <v>41150.242268107737</v>
      </c>
      <c r="AC90">
        <v>41023.175624015093</v>
      </c>
      <c r="AD90">
        <v>40896.246672249312</v>
      </c>
      <c r="AE90">
        <v>40736.430363535452</v>
      </c>
      <c r="AF90">
        <v>40642.99038237823</v>
      </c>
      <c r="AG90">
        <v>40516.752289998141</v>
      </c>
      <c r="AH90">
        <v>40390.830540701187</v>
      </c>
      <c r="AI90">
        <v>40265.265087666041</v>
      </c>
      <c r="AJ90">
        <v>40190.534171332569</v>
      </c>
      <c r="AK90">
        <v>40015.354275735495</v>
      </c>
      <c r="AL90">
        <v>39891.080420581216</v>
      </c>
      <c r="AM90">
        <v>39767.305999434422</v>
      </c>
      <c r="AN90">
        <v>39736.668294802723</v>
      </c>
      <c r="AO90">
        <v>39521.381809830731</v>
      </c>
      <c r="AP90">
        <v>39399.291734282182</v>
      </c>
      <c r="AQ90">
        <v>39277.82058962134</v>
      </c>
      <c r="AR90">
        <v>39156.994986002101</v>
      </c>
      <c r="AS90">
        <v>39036.840331619365</v>
      </c>
      <c r="AT90">
        <v>38917.380881049125</v>
      </c>
      <c r="AU90">
        <v>38798.639781720442</v>
      </c>
      <c r="AV90">
        <v>38680.639118595398</v>
      </c>
      <c r="AW90">
        <v>38563.39995712824</v>
      </c>
      <c r="AX90">
        <v>38446.942384573536</v>
      </c>
    </row>
    <row r="91" spans="1:50">
      <c r="A91" s="52" t="s">
        <v>176</v>
      </c>
      <c r="B91">
        <v>24260.777913075242</v>
      </c>
      <c r="C91">
        <v>24538.169046948191</v>
      </c>
      <c r="D91">
        <v>24915.796076026978</v>
      </c>
      <c r="E91">
        <v>25259.204082522792</v>
      </c>
      <c r="F91">
        <v>25676.443060482787</v>
      </c>
      <c r="G91">
        <v>26409.382393614229</v>
      </c>
      <c r="H91">
        <v>26532.93103295692</v>
      </c>
      <c r="I91">
        <v>26001.107303218825</v>
      </c>
      <c r="J91">
        <v>25669.799714726156</v>
      </c>
      <c r="K91">
        <v>25434.745678342722</v>
      </c>
      <c r="L91">
        <v>24748.313497314881</v>
      </c>
      <c r="M91">
        <v>23764.365589431065</v>
      </c>
      <c r="N91">
        <v>24447.348650063057</v>
      </c>
      <c r="O91">
        <v>24342.169377045775</v>
      </c>
      <c r="P91">
        <v>25800.125631942468</v>
      </c>
      <c r="Q91">
        <v>25848.374902826854</v>
      </c>
      <c r="R91">
        <v>26199.918026691535</v>
      </c>
      <c r="S91">
        <v>26152.630070615545</v>
      </c>
      <c r="T91">
        <v>26103.107359877195</v>
      </c>
      <c r="U91">
        <v>25856.668617932977</v>
      </c>
      <c r="V91">
        <v>25997.937800421001</v>
      </c>
      <c r="W91">
        <v>25931.59788626706</v>
      </c>
      <c r="X91">
        <v>25864.380253844982</v>
      </c>
      <c r="Y91">
        <v>25796.360228465401</v>
      </c>
      <c r="Z91">
        <v>25632.159692417124</v>
      </c>
      <c r="AA91">
        <v>25648.577348007006</v>
      </c>
      <c r="AB91">
        <v>25569.567188376372</v>
      </c>
      <c r="AC91">
        <v>25490.611660669882</v>
      </c>
      <c r="AD91">
        <v>25411.741690982228</v>
      </c>
      <c r="AE91">
        <v>25312.436471420388</v>
      </c>
      <c r="AF91">
        <v>25254.375576888742</v>
      </c>
      <c r="AG91">
        <v>25175.934887188436</v>
      </c>
      <c r="AH91">
        <v>25097.690763906037</v>
      </c>
      <c r="AI91">
        <v>25019.668032788137</v>
      </c>
      <c r="AJ91">
        <v>24973.232408575092</v>
      </c>
      <c r="AK91">
        <v>24864.38070166804</v>
      </c>
      <c r="AL91">
        <v>24787.160532016973</v>
      </c>
      <c r="AM91">
        <v>24710.250696174568</v>
      </c>
      <c r="AN91">
        <v>24691.213315009863</v>
      </c>
      <c r="AO91">
        <v>24557.440536556333</v>
      </c>
      <c r="AP91">
        <v>24481.577304222654</v>
      </c>
      <c r="AQ91">
        <v>24406.0986575936</v>
      </c>
      <c r="AR91">
        <v>24331.021131447113</v>
      </c>
      <c r="AS91">
        <v>24256.360513698655</v>
      </c>
      <c r="AT91">
        <v>24182.131875438376</v>
      </c>
      <c r="AU91">
        <v>24108.349599807414</v>
      </c>
      <c r="AV91">
        <v>24035.02740976074</v>
      </c>
      <c r="AW91">
        <v>23962.178394760733</v>
      </c>
      <c r="AX91">
        <v>23889.815036444845</v>
      </c>
    </row>
  </sheetData>
  <hyperlinks>
    <hyperlink ref="C66" r:id="rId1" xr:uid="{6D804AEA-E1CB-41CD-93CD-F741D2874A1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D693-C678-412D-AFA4-ABCA8DF692FB}">
  <dimension ref="A1:F12"/>
  <sheetViews>
    <sheetView workbookViewId="0">
      <selection activeCell="G8" sqref="G8"/>
    </sheetView>
  </sheetViews>
  <sheetFormatPr defaultRowHeight="15"/>
  <cols>
    <col min="1" max="1" width="16.7109375" customWidth="1"/>
    <col min="3" max="3" width="21" customWidth="1"/>
    <col min="4" max="4" width="16.42578125" customWidth="1"/>
    <col min="5" max="5" width="16" customWidth="1"/>
    <col min="6" max="6" width="16.7109375" customWidth="1"/>
    <col min="7" max="7" width="11.42578125" customWidth="1"/>
    <col min="8" max="8" width="11" customWidth="1"/>
  </cols>
  <sheetData>
    <row r="1" spans="1:6" ht="25.5">
      <c r="A1" s="26"/>
      <c r="B1" s="27"/>
      <c r="C1" s="28" t="s">
        <v>142</v>
      </c>
      <c r="D1" s="28" t="s">
        <v>143</v>
      </c>
      <c r="E1" s="28" t="s">
        <v>144</v>
      </c>
      <c r="F1" s="28" t="s">
        <v>145</v>
      </c>
    </row>
    <row r="2" spans="1:6" s="29" customFormat="1">
      <c r="A2" s="30" t="s">
        <v>146</v>
      </c>
      <c r="B2" s="13"/>
      <c r="C2" s="31">
        <v>596000000</v>
      </c>
      <c r="D2" s="13">
        <v>194</v>
      </c>
      <c r="E2" s="13">
        <f>C2/D2</f>
        <v>3072164.9484536084</v>
      </c>
      <c r="F2" s="29">
        <f>E2*0.621371</f>
        <v>1908954.2061855672</v>
      </c>
    </row>
    <row r="3" spans="1:6" s="29" customFormat="1">
      <c r="A3" s="30" t="s">
        <v>140</v>
      </c>
      <c r="B3" s="13"/>
      <c r="C3" s="31">
        <v>596000000</v>
      </c>
      <c r="D3" s="13">
        <v>194</v>
      </c>
      <c r="E3" s="13">
        <f>C3/D3</f>
        <v>3072164.9484536084</v>
      </c>
      <c r="F3" s="29">
        <f>E3*0.621371</f>
        <v>1908954.2061855672</v>
      </c>
    </row>
    <row r="4" spans="1:6" s="29" customFormat="1">
      <c r="A4" s="29" t="s">
        <v>147</v>
      </c>
      <c r="C4" s="31"/>
    </row>
    <row r="5" spans="1:6">
      <c r="A5" s="17"/>
      <c r="B5" s="17"/>
      <c r="C5" s="17"/>
      <c r="D5" s="17"/>
    </row>
    <row r="6" spans="1:6">
      <c r="A6" s="17"/>
      <c r="B6" s="17"/>
      <c r="C6" s="17"/>
      <c r="D6" s="17"/>
    </row>
    <row r="7" spans="1:6">
      <c r="A7" s="17" t="s">
        <v>148</v>
      </c>
      <c r="B7" s="17"/>
      <c r="C7" s="33"/>
      <c r="D7" s="17"/>
    </row>
    <row r="8" spans="1:6">
      <c r="A8" s="17"/>
      <c r="B8" s="17"/>
      <c r="C8" s="17"/>
      <c r="D8" s="17"/>
    </row>
    <row r="9" spans="1:6">
      <c r="A9" s="17"/>
      <c r="B9" s="17"/>
      <c r="C9" s="17"/>
      <c r="D9" s="17"/>
    </row>
    <row r="10" spans="1:6">
      <c r="A10" s="17"/>
      <c r="B10" s="17"/>
      <c r="C10" s="17"/>
      <c r="D10" s="17"/>
    </row>
    <row r="11" spans="1:6">
      <c r="A11" s="17"/>
      <c r="B11" s="17"/>
      <c r="C11" s="17"/>
      <c r="D11" s="17"/>
    </row>
    <row r="12" spans="1:6">
      <c r="A12" s="17"/>
      <c r="B12" s="17"/>
      <c r="C12" s="17"/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K7"/>
  <sheetViews>
    <sheetView workbookViewId="0">
      <selection activeCell="B6" sqref="B6:AJ6"/>
    </sheetView>
  </sheetViews>
  <sheetFormatPr defaultRowHeight="15"/>
  <cols>
    <col min="1" max="1" width="16.5703125" style="11" customWidth="1"/>
    <col min="2" max="2" width="11.140625" style="11" customWidth="1"/>
    <col min="3" max="3" width="13.85546875" style="11" customWidth="1"/>
    <col min="4" max="4" width="16.5703125" style="11" customWidth="1"/>
    <col min="5" max="5" width="9" style="11" customWidth="1"/>
    <col min="6" max="16384" width="9.140625" style="11"/>
  </cols>
  <sheetData>
    <row r="1" spans="1:37" s="10" customFormat="1">
      <c r="A1" s="47" t="s">
        <v>95</v>
      </c>
      <c r="B1" s="47">
        <v>2016</v>
      </c>
      <c r="C1" s="47">
        <v>2017</v>
      </c>
      <c r="D1" s="47">
        <v>2018</v>
      </c>
      <c r="E1" s="47">
        <v>2019</v>
      </c>
      <c r="F1" s="47">
        <v>2020</v>
      </c>
      <c r="G1" s="47">
        <v>2021</v>
      </c>
      <c r="H1" s="47">
        <v>2022</v>
      </c>
      <c r="I1" s="47">
        <v>2023</v>
      </c>
      <c r="J1" s="47">
        <v>2024</v>
      </c>
      <c r="K1" s="47">
        <v>2025</v>
      </c>
      <c r="L1" s="47">
        <v>2026</v>
      </c>
      <c r="M1" s="47">
        <v>2027</v>
      </c>
      <c r="N1" s="47">
        <v>2028</v>
      </c>
      <c r="O1" s="47">
        <v>2029</v>
      </c>
      <c r="P1" s="47">
        <v>2030</v>
      </c>
      <c r="Q1" s="47">
        <v>2031</v>
      </c>
      <c r="R1" s="47">
        <v>2032</v>
      </c>
      <c r="S1" s="47">
        <v>2033</v>
      </c>
      <c r="T1" s="47">
        <v>2034</v>
      </c>
      <c r="U1" s="47">
        <v>2035</v>
      </c>
      <c r="V1" s="47">
        <v>2036</v>
      </c>
      <c r="W1" s="47">
        <v>2037</v>
      </c>
      <c r="X1" s="47">
        <v>2038</v>
      </c>
      <c r="Y1" s="47">
        <v>2039</v>
      </c>
      <c r="Z1" s="47">
        <v>2040</v>
      </c>
      <c r="AA1" s="47">
        <v>2041</v>
      </c>
      <c r="AB1" s="47">
        <v>2042</v>
      </c>
      <c r="AC1" s="47">
        <v>2043</v>
      </c>
      <c r="AD1" s="47">
        <v>2044</v>
      </c>
      <c r="AE1" s="47">
        <v>2045</v>
      </c>
      <c r="AF1" s="47">
        <v>2046</v>
      </c>
      <c r="AG1" s="47">
        <v>2047</v>
      </c>
      <c r="AH1" s="47">
        <v>2048</v>
      </c>
      <c r="AI1" s="47">
        <v>2049</v>
      </c>
      <c r="AJ1" s="47">
        <v>2050</v>
      </c>
      <c r="AK1" s="47"/>
    </row>
    <row r="2" spans="1:37" s="32" customFormat="1">
      <c r="A2" s="36" t="s">
        <v>138</v>
      </c>
      <c r="B2" s="77">
        <f>'HK Freight'!P91</f>
        <v>25800.125631942468</v>
      </c>
      <c r="C2" s="77">
        <f>'HK Freight'!Q91</f>
        <v>25848.374902826854</v>
      </c>
      <c r="D2" s="77">
        <f>'HK Freight'!R91</f>
        <v>26199.918026691535</v>
      </c>
      <c r="E2" s="77">
        <f>'HK Freight'!S91</f>
        <v>26152.630070615545</v>
      </c>
      <c r="F2" s="77">
        <f>'HK Freight'!T91</f>
        <v>26103.107359877195</v>
      </c>
      <c r="G2" s="77">
        <f>'HK Freight'!U91</f>
        <v>25856.668617932977</v>
      </c>
      <c r="H2" s="77">
        <f>'HK Freight'!V91</f>
        <v>25997.937800421001</v>
      </c>
      <c r="I2" s="77">
        <f>'HK Freight'!W91</f>
        <v>25931.59788626706</v>
      </c>
      <c r="J2" s="77">
        <f>'HK Freight'!X91</f>
        <v>25864.380253844982</v>
      </c>
      <c r="K2" s="77">
        <f>'HK Freight'!Y91</f>
        <v>25796.360228465401</v>
      </c>
      <c r="L2" s="77">
        <f>'HK Freight'!Z91</f>
        <v>25632.159692417124</v>
      </c>
      <c r="M2" s="77">
        <f>'HK Freight'!AA91</f>
        <v>25648.577348007006</v>
      </c>
      <c r="N2" s="77">
        <f>'HK Freight'!AB91</f>
        <v>25569.567188376372</v>
      </c>
      <c r="O2" s="77">
        <f>'HK Freight'!AC91</f>
        <v>25490.611660669882</v>
      </c>
      <c r="P2" s="77">
        <f>'HK Freight'!AD91</f>
        <v>25411.741690982228</v>
      </c>
      <c r="Q2" s="77">
        <f>'HK Freight'!AE91</f>
        <v>25312.436471420388</v>
      </c>
      <c r="R2" s="77">
        <f>'HK Freight'!AF91</f>
        <v>25254.375576888742</v>
      </c>
      <c r="S2" s="77">
        <f>'HK Freight'!AG91</f>
        <v>25175.934887188436</v>
      </c>
      <c r="T2" s="77">
        <f>'HK Freight'!AH91</f>
        <v>25097.690763906037</v>
      </c>
      <c r="U2" s="77">
        <f>'HK Freight'!AI91</f>
        <v>25019.668032788137</v>
      </c>
      <c r="V2" s="77">
        <f>'HK Freight'!AJ91</f>
        <v>24973.232408575092</v>
      </c>
      <c r="W2" s="77">
        <f>'HK Freight'!AK91</f>
        <v>24864.38070166804</v>
      </c>
      <c r="X2" s="77">
        <f>'HK Freight'!AL91</f>
        <v>24787.160532016973</v>
      </c>
      <c r="Y2" s="77">
        <f>'HK Freight'!AM91</f>
        <v>24710.250696174568</v>
      </c>
      <c r="Z2" s="77">
        <f>'HK Freight'!AN91</f>
        <v>24691.213315009863</v>
      </c>
      <c r="AA2" s="77">
        <f>'HK Freight'!AO91</f>
        <v>24557.440536556333</v>
      </c>
      <c r="AB2" s="77">
        <f>'HK Freight'!AP91</f>
        <v>24481.577304222654</v>
      </c>
      <c r="AC2" s="77">
        <f>'HK Freight'!AQ91</f>
        <v>24406.0986575936</v>
      </c>
      <c r="AD2" s="77">
        <f>'HK Freight'!AR91</f>
        <v>24331.021131447113</v>
      </c>
      <c r="AE2" s="77">
        <f>'HK Freight'!AS91</f>
        <v>24256.360513698655</v>
      </c>
      <c r="AF2" s="77">
        <f>'HK Freight'!AT91</f>
        <v>24182.131875438376</v>
      </c>
      <c r="AG2" s="77">
        <f>'HK Freight'!AU91</f>
        <v>24108.349599807414</v>
      </c>
      <c r="AH2" s="77">
        <f>'HK Freight'!AV91</f>
        <v>24035.02740976074</v>
      </c>
      <c r="AI2" s="77">
        <f>'HK Freight'!AW91</f>
        <v>23962.178394760733</v>
      </c>
      <c r="AJ2" s="77">
        <f>'HK Freight'!AX91</f>
        <v>23889.815036444845</v>
      </c>
      <c r="AK2" s="36"/>
    </row>
    <row r="3" spans="1:37" s="32" customFormat="1">
      <c r="A3" s="36" t="s">
        <v>149</v>
      </c>
      <c r="B3" s="77">
        <f>'HK Freight'!P91</f>
        <v>25800.125631942468</v>
      </c>
      <c r="C3" s="77">
        <f>'HK Freight'!Q91</f>
        <v>25848.374902826854</v>
      </c>
      <c r="D3" s="77">
        <f>'HK Freight'!R91</f>
        <v>26199.918026691535</v>
      </c>
      <c r="E3" s="77">
        <f>'HK Freight'!S91</f>
        <v>26152.630070615545</v>
      </c>
      <c r="F3" s="77">
        <f>'HK Freight'!T91</f>
        <v>26103.107359877195</v>
      </c>
      <c r="G3" s="77">
        <f>'HK Freight'!U91</f>
        <v>25856.668617932977</v>
      </c>
      <c r="H3" s="77">
        <f>'HK Freight'!V91</f>
        <v>25997.937800421001</v>
      </c>
      <c r="I3" s="77">
        <f>'HK Freight'!W91</f>
        <v>25931.59788626706</v>
      </c>
      <c r="J3" s="77">
        <f>'HK Freight'!X91</f>
        <v>25864.380253844982</v>
      </c>
      <c r="K3" s="77">
        <f>'HK Freight'!Y91</f>
        <v>25796.360228465401</v>
      </c>
      <c r="L3" s="77">
        <f>'HK Freight'!Z91</f>
        <v>25632.159692417124</v>
      </c>
      <c r="M3" s="77">
        <f>'HK Freight'!AA91</f>
        <v>25648.577348007006</v>
      </c>
      <c r="N3" s="77">
        <f>'HK Freight'!AB91</f>
        <v>25569.567188376372</v>
      </c>
      <c r="O3" s="77">
        <f>'HK Freight'!AC91</f>
        <v>25490.611660669882</v>
      </c>
      <c r="P3" s="77">
        <f>'HK Freight'!AD91</f>
        <v>25411.741690982228</v>
      </c>
      <c r="Q3" s="77">
        <f>'HK Freight'!AE91</f>
        <v>25312.436471420388</v>
      </c>
      <c r="R3" s="77">
        <f>'HK Freight'!AF91</f>
        <v>25254.375576888742</v>
      </c>
      <c r="S3" s="77">
        <f>'HK Freight'!AG91</f>
        <v>25175.934887188436</v>
      </c>
      <c r="T3" s="77">
        <f>'HK Freight'!AH91</f>
        <v>25097.690763906037</v>
      </c>
      <c r="U3" s="77">
        <f>'HK Freight'!AI91</f>
        <v>25019.668032788137</v>
      </c>
      <c r="V3" s="77">
        <f>'HK Freight'!AJ91</f>
        <v>24973.232408575092</v>
      </c>
      <c r="W3" s="77">
        <f>'HK Freight'!AK91</f>
        <v>24864.38070166804</v>
      </c>
      <c r="X3" s="77">
        <f>'HK Freight'!AL91</f>
        <v>24787.160532016973</v>
      </c>
      <c r="Y3" s="77">
        <f>'HK Freight'!AM91</f>
        <v>24710.250696174568</v>
      </c>
      <c r="Z3" s="77">
        <f>'HK Freight'!AN91</f>
        <v>24691.213315009863</v>
      </c>
      <c r="AA3" s="77">
        <f>'HK Freight'!AO91</f>
        <v>24557.440536556333</v>
      </c>
      <c r="AB3" s="77">
        <f>'HK Freight'!AP91</f>
        <v>24481.577304222654</v>
      </c>
      <c r="AC3" s="77">
        <f>'HK Freight'!AQ91</f>
        <v>24406.0986575936</v>
      </c>
      <c r="AD3" s="77">
        <f>'HK Freight'!AR91</f>
        <v>24331.021131447113</v>
      </c>
      <c r="AE3" s="77">
        <f>'HK Freight'!AS91</f>
        <v>24256.360513698655</v>
      </c>
      <c r="AF3" s="77">
        <f>'HK Freight'!AT91</f>
        <v>24182.131875438376</v>
      </c>
      <c r="AG3" s="77">
        <f>'HK Freight'!AU91</f>
        <v>24108.349599807414</v>
      </c>
      <c r="AH3" s="77">
        <f>'HK Freight'!AV91</f>
        <v>24035.02740976074</v>
      </c>
      <c r="AI3" s="77">
        <f>'HK Freight'!AW91</f>
        <v>23962.178394760733</v>
      </c>
      <c r="AJ3" s="77">
        <f>'HK Freight'!AX91</f>
        <v>23889.815036444845</v>
      </c>
      <c r="AK3" s="36"/>
    </row>
    <row r="4" spans="1:37" s="32" customFormat="1">
      <c r="A4" s="36" t="s">
        <v>150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/>
    </row>
    <row r="5" spans="1:37" s="32" customFormat="1">
      <c r="A5" s="36" t="s">
        <v>151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/>
    </row>
    <row r="6" spans="1:37" s="32" customFormat="1">
      <c r="A6" s="36" t="s">
        <v>152</v>
      </c>
      <c r="B6" s="77">
        <f>'HK Freight'!$G$6</f>
        <v>48988.904777280004</v>
      </c>
      <c r="C6" s="77">
        <f>'HK Freight'!$G$6</f>
        <v>48988.904777280004</v>
      </c>
      <c r="D6" s="77">
        <f>'HK Freight'!$G$6</f>
        <v>48988.904777280004</v>
      </c>
      <c r="E6" s="77">
        <f>'HK Freight'!$G$6</f>
        <v>48988.904777280004</v>
      </c>
      <c r="F6" s="77">
        <f>'HK Freight'!$G$6</f>
        <v>48988.904777280004</v>
      </c>
      <c r="G6" s="77">
        <f>'HK Freight'!$G$6</f>
        <v>48988.904777280004</v>
      </c>
      <c r="H6" s="77">
        <f>'HK Freight'!$G$6</f>
        <v>48988.904777280004</v>
      </c>
      <c r="I6" s="77">
        <f>'HK Freight'!$G$6</f>
        <v>48988.904777280004</v>
      </c>
      <c r="J6" s="77">
        <f>'HK Freight'!$G$6</f>
        <v>48988.904777280004</v>
      </c>
      <c r="K6" s="77">
        <f>'HK Freight'!$G$6</f>
        <v>48988.904777280004</v>
      </c>
      <c r="L6" s="77">
        <f>'HK Freight'!$G$6</f>
        <v>48988.904777280004</v>
      </c>
      <c r="M6" s="77">
        <f>'HK Freight'!$G$6</f>
        <v>48988.904777280004</v>
      </c>
      <c r="N6" s="77">
        <f>'HK Freight'!$G$6</f>
        <v>48988.904777280004</v>
      </c>
      <c r="O6" s="77">
        <f>'HK Freight'!$G$6</f>
        <v>48988.904777280004</v>
      </c>
      <c r="P6" s="77">
        <f>'HK Freight'!$G$6</f>
        <v>48988.904777280004</v>
      </c>
      <c r="Q6" s="77">
        <f>'HK Freight'!$G$6</f>
        <v>48988.904777280004</v>
      </c>
      <c r="R6" s="77">
        <f>'HK Freight'!$G$6</f>
        <v>48988.904777280004</v>
      </c>
      <c r="S6" s="77">
        <f>'HK Freight'!$G$6</f>
        <v>48988.904777280004</v>
      </c>
      <c r="T6" s="77">
        <f>'HK Freight'!$G$6</f>
        <v>48988.904777280004</v>
      </c>
      <c r="U6" s="77">
        <f>'HK Freight'!$G$6</f>
        <v>48988.904777280004</v>
      </c>
      <c r="V6" s="77">
        <f>'HK Freight'!$G$6</f>
        <v>48988.904777280004</v>
      </c>
      <c r="W6" s="77">
        <f>'HK Freight'!$G$6</f>
        <v>48988.904777280004</v>
      </c>
      <c r="X6" s="77">
        <f>'HK Freight'!$G$6</f>
        <v>48988.904777280004</v>
      </c>
      <c r="Y6" s="77">
        <f>'HK Freight'!$G$6</f>
        <v>48988.904777280004</v>
      </c>
      <c r="Z6" s="77">
        <f>'HK Freight'!$G$6</f>
        <v>48988.904777280004</v>
      </c>
      <c r="AA6" s="77">
        <f>'HK Freight'!$G$6</f>
        <v>48988.904777280004</v>
      </c>
      <c r="AB6" s="77">
        <f>'HK Freight'!$G$6</f>
        <v>48988.904777280004</v>
      </c>
      <c r="AC6" s="77">
        <f>'HK Freight'!$G$6</f>
        <v>48988.904777280004</v>
      </c>
      <c r="AD6" s="77">
        <f>'HK Freight'!$G$6</f>
        <v>48988.904777280004</v>
      </c>
      <c r="AE6" s="77">
        <f>'HK Freight'!$G$6</f>
        <v>48988.904777280004</v>
      </c>
      <c r="AF6" s="77">
        <f>'HK Freight'!$G$6</f>
        <v>48988.904777280004</v>
      </c>
      <c r="AG6" s="77">
        <f>'HK Freight'!$G$6</f>
        <v>48988.904777280004</v>
      </c>
      <c r="AH6" s="77">
        <f>'HK Freight'!$G$6</f>
        <v>48988.904777280004</v>
      </c>
      <c r="AI6" s="77">
        <f>'HK Freight'!$G$6</f>
        <v>48988.904777280004</v>
      </c>
      <c r="AJ6" s="77">
        <f>'HK Freight'!$G$6</f>
        <v>48988.904777280004</v>
      </c>
      <c r="AK6" s="36"/>
    </row>
    <row r="7" spans="1:37" s="32" customFormat="1">
      <c r="A7" s="36" t="s">
        <v>153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K7"/>
  <sheetViews>
    <sheetView tabSelected="1" topLeftCell="R1" workbookViewId="0">
      <selection activeCell="AF17" sqref="AF17"/>
    </sheetView>
  </sheetViews>
  <sheetFormatPr defaultRowHeight="15"/>
  <cols>
    <col min="1" max="4" width="16.5703125" style="11" customWidth="1"/>
    <col min="5" max="5" width="9" style="11" customWidth="1"/>
    <col min="6" max="6" width="8.7109375" style="11" customWidth="1"/>
    <col min="7" max="16384" width="9.140625" style="11"/>
  </cols>
  <sheetData>
    <row r="1" spans="1:37" s="10" customFormat="1">
      <c r="A1" s="47" t="s">
        <v>95</v>
      </c>
      <c r="B1" s="47">
        <v>2016</v>
      </c>
      <c r="C1" s="47">
        <v>2017</v>
      </c>
      <c r="D1" s="47">
        <v>2018</v>
      </c>
      <c r="E1" s="47">
        <v>2019</v>
      </c>
      <c r="F1" s="47">
        <v>2020</v>
      </c>
      <c r="G1" s="47">
        <v>2021</v>
      </c>
      <c r="H1" s="47">
        <v>2022</v>
      </c>
      <c r="I1" s="47">
        <v>2023</v>
      </c>
      <c r="J1" s="47">
        <v>2024</v>
      </c>
      <c r="K1" s="47">
        <v>2025</v>
      </c>
      <c r="L1" s="47">
        <v>2026</v>
      </c>
      <c r="M1" s="47">
        <v>2027</v>
      </c>
      <c r="N1" s="47">
        <v>2028</v>
      </c>
      <c r="O1" s="47">
        <v>2029</v>
      </c>
      <c r="P1" s="47">
        <v>2030</v>
      </c>
      <c r="Q1" s="47">
        <v>2031</v>
      </c>
      <c r="R1" s="47">
        <v>2032</v>
      </c>
      <c r="S1" s="47">
        <v>2033</v>
      </c>
      <c r="T1" s="47">
        <v>2034</v>
      </c>
      <c r="U1" s="47">
        <v>2035</v>
      </c>
      <c r="V1" s="47">
        <v>2036</v>
      </c>
      <c r="W1" s="47">
        <v>2037</v>
      </c>
      <c r="X1" s="47">
        <v>2038</v>
      </c>
      <c r="Y1" s="47">
        <v>2039</v>
      </c>
      <c r="Z1" s="47">
        <v>2040</v>
      </c>
      <c r="AA1" s="47">
        <v>2041</v>
      </c>
      <c r="AB1" s="47">
        <v>2042</v>
      </c>
      <c r="AC1" s="47">
        <v>2043</v>
      </c>
      <c r="AD1" s="47">
        <v>2044</v>
      </c>
      <c r="AE1" s="47">
        <v>2045</v>
      </c>
      <c r="AF1" s="47">
        <v>2046</v>
      </c>
      <c r="AG1" s="47">
        <v>2047</v>
      </c>
      <c r="AH1" s="47">
        <v>2048</v>
      </c>
      <c r="AI1" s="47">
        <v>2049</v>
      </c>
      <c r="AJ1" s="47">
        <v>2050</v>
      </c>
      <c r="AK1" s="47"/>
    </row>
    <row r="2" spans="1:37" s="32" customFormat="1">
      <c r="A2" s="36" t="s">
        <v>138</v>
      </c>
      <c r="B2" s="77">
        <f>'HK Passenger'!$G$4*'HK Passenger'!A61</f>
        <v>9280.000566292958</v>
      </c>
      <c r="C2" s="77">
        <f>'HK Passenger'!$G$4*'HK Passenger'!B61</f>
        <v>9490.7064945074599</v>
      </c>
      <c r="D2" s="77">
        <f>'HK Passenger'!$G$4*'HK Passenger'!C61</f>
        <v>9699.7526864594111</v>
      </c>
      <c r="E2" s="77">
        <f>'HK Passenger'!$G$4*'HK Passenger'!D61</f>
        <v>9900.0680172346401</v>
      </c>
      <c r="F2" s="77">
        <f>'HK Passenger'!$G$4*'HK Passenger'!E61</f>
        <v>10098.352631481474</v>
      </c>
      <c r="G2" s="77">
        <f>'HK Passenger'!$G$4*'HK Passenger'!F61</f>
        <v>10285.914356687032</v>
      </c>
      <c r="H2" s="77">
        <f>'HK Passenger'!$G$4*'HK Passenger'!G61</f>
        <v>10468.047505764322</v>
      </c>
      <c r="I2" s="77">
        <f>'HK Passenger'!$G$4*'HK Passenger'!H61</f>
        <v>10644.048627119109</v>
      </c>
      <c r="J2" s="77">
        <f>'HK Passenger'!$G$4*'HK Passenger'!I61</f>
        <v>10810.196258189691</v>
      </c>
      <c r="K2" s="77">
        <f>'HK Passenger'!$G$4*'HK Passenger'!J61</f>
        <v>10969.00486223418</v>
      </c>
      <c r="L2" s="77">
        <f>'HK Passenger'!$G$4*'HK Passenger'!K61</f>
        <v>11119.205822539754</v>
      </c>
      <c r="M2" s="77">
        <f>'HK Passenger'!$G$4*'HK Passenger'!L61</f>
        <v>11262.900040906781</v>
      </c>
      <c r="N2" s="77">
        <f>'HK Passenger'!$G$4*'HK Passenger'!M61</f>
        <v>11404.054613626302</v>
      </c>
      <c r="O2" s="77">
        <f>'HK Passenger'!$G$4*'HK Passenger'!N61</f>
        <v>11540.872915369418</v>
      </c>
      <c r="P2" s="77">
        <f>'HK Passenger'!$G$4*'HK Passenger'!O61</f>
        <v>11671.353715345518</v>
      </c>
      <c r="Q2" s="77">
        <f>'HK Passenger'!$G$4*'HK Passenger'!P61</f>
        <v>11796.822209448817</v>
      </c>
      <c r="R2" s="77">
        <f>'HK Passenger'!$G$4*'HK Passenger'!Q61</f>
        <v>11917.644086504668</v>
      </c>
      <c r="S2" s="77">
        <f>'HK Passenger'!$G$4*'HK Passenger'!R61</f>
        <v>12034.762568173639</v>
      </c>
      <c r="T2" s="77">
        <f>'HK Passenger'!$G$4*'HK Passenger'!S61</f>
        <v>12145.851020459317</v>
      </c>
      <c r="U2" s="77">
        <f>'HK Passenger'!$G$4*'HK Passenger'!T61</f>
        <v>12249.311791541026</v>
      </c>
      <c r="V2" s="77">
        <f>'HK Passenger'!$G$4*'HK Passenger'!U61</f>
        <v>12345.991465772653</v>
      </c>
      <c r="W2" s="77">
        <f>'HK Passenger'!$G$4*'HK Passenger'!V61</f>
        <v>12435.686278604207</v>
      </c>
      <c r="X2" s="77">
        <f>'HK Passenger'!$G$4*'HK Passenger'!W61</f>
        <v>12517.731845787874</v>
      </c>
      <c r="Y2" s="77">
        <f>'HK Passenger'!$G$4*'HK Passenger'!X61</f>
        <v>12591.006637147773</v>
      </c>
      <c r="Z2" s="77">
        <f>'HK Passenger'!$G$4*'HK Passenger'!Y61</f>
        <v>12656.568013720987</v>
      </c>
      <c r="AA2" s="77">
        <f>'HK Passenger'!$G$4*'HK Passenger'!Z61</f>
        <v>12713.744357053414</v>
      </c>
      <c r="AB2" s="77">
        <f>'HK Passenger'!$G$4*'HK Passenger'!AA61</f>
        <v>12763.119437818719</v>
      </c>
      <c r="AC2" s="77">
        <f>'HK Passenger'!$G$4*'HK Passenger'!AB61</f>
        <v>12806.529477615843</v>
      </c>
      <c r="AD2" s="77">
        <f>'HK Passenger'!$G$4*'HK Passenger'!AC61</f>
        <v>12843.517746504702</v>
      </c>
      <c r="AE2" s="77">
        <f>'HK Passenger'!$G$4*'HK Passenger'!AD61</f>
        <v>12873.281790430819</v>
      </c>
      <c r="AF2" s="77">
        <f>'HK Passenger'!$G$4*'HK Passenger'!AE61</f>
        <v>12896.275158450302</v>
      </c>
      <c r="AG2" s="77">
        <f>'HK Passenger'!$G$4*'HK Passenger'!AF61</f>
        <v>12911.343339758108</v>
      </c>
      <c r="AH2" s="77">
        <f>'HK Passenger'!$G$4*'HK Passenger'!AG61</f>
        <v>12920.309927119051</v>
      </c>
      <c r="AI2" s="77">
        <f>'HK Passenger'!$G$4*'HK Passenger'!AH61</f>
        <v>12922.128565256369</v>
      </c>
      <c r="AJ2" s="77">
        <f>'HK Passenger'!$G$4*'HK Passenger'!AI61</f>
        <v>12917.011538305296</v>
      </c>
      <c r="AK2" s="36"/>
    </row>
    <row r="3" spans="1:37" s="32" customFormat="1">
      <c r="A3" s="36" t="s">
        <v>149</v>
      </c>
      <c r="B3" s="77">
        <f>'HK Passenger'!$G$5*'HK Passenger'!A61</f>
        <v>42801.359488451482</v>
      </c>
      <c r="C3" s="77">
        <f>'HK Passenger'!$G$5*'HK Passenger'!B61</f>
        <v>43773.180569218872</v>
      </c>
      <c r="D3" s="77">
        <f>'HK Passenger'!$G$5*'HK Passenger'!C61</f>
        <v>44737.346589200206</v>
      </c>
      <c r="E3" s="77">
        <f>'HK Passenger'!$G$5*'HK Passenger'!D61</f>
        <v>45661.243998721984</v>
      </c>
      <c r="F3" s="77">
        <f>'HK Passenger'!$G$5*'HK Passenger'!E61</f>
        <v>46575.77530664386</v>
      </c>
      <c r="G3" s="77">
        <f>'HK Passenger'!$G$5*'HK Passenger'!F61</f>
        <v>47440.850342948965</v>
      </c>
      <c r="H3" s="77">
        <f>'HK Passenger'!$G$5*'HK Passenger'!G61</f>
        <v>48280.887618025859</v>
      </c>
      <c r="I3" s="77">
        <f>'HK Passenger'!$G$5*'HK Passenger'!H61</f>
        <v>49092.642661752769</v>
      </c>
      <c r="J3" s="77">
        <f>'HK Passenger'!$G$5*'HK Passenger'!I61</f>
        <v>49858.951288008306</v>
      </c>
      <c r="K3" s="77">
        <f>'HK Passenger'!$G$5*'HK Passenger'!J61</f>
        <v>50591.410742402775</v>
      </c>
      <c r="L3" s="77">
        <f>'HK Passenger'!$G$5*'HK Passenger'!K61</f>
        <v>51284.16989167485</v>
      </c>
      <c r="M3" s="77">
        <f>'HK Passenger'!$G$5*'HK Passenger'!L61</f>
        <v>51946.918547001282</v>
      </c>
      <c r="N3" s="77">
        <f>'HK Passenger'!$G$5*'HK Passenger'!M61</f>
        <v>52597.953810118765</v>
      </c>
      <c r="O3" s="77">
        <f>'HK Passenger'!$G$5*'HK Passenger'!N61</f>
        <v>53228.989258411406</v>
      </c>
      <c r="P3" s="77">
        <f>'HK Passenger'!$G$5*'HK Passenger'!O61</f>
        <v>53830.794784846694</v>
      </c>
      <c r="Q3" s="77">
        <f>'HK Passenger'!$G$5*'HK Passenger'!P61</f>
        <v>54409.48247804532</v>
      </c>
      <c r="R3" s="77">
        <f>'HK Passenger'!$G$5*'HK Passenger'!Q61</f>
        <v>54966.738973558953</v>
      </c>
      <c r="S3" s="77">
        <f>'HK Passenger'!$G$5*'HK Passenger'!R61</f>
        <v>55506.914612649212</v>
      </c>
      <c r="T3" s="77">
        <f>'HK Passenger'!$G$5*'HK Passenger'!S61</f>
        <v>56019.278458677974</v>
      </c>
      <c r="U3" s="77">
        <f>'HK Passenger'!$G$5*'HK Passenger'!T61</f>
        <v>56496.461797664517</v>
      </c>
      <c r="V3" s="77">
        <f>'HK Passenger'!$G$5*'HK Passenger'!U61</f>
        <v>56942.369258817525</v>
      </c>
      <c r="W3" s="77">
        <f>'HK Passenger'!$G$5*'HK Passenger'!V61</f>
        <v>57356.061036186278</v>
      </c>
      <c r="X3" s="77">
        <f>'HK Passenger'!$G$5*'HK Passenger'!W61</f>
        <v>57734.472846657191</v>
      </c>
      <c r="Y3" s="77">
        <f>'HK Passenger'!$G$5*'HK Passenger'!X61</f>
        <v>58072.4319517275</v>
      </c>
      <c r="Z3" s="77">
        <f>'HK Passenger'!$G$5*'HK Passenger'!Y61</f>
        <v>58374.815128023882</v>
      </c>
      <c r="AA3" s="77">
        <f>'HK Passenger'!$G$5*'HK Passenger'!Z61</f>
        <v>58638.524726716707</v>
      </c>
      <c r="AB3" s="77">
        <f>'HK Passenger'!$G$5*'HK Passenger'!AA61</f>
        <v>58866.25322376909</v>
      </c>
      <c r="AC3" s="77">
        <f>'HK Passenger'!$G$5*'HK Passenger'!AB61</f>
        <v>59066.469668314727</v>
      </c>
      <c r="AD3" s="77">
        <f>'HK Passenger'!$G$5*'HK Passenger'!AC61</f>
        <v>59237.0675235905</v>
      </c>
      <c r="AE3" s="77">
        <f>'HK Passenger'!$G$5*'HK Passenger'!AD61</f>
        <v>59374.345698824567</v>
      </c>
      <c r="AF3" s="77">
        <f>'HK Passenger'!$G$5*'HK Passenger'!AE61</f>
        <v>59480.396059858678</v>
      </c>
      <c r="AG3" s="77">
        <f>'HK Passenger'!$G$5*'HK Passenger'!AF61</f>
        <v>59549.893754431585</v>
      </c>
      <c r="AH3" s="77">
        <f>'HK Passenger'!$G$5*'HK Passenger'!AG61</f>
        <v>59591.249584776495</v>
      </c>
      <c r="AI3" s="77">
        <f>'HK Passenger'!$G$5*'HK Passenger'!AH61</f>
        <v>59599.637535201575</v>
      </c>
      <c r="AJ3" s="77">
        <f>'HK Passenger'!$G$5*'HK Passenger'!AI61</f>
        <v>59576.036705817962</v>
      </c>
      <c r="AK3" s="36"/>
    </row>
    <row r="4" spans="1:37" s="32" customFormat="1">
      <c r="A4" s="36" t="s">
        <v>150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/>
    </row>
    <row r="5" spans="1:37" s="32" customFormat="1">
      <c r="A5" s="36" t="s">
        <v>151</v>
      </c>
      <c r="B5" s="36">
        <f>'HK Passenger'!G7</f>
        <v>74446.087579138897</v>
      </c>
      <c r="C5" s="36">
        <f>B5</f>
        <v>74446.087579138897</v>
      </c>
      <c r="D5" s="36">
        <f>C5</f>
        <v>74446.087579138897</v>
      </c>
      <c r="E5" s="36">
        <f t="shared" ref="E5:AJ5" si="0">D5</f>
        <v>74446.087579138897</v>
      </c>
      <c r="F5" s="36">
        <f t="shared" si="0"/>
        <v>74446.087579138897</v>
      </c>
      <c r="G5" s="36">
        <f t="shared" si="0"/>
        <v>74446.087579138897</v>
      </c>
      <c r="H5" s="36">
        <f t="shared" si="0"/>
        <v>74446.087579138897</v>
      </c>
      <c r="I5" s="36">
        <f t="shared" si="0"/>
        <v>74446.087579138897</v>
      </c>
      <c r="J5" s="36">
        <f t="shared" si="0"/>
        <v>74446.087579138897</v>
      </c>
      <c r="K5" s="36">
        <f t="shared" si="0"/>
        <v>74446.087579138897</v>
      </c>
      <c r="L5" s="36">
        <f t="shared" si="0"/>
        <v>74446.087579138897</v>
      </c>
      <c r="M5" s="36">
        <f t="shared" si="0"/>
        <v>74446.087579138897</v>
      </c>
      <c r="N5" s="36">
        <f t="shared" si="0"/>
        <v>74446.087579138897</v>
      </c>
      <c r="O5" s="36">
        <f t="shared" si="0"/>
        <v>74446.087579138897</v>
      </c>
      <c r="P5" s="36">
        <f t="shared" si="0"/>
        <v>74446.087579138897</v>
      </c>
      <c r="Q5" s="36">
        <f t="shared" si="0"/>
        <v>74446.087579138897</v>
      </c>
      <c r="R5" s="36">
        <f t="shared" si="0"/>
        <v>74446.087579138897</v>
      </c>
      <c r="S5" s="36">
        <f t="shared" si="0"/>
        <v>74446.087579138897</v>
      </c>
      <c r="T5" s="36">
        <f t="shared" si="0"/>
        <v>74446.087579138897</v>
      </c>
      <c r="U5" s="36">
        <f t="shared" si="0"/>
        <v>74446.087579138897</v>
      </c>
      <c r="V5" s="36">
        <f t="shared" si="0"/>
        <v>74446.087579138897</v>
      </c>
      <c r="W5" s="36">
        <f t="shared" si="0"/>
        <v>74446.087579138897</v>
      </c>
      <c r="X5" s="36">
        <f t="shared" si="0"/>
        <v>74446.087579138897</v>
      </c>
      <c r="Y5" s="36">
        <f t="shared" si="0"/>
        <v>74446.087579138897</v>
      </c>
      <c r="Z5" s="36">
        <f t="shared" si="0"/>
        <v>74446.087579138897</v>
      </c>
      <c r="AA5" s="36">
        <f t="shared" si="0"/>
        <v>74446.087579138897</v>
      </c>
      <c r="AB5" s="36">
        <f t="shared" si="0"/>
        <v>74446.087579138897</v>
      </c>
      <c r="AC5" s="36">
        <f t="shared" si="0"/>
        <v>74446.087579138897</v>
      </c>
      <c r="AD5" s="36">
        <f t="shared" si="0"/>
        <v>74446.087579138897</v>
      </c>
      <c r="AE5" s="36">
        <f t="shared" si="0"/>
        <v>74446.087579138897</v>
      </c>
      <c r="AF5" s="36">
        <f t="shared" si="0"/>
        <v>74446.087579138897</v>
      </c>
      <c r="AG5" s="36">
        <f t="shared" si="0"/>
        <v>74446.087579138897</v>
      </c>
      <c r="AH5" s="36">
        <f t="shared" si="0"/>
        <v>74446.087579138897</v>
      </c>
      <c r="AI5" s="36">
        <f t="shared" si="0"/>
        <v>74446.087579138897</v>
      </c>
      <c r="AJ5" s="36">
        <f t="shared" si="0"/>
        <v>74446.087579138897</v>
      </c>
      <c r="AK5" s="36"/>
    </row>
    <row r="6" spans="1:37" s="32" customFormat="1">
      <c r="A6" s="36" t="s">
        <v>152</v>
      </c>
      <c r="B6" s="36">
        <f>C6</f>
        <v>1049.3508807562712</v>
      </c>
      <c r="C6" s="36">
        <f>'HK Passenger'!G11</f>
        <v>1049.3508807562712</v>
      </c>
      <c r="D6" s="36">
        <f>C6</f>
        <v>1049.3508807562712</v>
      </c>
      <c r="E6" s="36">
        <f t="shared" ref="E6:AJ6" si="1">D6</f>
        <v>1049.3508807562712</v>
      </c>
      <c r="F6" s="36">
        <f t="shared" si="1"/>
        <v>1049.3508807562712</v>
      </c>
      <c r="G6" s="36">
        <f t="shared" si="1"/>
        <v>1049.3508807562712</v>
      </c>
      <c r="H6" s="36">
        <f t="shared" si="1"/>
        <v>1049.3508807562712</v>
      </c>
      <c r="I6" s="36">
        <f t="shared" si="1"/>
        <v>1049.3508807562712</v>
      </c>
      <c r="J6" s="36">
        <f t="shared" si="1"/>
        <v>1049.3508807562712</v>
      </c>
      <c r="K6" s="36">
        <f t="shared" si="1"/>
        <v>1049.3508807562712</v>
      </c>
      <c r="L6" s="36">
        <f t="shared" si="1"/>
        <v>1049.3508807562712</v>
      </c>
      <c r="M6" s="36">
        <f t="shared" si="1"/>
        <v>1049.3508807562712</v>
      </c>
      <c r="N6" s="36">
        <f t="shared" si="1"/>
        <v>1049.3508807562712</v>
      </c>
      <c r="O6" s="36">
        <f t="shared" si="1"/>
        <v>1049.3508807562712</v>
      </c>
      <c r="P6" s="36">
        <f t="shared" si="1"/>
        <v>1049.3508807562712</v>
      </c>
      <c r="Q6" s="36">
        <f t="shared" si="1"/>
        <v>1049.3508807562712</v>
      </c>
      <c r="R6" s="36">
        <f t="shared" si="1"/>
        <v>1049.3508807562712</v>
      </c>
      <c r="S6" s="36">
        <f t="shared" si="1"/>
        <v>1049.3508807562712</v>
      </c>
      <c r="T6" s="36">
        <f t="shared" si="1"/>
        <v>1049.3508807562712</v>
      </c>
      <c r="U6" s="36">
        <f t="shared" si="1"/>
        <v>1049.3508807562712</v>
      </c>
      <c r="V6" s="36">
        <f t="shared" si="1"/>
        <v>1049.3508807562712</v>
      </c>
      <c r="W6" s="36">
        <f t="shared" si="1"/>
        <v>1049.3508807562712</v>
      </c>
      <c r="X6" s="36">
        <f t="shared" si="1"/>
        <v>1049.3508807562712</v>
      </c>
      <c r="Y6" s="36">
        <f t="shared" si="1"/>
        <v>1049.3508807562712</v>
      </c>
      <c r="Z6" s="36">
        <f t="shared" si="1"/>
        <v>1049.3508807562712</v>
      </c>
      <c r="AA6" s="36">
        <f t="shared" si="1"/>
        <v>1049.3508807562712</v>
      </c>
      <c r="AB6" s="36">
        <f t="shared" si="1"/>
        <v>1049.3508807562712</v>
      </c>
      <c r="AC6" s="36">
        <f t="shared" si="1"/>
        <v>1049.3508807562712</v>
      </c>
      <c r="AD6" s="36">
        <f t="shared" si="1"/>
        <v>1049.3508807562712</v>
      </c>
      <c r="AE6" s="36">
        <f t="shared" si="1"/>
        <v>1049.3508807562712</v>
      </c>
      <c r="AF6" s="36">
        <f t="shared" si="1"/>
        <v>1049.3508807562712</v>
      </c>
      <c r="AG6" s="36">
        <f t="shared" si="1"/>
        <v>1049.3508807562712</v>
      </c>
      <c r="AH6" s="36">
        <f t="shared" si="1"/>
        <v>1049.3508807562712</v>
      </c>
      <c r="AI6" s="36">
        <f t="shared" si="1"/>
        <v>1049.3508807562712</v>
      </c>
      <c r="AJ6" s="36">
        <f t="shared" si="1"/>
        <v>1049.3508807562712</v>
      </c>
      <c r="AK6" s="36"/>
    </row>
    <row r="7" spans="1:37" s="32" customFormat="1">
      <c r="A7" s="36" t="s">
        <v>153</v>
      </c>
      <c r="B7" s="36">
        <f>'HK Passenger'!$G$6*'HK Passenger'!A61</f>
        <v>3748.2085235320415</v>
      </c>
      <c r="C7" s="36">
        <f>'HK Passenger'!$G$6*'HK Passenger'!B61</f>
        <v>3833.3130179176296</v>
      </c>
      <c r="D7" s="36">
        <f>'HK Passenger'!$G$6*'HK Passenger'!C61</f>
        <v>3917.7471419124317</v>
      </c>
      <c r="E7" s="36">
        <f>'HK Passenger'!$G$6*'HK Passenger'!D61</f>
        <v>3998.6548557473875</v>
      </c>
      <c r="F7" s="36">
        <f>'HK Passenger'!$G$6*'HK Passenger'!E61</f>
        <v>4078.7423596107765</v>
      </c>
      <c r="G7" s="36">
        <f>'HK Passenger'!$G$6*'HK Passenger'!F61</f>
        <v>4154.4988697620129</v>
      </c>
      <c r="H7" s="36">
        <f>'HK Passenger'!$G$6*'HK Passenger'!G61</f>
        <v>4228.0627684829733</v>
      </c>
      <c r="I7" s="36">
        <f>'HK Passenger'!$G$6*'HK Passenger'!H61</f>
        <v>4299.149930439552</v>
      </c>
      <c r="J7" s="36">
        <f>'HK Passenger'!$G$6*'HK Passenger'!I61</f>
        <v>4366.2572503685396</v>
      </c>
      <c r="K7" s="36">
        <f>'HK Passenger'!$G$6*'HK Passenger'!J61</f>
        <v>4430.4003243950501</v>
      </c>
      <c r="L7" s="36">
        <f>'HK Passenger'!$G$6*'HK Passenger'!K61</f>
        <v>4491.0667560011998</v>
      </c>
      <c r="M7" s="36">
        <f>'HK Passenger'!$G$6*'HK Passenger'!L61</f>
        <v>4549.1051031131456</v>
      </c>
      <c r="N7" s="36">
        <f>'HK Passenger'!$G$6*'HK Passenger'!M61</f>
        <v>4606.1176828886855</v>
      </c>
      <c r="O7" s="36">
        <f>'HK Passenger'!$G$6*'HK Passenger'!N61</f>
        <v>4661.3788352027732</v>
      </c>
      <c r="P7" s="36">
        <f>'HK Passenger'!$G$6*'HK Passenger'!O61</f>
        <v>4714.0802594251054</v>
      </c>
      <c r="Q7" s="36">
        <f>'HK Passenger'!$G$6*'HK Passenger'!P61</f>
        <v>4764.757204504278</v>
      </c>
      <c r="R7" s="36">
        <f>'HK Passenger'!$G$6*'HK Passenger'!Q61</f>
        <v>4813.5573727989649</v>
      </c>
      <c r="S7" s="36">
        <f>'HK Passenger'!$G$6*'HK Passenger'!R61</f>
        <v>4860.8617331940768</v>
      </c>
      <c r="T7" s="36">
        <f>'HK Passenger'!$G$6*'HK Passenger'!S61</f>
        <v>4905.7305541331134</v>
      </c>
      <c r="U7" s="36">
        <f>'HK Passenger'!$G$6*'HK Passenger'!T61</f>
        <v>4947.5185412403789</v>
      </c>
      <c r="V7" s="36">
        <f>'HK Passenger'!$G$6*'HK Passenger'!U61</f>
        <v>4986.5676314229277</v>
      </c>
      <c r="W7" s="36">
        <f>'HK Passenger'!$G$6*'HK Passenger'!V61</f>
        <v>5022.7955238212298</v>
      </c>
      <c r="X7" s="36">
        <f>'HK Passenger'!$G$6*'HK Passenger'!W61</f>
        <v>5055.933872470996</v>
      </c>
      <c r="Y7" s="36">
        <f>'HK Passenger'!$G$6*'HK Passenger'!X61</f>
        <v>5085.5296893648865</v>
      </c>
      <c r="Z7" s="36">
        <f>'HK Passenger'!$G$6*'HK Passenger'!Y61</f>
        <v>5112.0100444824056</v>
      </c>
      <c r="AA7" s="36">
        <f>'HK Passenger'!$G$6*'HK Passenger'!Z61</f>
        <v>5135.1036699506421</v>
      </c>
      <c r="AB7" s="36">
        <f>'HK Passenger'!$G$6*'HK Passenger'!AA61</f>
        <v>5155.0463517697372</v>
      </c>
      <c r="AC7" s="36">
        <f>'HK Passenger'!$G$6*'HK Passenger'!AB61</f>
        <v>5172.579743067733</v>
      </c>
      <c r="AD7" s="36">
        <f>'HK Passenger'!$G$6*'HK Passenger'!AC61</f>
        <v>5187.5193698198573</v>
      </c>
      <c r="AE7" s="36">
        <f>'HK Passenger'!$G$6*'HK Passenger'!AD61</f>
        <v>5199.5411194244725</v>
      </c>
      <c r="AF7" s="36">
        <f>'HK Passenger'!$G$6*'HK Passenger'!AE61</f>
        <v>5208.8281811417282</v>
      </c>
      <c r="AG7" s="36">
        <f>'HK Passenger'!$G$6*'HK Passenger'!AF61</f>
        <v>5214.9142460302573</v>
      </c>
      <c r="AH7" s="36">
        <f>'HK Passenger'!$G$6*'HK Passenger'!AG61</f>
        <v>5218.5358664098239</v>
      </c>
      <c r="AI7" s="36">
        <f>'HK Passenger'!$G$6*'HK Passenger'!AH61</f>
        <v>5219.2704175468443</v>
      </c>
      <c r="AJ7" s="36">
        <f>'HK Passenger'!$G$6*'HK Passenger'!AI61</f>
        <v>5217.2036413762889</v>
      </c>
      <c r="AK7" s="36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B575F-D42D-4A88-A4B0-3078EB154DD0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7889d872-e2a2-4afb-87bc-97561eced75f"/>
    <ds:schemaRef ds:uri="http://schemas.microsoft.com/office/2006/documentManagement/types"/>
    <ds:schemaRef ds:uri="http://purl.org/dc/elements/1.1/"/>
    <ds:schemaRef ds:uri="c9df191c-55f2-496b-9838-9a5abe4742a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93BC35-6848-4C40-AF7E-DBDC12931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4122B-8C8F-446D-8A84-108BF0669B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Ships</vt:lpstr>
      <vt:lpstr>Extra_Info</vt:lpstr>
      <vt:lpstr>Rail-MTR</vt:lpstr>
      <vt:lpstr>HK Passenger</vt:lpstr>
      <vt:lpstr>HK Freight</vt:lpstr>
      <vt:lpstr>HK Air</vt:lpstr>
      <vt:lpstr>BAADTbVT-freight</vt:lpstr>
      <vt:lpstr>BAADTbVT-passengers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2015-03-31T22:53:51Z</dcterms:created>
  <dcterms:modified xsi:type="dcterms:W3CDTF">2019-08-02T07:16:30Z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6144">
    <vt:lpwstr>313</vt:lpwstr>
  </property>
  <property fmtid="{D5CDD505-2E9C-101B-9397-08002B2CF9AE}" pid="4" name="AuthorIds_UIVersion_31744">
    <vt:lpwstr>313,146</vt:lpwstr>
  </property>
</Properties>
</file>