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B2\InputData\trans\SYVbT\"/>
    </mc:Choice>
  </mc:AlternateContent>
  <bookViews>
    <workbookView xWindow="360" yWindow="60" windowWidth="19410" windowHeight="11010"/>
  </bookViews>
  <sheets>
    <sheet name="About" sheetId="1" r:id="rId1"/>
    <sheet name="India Ships" sheetId="8" r:id="rId2"/>
    <sheet name="India Rail" sheetId="7" r:id="rId3"/>
    <sheet name="India Aircraft" sheetId="6" r:id="rId4"/>
    <sheet name="India Road" sheetId="5" r:id="rId5"/>
    <sheet name="SYVbT-passenger" sheetId="2" r:id="rId6"/>
    <sheet name="SYVbT-freight" sheetId="4" r:id="rId7"/>
  </sheets>
  <calcPr calcId="162913" concurrentCalc="0"/>
</workbook>
</file>

<file path=xl/calcChain.xml><?xml version="1.0" encoding="utf-8"?>
<calcChain xmlns="http://schemas.openxmlformats.org/spreadsheetml/2006/main">
  <c r="C46" i="5" l="1"/>
  <c r="C45" i="5"/>
  <c r="C44" i="5"/>
  <c r="B46" i="5"/>
  <c r="B45" i="5"/>
  <c r="B44" i="5"/>
  <c r="G6" i="4"/>
  <c r="G6" i="2"/>
  <c r="B3" i="8"/>
  <c r="B2" i="8"/>
  <c r="G5" i="4"/>
  <c r="G5" i="2"/>
  <c r="B19" i="7"/>
  <c r="B24" i="7"/>
  <c r="B18" i="7"/>
  <c r="B23" i="7"/>
  <c r="F7" i="4"/>
  <c r="B3" i="4"/>
  <c r="C3" i="4"/>
  <c r="D3" i="4"/>
  <c r="F3" i="4"/>
  <c r="C2" i="4"/>
  <c r="D2" i="4"/>
  <c r="F2" i="4"/>
  <c r="B2" i="4"/>
  <c r="C7" i="2"/>
  <c r="E7" i="2"/>
  <c r="F7" i="2"/>
  <c r="C3" i="2"/>
  <c r="D3" i="2"/>
  <c r="F3" i="2"/>
  <c r="F2" i="2"/>
  <c r="I50" i="5"/>
  <c r="E2" i="4"/>
  <c r="I52" i="5"/>
  <c r="E7" i="4"/>
  <c r="H52" i="5"/>
  <c r="D7" i="4"/>
  <c r="G52" i="5"/>
  <c r="C7" i="4"/>
  <c r="F52" i="5"/>
  <c r="B7" i="4"/>
  <c r="I51" i="5"/>
  <c r="E3" i="4"/>
  <c r="H46" i="5"/>
  <c r="D7" i="2"/>
  <c r="F46" i="5"/>
  <c r="B7" i="2"/>
  <c r="I45" i="5"/>
  <c r="E3" i="2"/>
  <c r="G45" i="5"/>
  <c r="F45" i="5"/>
  <c r="B3" i="2"/>
  <c r="I44" i="5"/>
  <c r="E2" i="2"/>
  <c r="H44" i="5"/>
  <c r="D2" i="2"/>
  <c r="G44" i="5"/>
  <c r="C2" i="2"/>
  <c r="F44" i="5"/>
  <c r="B2" i="2"/>
  <c r="G4" i="4"/>
  <c r="G4" i="2"/>
  <c r="B19" i="6"/>
  <c r="B18" i="6"/>
  <c r="B15" i="6"/>
  <c r="B14" i="6"/>
  <c r="B6" i="6"/>
  <c r="B4" i="6"/>
</calcChain>
</file>

<file path=xl/sharedStrings.xml><?xml version="1.0" encoding="utf-8"?>
<sst xmlns="http://schemas.openxmlformats.org/spreadsheetml/2006/main" count="201" uniqueCount="114">
  <si>
    <t>SYVbT Start Year Vehicles by Technology</t>
  </si>
  <si>
    <t>Sources:</t>
  </si>
  <si>
    <t>Road transport Year Book 2015-2016</t>
  </si>
  <si>
    <t>http://morth.nic.in/showfile.asp?lid=3141</t>
  </si>
  <si>
    <t>Railway statistics survey 2017</t>
  </si>
  <si>
    <t xml:space="preserve">
http://www.indianrailways.gov.in/railwayboard/uploads/directorate/stat_econ/IRSP_2016-17/Facts_Figure/Fact_Figures%20English%202016-17.pdf</t>
  </si>
  <si>
    <t>aircraft</t>
  </si>
  <si>
    <t>Ships</t>
  </si>
  <si>
    <t>Handbook of Civil Aviation Statistics 2016-17</t>
  </si>
  <si>
    <t xml:space="preserve"> http://dgca.gov.in/pub/Handbook_2016-17.pdf 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</si>
  <si>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</si>
  <si>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</si>
  <si>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</si>
  <si>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</si>
  <si>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</si>
  <si>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</si>
  <si>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</si>
  <si>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HDVs</t>
  </si>
  <si>
    <t>rail</t>
  </si>
  <si>
    <t>ships</t>
  </si>
  <si>
    <t>motorbikes</t>
  </si>
  <si>
    <t>Total (Passenger + Freight)</t>
  </si>
  <si>
    <t>Departing Passengers</t>
  </si>
  <si>
    <t>Freight Transported (MT)</t>
  </si>
  <si>
    <t>Psgr/aircraft</t>
  </si>
  <si>
    <t>(from AVLo)</t>
  </si>
  <si>
    <t>Freight MT/aircraft</t>
  </si>
  <si>
    <t>Psr aircraft scaling factor</t>
  </si>
  <si>
    <t>Frgt aircraft scaling factor</t>
  </si>
  <si>
    <t>Psrg aircraft (est.)</t>
  </si>
  <si>
    <t>Freight aircraft (est.)</t>
  </si>
  <si>
    <t>Directorate General of Civil Aviation (DGCA)</t>
  </si>
  <si>
    <t>Table 8 (aircraft), Tables 1 and 5 (psgr vs. freight)</t>
  </si>
  <si>
    <t>aircraft (count, and psgr traffic vs. freight traffic)</t>
  </si>
  <si>
    <t>aircraft (loading)</t>
  </si>
  <si>
    <t>See AVLo</t>
  </si>
  <si>
    <t>Vehicle Km by type of Vehicle under Chosen Scenario</t>
  </si>
  <si>
    <t>Mode</t>
  </si>
  <si>
    <t>Sub-mode</t>
  </si>
  <si>
    <t>Technology</t>
  </si>
  <si>
    <t>ROAD</t>
  </si>
  <si>
    <t>BUS</t>
  </si>
  <si>
    <t>DIESEL</t>
  </si>
  <si>
    <t>CNG</t>
  </si>
  <si>
    <t>ELECTRIC</t>
  </si>
  <si>
    <t>FCV</t>
  </si>
  <si>
    <t>ONMI-BUS</t>
  </si>
  <si>
    <t>CAR</t>
  </si>
  <si>
    <t>PETROL</t>
  </si>
  <si>
    <t>LPG</t>
  </si>
  <si>
    <t>2W</t>
  </si>
  <si>
    <t>3W</t>
  </si>
  <si>
    <t>TAXI</t>
  </si>
  <si>
    <t>Passenger</t>
  </si>
  <si>
    <t>Freight</t>
  </si>
  <si>
    <t>DUPLICATE, Assuming zero</t>
  </si>
  <si>
    <t>Passenger Vehcile Technology Shares</t>
  </si>
  <si>
    <t>Freight Vehicle Technology Shares</t>
  </si>
  <si>
    <t>Passenger Vehcile Breakdown by Technology (Vehicle KM)</t>
  </si>
  <si>
    <t>Type</t>
  </si>
  <si>
    <t>HCV</t>
  </si>
  <si>
    <t>LCV</t>
  </si>
  <si>
    <t>Freight Vehcile Breakdown by Technology ("Modal Share")</t>
  </si>
  <si>
    <t>Passenger Cars</t>
  </si>
  <si>
    <t>Freight Cars</t>
  </si>
  <si>
    <t>Number of Cars per Train</t>
  </si>
  <si>
    <t>Assumption:</t>
  </si>
  <si>
    <t>Ministry of Railways Data:</t>
  </si>
  <si>
    <t>Steam locomotives</t>
  </si>
  <si>
    <t>Diesel locomotives</t>
  </si>
  <si>
    <t>Electric locomotives</t>
  </si>
  <si>
    <t>Number of Locomotives by Type:</t>
  </si>
  <si>
    <t>Passenger locomotives</t>
  </si>
  <si>
    <t>Freight locomotives</t>
  </si>
  <si>
    <t>Number of Trains that could be supplied with these cars</t>
  </si>
  <si>
    <t>Calculations</t>
  </si>
  <si>
    <t>Page 3, Key Statics</t>
  </si>
  <si>
    <t>Ministry of Railways</t>
  </si>
  <si>
    <t xml:space="preserve"> Rail</t>
  </si>
  <si>
    <t>Page 34, Annex 2.2</t>
  </si>
  <si>
    <t>All on-road modes (vehicle count, not by technology)</t>
  </si>
  <si>
    <t>Ministry of Road Transport and Highways</t>
  </si>
  <si>
    <t>Division of on-road modes by technology</t>
  </si>
  <si>
    <t>http://indiaenergy.gov.in/iess/docs/IESS_Version2.2.xlsx</t>
  </si>
  <si>
    <t>India Energy Security Scenarios 2047 downloadable Excel model</t>
  </si>
  <si>
    <t>NITI Aayog, Government of India</t>
  </si>
  <si>
    <t>Tables XIIa and XIIb</t>
  </si>
  <si>
    <t>Categories: Passenger cum cargo, Passenger service, Pleasure yachts</t>
  </si>
  <si>
    <t>Categories: all other categories</t>
  </si>
  <si>
    <t>Number of Ships</t>
  </si>
  <si>
    <t>Ministry of Shipping</t>
  </si>
  <si>
    <t>Indian Shipping Statistics 2017</t>
  </si>
  <si>
    <t>Table 1.7, Pages 15-19</t>
  </si>
  <si>
    <t>Totals</t>
  </si>
  <si>
    <t>Frgt HDV</t>
  </si>
  <si>
    <t>Frgt LDV</t>
  </si>
  <si>
    <t>Frgt Mtrbk</t>
  </si>
  <si>
    <t>Psgr HDV</t>
  </si>
  <si>
    <t>Psgr LDV</t>
  </si>
  <si>
    <t>Number from table</t>
  </si>
  <si>
    <t>EPS Classification</t>
  </si>
  <si>
    <t>not used</t>
  </si>
  <si>
    <t>Psgr Mtrbk</t>
  </si>
  <si>
    <t>taxis</t>
  </si>
  <si>
    <t>buses</t>
  </si>
  <si>
    <t>psgr rickshaws</t>
  </si>
  <si>
    <t>frgt rickshaws</t>
  </si>
  <si>
    <t>light truck</t>
  </si>
  <si>
    <t>heavy 2-axle truck</t>
  </si>
  <si>
    <t>heavy 3+ axle truck</t>
  </si>
  <si>
    <t>hired 2-whl mtrbks</t>
  </si>
  <si>
    <t>2-whl motorbikes</t>
  </si>
  <si>
    <t>cars</t>
  </si>
  <si>
    <t>omnibuses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</si>
</sst>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%"/>
    <numFmt numFmtId="167" formatCode="#,##0_);\(#,##0\);&quot;-&quot;_);@"/>
    <numFmt numFmtId="168" formatCode="_-* #,##0.00_-;\-* #,##0.00_-;_-* &quot;-&quot;??_-;_-@_-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0"/>
      <color theme="9" tint="0.79998168889431442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0"/>
      <color theme="9" tint="0.79998168889431442"/>
      <name val="Cambria"/>
      <family val="2"/>
      <scheme val="major"/>
    </font>
    <font>
      <sz val="10"/>
      <name val="Calibri"/>
      <family val="1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AEAAA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4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1" fontId="0" fillId="2" borderId="0" xfId="0" applyNumberFormat="1" applyFill="1"/>
    <xf numFmtId="0" fontId="37" fillId="0" borderId="0" xfId="140" applyAlignment="1">
      <alignment horizontal="left"/>
    </xf>
    <xf numFmtId="0" fontId="1" fillId="28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166" fontId="0" fillId="0" borderId="0" xfId="142" applyNumberFormat="1" applyFont="1"/>
    <xf numFmtId="0" fontId="38" fillId="0" borderId="0" xfId="0" applyFont="1"/>
    <xf numFmtId="0" fontId="39" fillId="29" borderId="0" xfId="0" applyNumberFormat="1" applyFont="1" applyFill="1" applyBorder="1" applyAlignment="1">
      <alignment vertical="center"/>
    </xf>
    <xf numFmtId="0" fontId="0" fillId="29" borderId="0" xfId="0" applyFill="1" applyBorder="1" applyAlignment="1">
      <alignment vertical="center"/>
    </xf>
    <xf numFmtId="9" fontId="0" fillId="29" borderId="0" xfId="0" applyNumberForma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0" fontId="0" fillId="29" borderId="0" xfId="0" applyFill="1"/>
    <xf numFmtId="0" fontId="41" fillId="29" borderId="18" xfId="0" applyFont="1" applyFill="1" applyBorder="1" applyAlignment="1">
      <alignment vertical="center"/>
    </xf>
    <xf numFmtId="0" fontId="42" fillId="29" borderId="18" xfId="0" applyNumberFormat="1" applyFont="1" applyFill="1" applyBorder="1" applyAlignment="1">
      <alignment horizontal="right" vertical="center"/>
    </xf>
    <xf numFmtId="0" fontId="41" fillId="29" borderId="19" xfId="0" applyNumberFormat="1" applyFont="1" applyFill="1" applyBorder="1" applyAlignment="1">
      <alignment horizontal="right" vertical="center"/>
    </xf>
    <xf numFmtId="0" fontId="0" fillId="29" borderId="0" xfId="0" applyNumberFormat="1" applyFill="1" applyBorder="1" applyAlignment="1">
      <alignment vertical="center"/>
    </xf>
    <xf numFmtId="2" fontId="40" fillId="29" borderId="0" xfId="0" applyNumberFormat="1" applyFont="1" applyFill="1" applyBorder="1"/>
    <xf numFmtId="2" fontId="0" fillId="29" borderId="0" xfId="0" applyNumberFormat="1" applyFill="1" applyBorder="1"/>
    <xf numFmtId="167" fontId="43" fillId="29" borderId="0" xfId="141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10" fontId="0" fillId="0" borderId="0" xfId="142" applyNumberFormat="1" applyFont="1"/>
    <xf numFmtId="2" fontId="0" fillId="30" borderId="0" xfId="0" applyNumberFormat="1" applyFill="1" applyBorder="1"/>
    <xf numFmtId="9" fontId="40" fillId="29" borderId="0" xfId="143" applyNumberFormat="1" applyFont="1" applyFill="1" applyBorder="1" applyAlignment="1">
      <alignment vertical="center"/>
    </xf>
    <xf numFmtId="166" fontId="43" fillId="29" borderId="0" xfId="143" applyNumberFormat="1" applyFont="1" applyFill="1" applyBorder="1" applyAlignment="1">
      <alignment vertical="center"/>
    </xf>
    <xf numFmtId="166" fontId="43" fillId="29" borderId="0" xfId="143" applyNumberFormat="1" applyFont="1" applyFill="1" applyBorder="1" applyAlignment="1">
      <alignment horizontal="right" vertical="center"/>
    </xf>
    <xf numFmtId="0" fontId="0" fillId="31" borderId="0" xfId="0" applyFill="1"/>
    <xf numFmtId="0" fontId="0" fillId="32" borderId="0" xfId="0" applyFill="1"/>
    <xf numFmtId="0" fontId="1" fillId="32" borderId="0" xfId="0" applyFont="1" applyFill="1"/>
    <xf numFmtId="0" fontId="0" fillId="0" borderId="0" xfId="0" applyAlignment="1">
      <alignment horizontal="right"/>
    </xf>
    <xf numFmtId="0" fontId="0" fillId="0" borderId="0" xfId="0" applyFont="1"/>
  </cellXfs>
  <cellStyles count="144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1" builtinId="3"/>
    <cellStyle name="Comma 2" xfId="42"/>
    <cellStyle name="Comma 2 2" xfId="11"/>
    <cellStyle name="Comma 2 2 2" xfId="43"/>
    <cellStyle name="Comma 2 2 3" xfId="44"/>
    <cellStyle name="Comma 2 3" xfId="45"/>
    <cellStyle name="Comma 2 4" xfId="143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Hyperlink" xfId="140" builtinId="8"/>
    <cellStyle name="Input 2" xfId="69"/>
    <cellStyle name="Linked Cell 2" xfId="70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2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6</xdr:col>
      <xdr:colOff>526213</xdr:colOff>
      <xdr:row>39</xdr:row>
      <xdr:rowOff>130169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991533" cy="725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dianrailways.gov.in/railwayboard/uploads/directorate/stat_econ/IRSP_2016-17/IR_Statistical_Statements_BI/27A.pdf%20%0ahttp:/www.indianrailways.gov.in/railwayboard/uploads/directorate/stat_econ/IRSP_2016-17/Facts_Figure/Fact_Figures%20English%202016-17.pdf" TargetMode="External"/><Relationship Id="rId1" Type="http://schemas.openxmlformats.org/officeDocument/2006/relationships/hyperlink" Target="http://morth.nic.in/showfile.asp?lid=31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0</v>
      </c>
    </row>
    <row r="3" spans="1:2">
      <c r="A3" s="1" t="s">
        <v>1</v>
      </c>
      <c r="B3" s="2" t="s">
        <v>80</v>
      </c>
    </row>
    <row r="4" spans="1:2">
      <c r="B4" t="s">
        <v>81</v>
      </c>
    </row>
    <row r="5" spans="1:2">
      <c r="B5" s="3">
        <v>2016</v>
      </c>
    </row>
    <row r="6" spans="1:2">
      <c r="B6" t="s">
        <v>2</v>
      </c>
    </row>
    <row r="7" spans="1:2">
      <c r="B7" s="10" t="s">
        <v>3</v>
      </c>
    </row>
    <row r="8" spans="1:2">
      <c r="B8" t="s">
        <v>79</v>
      </c>
    </row>
    <row r="9" spans="1:2" s="12" customFormat="1">
      <c r="B9" s="13"/>
    </row>
    <row r="10" spans="1:2">
      <c r="B10" s="2" t="s">
        <v>82</v>
      </c>
    </row>
    <row r="11" spans="1:2">
      <c r="B11" t="s">
        <v>85</v>
      </c>
    </row>
    <row r="12" spans="1:2">
      <c r="B12" s="3">
        <v>2015</v>
      </c>
    </row>
    <row r="13" spans="1:2">
      <c r="B13" t="s">
        <v>84</v>
      </c>
    </row>
    <row r="14" spans="1:2">
      <c r="B14" t="s">
        <v>83</v>
      </c>
    </row>
    <row r="15" spans="1:2">
      <c r="B15" t="s">
        <v>86</v>
      </c>
    </row>
    <row r="17" spans="2:2">
      <c r="B17" s="2" t="s">
        <v>78</v>
      </c>
    </row>
    <row r="18" spans="2:2">
      <c r="B18" t="s">
        <v>77</v>
      </c>
    </row>
    <row r="19" spans="2:2">
      <c r="B19" s="3">
        <v>2017</v>
      </c>
    </row>
    <row r="20" spans="2:2">
      <c r="B20" t="s">
        <v>4</v>
      </c>
    </row>
    <row r="21" spans="2:2">
      <c r="B21" s="10" t="s">
        <v>5</v>
      </c>
    </row>
    <row r="22" spans="2:2">
      <c r="B22" t="s">
        <v>76</v>
      </c>
    </row>
    <row r="24" spans="2:2">
      <c r="B24" s="2" t="s">
        <v>33</v>
      </c>
    </row>
    <row r="25" spans="2:2">
      <c r="B25" t="s">
        <v>31</v>
      </c>
    </row>
    <row r="26" spans="2:2">
      <c r="B26" s="3">
        <v>2017</v>
      </c>
    </row>
    <row r="27" spans="2:2">
      <c r="B27" t="s">
        <v>8</v>
      </c>
    </row>
    <row r="28" spans="2:2">
      <c r="B28" t="s">
        <v>9</v>
      </c>
    </row>
    <row r="29" spans="2:2">
      <c r="B29" t="s">
        <v>32</v>
      </c>
    </row>
    <row r="31" spans="2:2">
      <c r="B31" s="2" t="s">
        <v>34</v>
      </c>
    </row>
    <row r="32" spans="2:2">
      <c r="B32" s="15" t="s">
        <v>35</v>
      </c>
    </row>
    <row r="34" spans="1:2">
      <c r="B34" s="11" t="s">
        <v>7</v>
      </c>
    </row>
    <row r="35" spans="1:2">
      <c r="B35" t="s">
        <v>90</v>
      </c>
    </row>
    <row r="36" spans="1:2">
      <c r="B36" s="3">
        <v>2017</v>
      </c>
    </row>
    <row r="37" spans="1:2">
      <c r="A37" s="1"/>
      <c r="B37" t="s">
        <v>91</v>
      </c>
    </row>
    <row r="38" spans="1:2">
      <c r="B38" t="s">
        <v>92</v>
      </c>
    </row>
  </sheetData>
  <hyperlinks>
    <hyperlink ref="B7" r:id="rId1"/>
    <hyperlink ref="B21" r:id="rId2" display="http://www.indianrailways.gov.in/railwayboard/uploads/directorate/stat_econ/IRSP_2016-17/IR_Statistical_Statements_BI/27A.pdf _x000a_http://www.indianrailways.gov.in/railwayboard/uploads/directorate/stat_econ/IRSP_2016-17/Facts_Figure/Fact_Figures%20English%202016-17.pdf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sheetData>
    <row r="1" spans="1:3">
      <c r="A1" s="1" t="s">
        <v>89</v>
      </c>
    </row>
    <row r="2" spans="1:3">
      <c r="A2" t="s">
        <v>53</v>
      </c>
      <c r="B2">
        <f>37+64+1</f>
        <v>102</v>
      </c>
      <c r="C2" t="s">
        <v>87</v>
      </c>
    </row>
    <row r="3" spans="1:3">
      <c r="A3" t="s">
        <v>54</v>
      </c>
      <c r="B3">
        <f>1371-B2</f>
        <v>1269</v>
      </c>
      <c r="C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/>
  <cols>
    <col min="1" max="1" width="22" customWidth="1"/>
    <col min="4" max="4" width="21.7109375" customWidth="1"/>
  </cols>
  <sheetData>
    <row r="1" spans="1:2">
      <c r="A1" s="2" t="s">
        <v>67</v>
      </c>
      <c r="B1" s="5"/>
    </row>
    <row r="2" spans="1:2">
      <c r="A2" t="s">
        <v>68</v>
      </c>
      <c r="B2">
        <v>39</v>
      </c>
    </row>
    <row r="3" spans="1:2">
      <c r="A3" t="s">
        <v>69</v>
      </c>
      <c r="B3">
        <v>6023</v>
      </c>
    </row>
    <row r="4" spans="1:2">
      <c r="A4" t="s">
        <v>70</v>
      </c>
      <c r="B4">
        <v>5399</v>
      </c>
    </row>
    <row r="7" spans="1:2">
      <c r="A7" s="2" t="s">
        <v>67</v>
      </c>
      <c r="B7" s="5"/>
    </row>
    <row r="8" spans="1:2">
      <c r="A8" t="s">
        <v>63</v>
      </c>
      <c r="B8">
        <v>64223</v>
      </c>
    </row>
    <row r="9" spans="1:2">
      <c r="A9" t="s">
        <v>64</v>
      </c>
      <c r="B9">
        <v>277987</v>
      </c>
    </row>
    <row r="11" spans="1:2">
      <c r="A11" s="2" t="s">
        <v>66</v>
      </c>
      <c r="B11" s="5"/>
    </row>
    <row r="12" spans="1:2">
      <c r="A12" s="1" t="s">
        <v>65</v>
      </c>
    </row>
    <row r="13" spans="1:2">
      <c r="A13" t="s">
        <v>53</v>
      </c>
      <c r="B13" s="34">
        <v>10</v>
      </c>
    </row>
    <row r="14" spans="1:2">
      <c r="A14" t="s">
        <v>54</v>
      </c>
      <c r="B14" s="34">
        <v>50</v>
      </c>
    </row>
    <row r="16" spans="1:2">
      <c r="A16" s="36" t="s">
        <v>75</v>
      </c>
      <c r="B16" s="35"/>
    </row>
    <row r="17" spans="1:2">
      <c r="A17" s="1" t="s">
        <v>74</v>
      </c>
    </row>
    <row r="18" spans="1:2">
      <c r="A18" t="s">
        <v>53</v>
      </c>
      <c r="B18" s="7">
        <f>B8/B13</f>
        <v>6422.3</v>
      </c>
    </row>
    <row r="19" spans="1:2">
      <c r="A19" t="s">
        <v>54</v>
      </c>
      <c r="B19" s="7">
        <f>B9/B14</f>
        <v>5559.74</v>
      </c>
    </row>
    <row r="22" spans="1:2">
      <c r="A22" s="1" t="s">
        <v>71</v>
      </c>
    </row>
    <row r="23" spans="1:2">
      <c r="A23" t="s">
        <v>72</v>
      </c>
      <c r="B23" s="7">
        <f>SUM(B2:B4)*B18/SUM(B18:B19)</f>
        <v>6143.0257535444707</v>
      </c>
    </row>
    <row r="24" spans="1:2">
      <c r="A24" t="s">
        <v>73</v>
      </c>
      <c r="B24" s="7">
        <f>SUM(B2:B4)*B19/SUM(B18:B19)</f>
        <v>5317.9742464555284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7.28515625" customWidth="1"/>
    <col min="2" max="2" width="10" bestFit="1" customWidth="1"/>
  </cols>
  <sheetData>
    <row r="1" spans="1:3">
      <c r="A1" t="s">
        <v>21</v>
      </c>
      <c r="B1">
        <v>448</v>
      </c>
    </row>
    <row r="4" spans="1:3">
      <c r="A4" t="s">
        <v>22</v>
      </c>
      <c r="B4">
        <f>158.43*10^6</f>
        <v>158430000</v>
      </c>
    </row>
    <row r="6" spans="1:3">
      <c r="A6" t="s">
        <v>23</v>
      </c>
      <c r="B6">
        <f>(6.38+15.13)*10^5</f>
        <v>2151000</v>
      </c>
    </row>
    <row r="10" spans="1:3">
      <c r="A10" t="s">
        <v>24</v>
      </c>
      <c r="B10">
        <v>111.39</v>
      </c>
      <c r="C10" t="s">
        <v>25</v>
      </c>
    </row>
    <row r="11" spans="1:3">
      <c r="A11" t="s">
        <v>26</v>
      </c>
      <c r="B11">
        <v>42</v>
      </c>
      <c r="C11" t="s">
        <v>25</v>
      </c>
    </row>
    <row r="14" spans="1:3">
      <c r="A14" t="s">
        <v>27</v>
      </c>
      <c r="B14">
        <f>B4/B10</f>
        <v>1422300.0269323997</v>
      </c>
    </row>
    <row r="15" spans="1:3">
      <c r="A15" t="s">
        <v>28</v>
      </c>
      <c r="B15" s="7">
        <f>B6/B11</f>
        <v>51214.285714285717</v>
      </c>
    </row>
    <row r="18" spans="1:4">
      <c r="A18" t="s">
        <v>29</v>
      </c>
      <c r="B18" s="7">
        <f>B1*(B14/SUM(B14:B15))</f>
        <v>432.42906200294141</v>
      </c>
    </row>
    <row r="19" spans="1:4">
      <c r="A19" t="s">
        <v>30</v>
      </c>
      <c r="B19" s="7">
        <f>B1*(B15/SUM(B14:B15))</f>
        <v>15.570937997058628</v>
      </c>
      <c r="D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C33" sqref="C33"/>
    </sheetView>
  </sheetViews>
  <sheetFormatPr defaultRowHeight="15"/>
  <cols>
    <col min="1" max="1" width="11.7109375" customWidth="1"/>
    <col min="2" max="2" width="10" bestFit="1" customWidth="1"/>
    <col min="6" max="9" width="16.7109375" customWidth="1"/>
    <col min="10" max="10" width="20.140625" customWidth="1"/>
    <col min="11" max="11" width="14.140625" customWidth="1"/>
    <col min="12" max="12" width="13.140625" customWidth="1"/>
    <col min="14" max="14" width="10.42578125" customWidth="1"/>
  </cols>
  <sheetData>
    <row r="1" spans="8:16">
      <c r="K1" s="2" t="s">
        <v>58</v>
      </c>
      <c r="L1" s="5"/>
      <c r="M1" s="5"/>
      <c r="N1" s="5"/>
      <c r="O1" s="5"/>
    </row>
    <row r="2" spans="8:16">
      <c r="K2" s="16" t="s">
        <v>36</v>
      </c>
      <c r="L2" s="17"/>
      <c r="M2" s="18"/>
      <c r="N2" s="19"/>
      <c r="O2" s="20"/>
    </row>
    <row r="3" spans="8:16">
      <c r="K3" s="21" t="s">
        <v>37</v>
      </c>
      <c r="L3" s="21" t="s">
        <v>38</v>
      </c>
      <c r="M3" s="21" t="s">
        <v>39</v>
      </c>
      <c r="N3" s="22">
        <v>2007</v>
      </c>
      <c r="O3" s="23">
        <v>2017</v>
      </c>
    </row>
    <row r="4" spans="8:16">
      <c r="K4" s="24" t="s">
        <v>40</v>
      </c>
      <c r="L4" s="17" t="s">
        <v>41</v>
      </c>
      <c r="M4" s="18" t="s">
        <v>42</v>
      </c>
      <c r="N4" s="25"/>
      <c r="O4" s="26">
        <v>125.78926798703105</v>
      </c>
    </row>
    <row r="5" spans="8:16">
      <c r="K5" s="24"/>
      <c r="L5" s="17"/>
      <c r="M5" s="18" t="s">
        <v>43</v>
      </c>
      <c r="N5" s="25"/>
      <c r="O5" s="26">
        <v>1.7403814920202365</v>
      </c>
    </row>
    <row r="6" spans="8:16">
      <c r="K6" s="24"/>
      <c r="L6" s="17"/>
      <c r="M6" s="18" t="s">
        <v>44</v>
      </c>
      <c r="N6" s="25"/>
      <c r="O6" s="26">
        <v>0.60155495037288353</v>
      </c>
    </row>
    <row r="7" spans="8:16">
      <c r="K7" s="24"/>
      <c r="L7" s="17"/>
      <c r="M7" s="18" t="s">
        <v>45</v>
      </c>
      <c r="N7" s="25"/>
      <c r="O7" s="26">
        <v>0.20051831679096116</v>
      </c>
    </row>
    <row r="8" spans="8:16">
      <c r="H8" s="6" t="s">
        <v>99</v>
      </c>
      <c r="I8" s="6" t="s">
        <v>100</v>
      </c>
      <c r="K8" s="24"/>
      <c r="L8" s="17" t="s">
        <v>46</v>
      </c>
      <c r="M8" s="18" t="s">
        <v>42</v>
      </c>
      <c r="N8" s="25"/>
      <c r="O8" s="26">
        <v>12.225284097997806</v>
      </c>
    </row>
    <row r="9" spans="8:16">
      <c r="H9">
        <v>1597938</v>
      </c>
      <c r="I9" s="37" t="s">
        <v>94</v>
      </c>
      <c r="J9" s="38" t="s">
        <v>109</v>
      </c>
      <c r="K9" s="24"/>
      <c r="L9" s="17"/>
      <c r="M9" s="18" t="s">
        <v>43</v>
      </c>
      <c r="N9" s="25"/>
      <c r="O9" s="26">
        <v>0.16807356623326436</v>
      </c>
    </row>
    <row r="10" spans="8:16">
      <c r="H10">
        <v>3900933</v>
      </c>
      <c r="I10" s="37" t="s">
        <v>94</v>
      </c>
      <c r="J10" t="s">
        <v>108</v>
      </c>
      <c r="K10" s="24"/>
      <c r="L10" s="17" t="s">
        <v>47</v>
      </c>
      <c r="M10" s="18" t="s">
        <v>48</v>
      </c>
      <c r="N10" s="25"/>
      <c r="O10" s="26">
        <v>139.2118858409529</v>
      </c>
    </row>
    <row r="11" spans="8:16">
      <c r="H11">
        <v>2757639</v>
      </c>
      <c r="I11" s="37" t="s">
        <v>95</v>
      </c>
      <c r="J11" t="s">
        <v>107</v>
      </c>
      <c r="K11" s="24"/>
      <c r="L11" s="17"/>
      <c r="M11" s="18" t="s">
        <v>42</v>
      </c>
      <c r="N11" s="25"/>
      <c r="O11" s="26">
        <v>43.779584242835888</v>
      </c>
    </row>
    <row r="12" spans="8:16">
      <c r="H12">
        <v>1817717</v>
      </c>
      <c r="I12" s="37" t="s">
        <v>96</v>
      </c>
      <c r="J12" t="s">
        <v>106</v>
      </c>
      <c r="K12" s="24"/>
      <c r="L12" s="17"/>
      <c r="M12" s="18" t="s">
        <v>43</v>
      </c>
      <c r="N12" s="25"/>
      <c r="O12" s="26">
        <v>5.1552046662759663</v>
      </c>
    </row>
    <row r="13" spans="8:16">
      <c r="H13">
        <v>5017285</v>
      </c>
      <c r="I13" s="37" t="s">
        <v>101</v>
      </c>
      <c r="K13" s="24"/>
      <c r="L13" s="17"/>
      <c r="M13" s="18" t="s">
        <v>49</v>
      </c>
      <c r="N13" s="25"/>
      <c r="O13" s="30">
        <v>5.1552046662759663</v>
      </c>
      <c r="P13" t="s">
        <v>55</v>
      </c>
    </row>
    <row r="14" spans="8:16">
      <c r="H14">
        <v>341841</v>
      </c>
      <c r="I14" s="37" t="s">
        <v>101</v>
      </c>
      <c r="K14" s="24"/>
      <c r="L14" s="17"/>
      <c r="M14" s="18" t="s">
        <v>44</v>
      </c>
      <c r="N14" s="25"/>
      <c r="O14" s="26">
        <v>3.7359912418031045</v>
      </c>
    </row>
    <row r="15" spans="8:16">
      <c r="H15">
        <v>312301</v>
      </c>
      <c r="I15" s="37" t="s">
        <v>101</v>
      </c>
      <c r="K15" s="24"/>
      <c r="L15" s="17"/>
      <c r="M15" s="18" t="s">
        <v>45</v>
      </c>
      <c r="N15" s="25"/>
      <c r="O15" s="26">
        <v>1.2392318909317224</v>
      </c>
    </row>
    <row r="16" spans="8:16">
      <c r="H16">
        <v>163210</v>
      </c>
      <c r="I16" s="37" t="s">
        <v>101</v>
      </c>
      <c r="K16" s="24"/>
      <c r="L16" s="17" t="s">
        <v>50</v>
      </c>
      <c r="M16" s="18" t="s">
        <v>48</v>
      </c>
      <c r="N16" s="25"/>
      <c r="O16" s="26">
        <v>71.939372545440037</v>
      </c>
    </row>
    <row r="17" spans="8:15">
      <c r="H17">
        <v>285118</v>
      </c>
      <c r="I17" s="37" t="s">
        <v>101</v>
      </c>
      <c r="K17" s="24"/>
      <c r="L17" s="17"/>
      <c r="M17" s="18" t="s">
        <v>48</v>
      </c>
      <c r="N17" s="25"/>
      <c r="O17" s="26">
        <v>569.33037033849519</v>
      </c>
    </row>
    <row r="18" spans="8:15">
      <c r="H18">
        <v>1384740</v>
      </c>
      <c r="I18" s="37" t="s">
        <v>97</v>
      </c>
      <c r="J18" t="s">
        <v>104</v>
      </c>
      <c r="K18" s="24"/>
      <c r="L18" s="17"/>
      <c r="M18" s="18" t="s">
        <v>48</v>
      </c>
      <c r="N18" s="25"/>
      <c r="O18" s="26">
        <v>3.0284554979831024</v>
      </c>
    </row>
    <row r="19" spans="8:15">
      <c r="H19">
        <v>1034957</v>
      </c>
      <c r="I19" s="37" t="s">
        <v>101</v>
      </c>
      <c r="K19" s="24"/>
      <c r="L19" s="17"/>
      <c r="M19" s="18" t="s">
        <v>44</v>
      </c>
      <c r="N19" s="25"/>
      <c r="O19" s="26">
        <v>26.524057947540875</v>
      </c>
    </row>
    <row r="20" spans="8:15">
      <c r="H20">
        <v>640831</v>
      </c>
      <c r="I20" s="37" t="s">
        <v>101</v>
      </c>
      <c r="K20" s="24"/>
      <c r="L20" s="17" t="s">
        <v>51</v>
      </c>
      <c r="M20" s="18" t="s">
        <v>43</v>
      </c>
      <c r="N20" s="25"/>
      <c r="O20" s="26">
        <v>20.447969551648026</v>
      </c>
    </row>
    <row r="21" spans="8:15">
      <c r="H21">
        <v>182531</v>
      </c>
      <c r="I21" s="37" t="s">
        <v>101</v>
      </c>
      <c r="K21" s="24"/>
      <c r="L21" s="17"/>
      <c r="M21" s="18" t="s">
        <v>49</v>
      </c>
      <c r="N21" s="25"/>
      <c r="O21" s="26">
        <v>15.669914537777572</v>
      </c>
    </row>
    <row r="22" spans="8:15">
      <c r="H22">
        <v>2341375</v>
      </c>
      <c r="I22" s="37" t="s">
        <v>98</v>
      </c>
      <c r="J22" t="s">
        <v>103</v>
      </c>
      <c r="K22" s="24"/>
      <c r="L22" s="17"/>
      <c r="M22" s="18" t="s">
        <v>48</v>
      </c>
      <c r="N22" s="25"/>
      <c r="O22" s="26">
        <v>72.337912086611439</v>
      </c>
    </row>
    <row r="23" spans="8:15">
      <c r="H23">
        <v>2429135</v>
      </c>
      <c r="I23" s="37" t="s">
        <v>101</v>
      </c>
      <c r="K23" s="24"/>
      <c r="L23" s="17"/>
      <c r="M23" s="18" t="s">
        <v>42</v>
      </c>
      <c r="N23" s="25"/>
      <c r="O23" s="26">
        <v>66.285472708183747</v>
      </c>
    </row>
    <row r="24" spans="8:15">
      <c r="H24">
        <v>1354689</v>
      </c>
      <c r="I24" s="37" t="s">
        <v>101</v>
      </c>
      <c r="K24" s="24"/>
      <c r="L24" s="17"/>
      <c r="M24" s="18" t="s">
        <v>44</v>
      </c>
      <c r="N24" s="25"/>
      <c r="O24" s="26">
        <v>6.1035113323078409</v>
      </c>
    </row>
    <row r="25" spans="8:15">
      <c r="H25">
        <v>6392010</v>
      </c>
      <c r="I25" s="37" t="s">
        <v>96</v>
      </c>
      <c r="J25" t="s">
        <v>105</v>
      </c>
      <c r="K25" s="24"/>
      <c r="L25" s="17" t="s">
        <v>52</v>
      </c>
      <c r="M25" s="18" t="s">
        <v>43</v>
      </c>
      <c r="N25" s="25"/>
      <c r="O25" s="26">
        <v>2.0389345161320129</v>
      </c>
    </row>
    <row r="26" spans="8:15">
      <c r="H26">
        <v>26744</v>
      </c>
      <c r="I26" s="37" t="s">
        <v>102</v>
      </c>
      <c r="J26" t="s">
        <v>110</v>
      </c>
      <c r="K26" s="24"/>
      <c r="L26" s="17"/>
      <c r="M26" s="18" t="s">
        <v>49</v>
      </c>
      <c r="N26" s="25"/>
      <c r="O26" s="26">
        <v>1.2073742722641769</v>
      </c>
    </row>
    <row r="27" spans="8:15">
      <c r="H27">
        <v>21090119</v>
      </c>
      <c r="I27" s="37" t="s">
        <v>101</v>
      </c>
      <c r="K27" s="24"/>
      <c r="L27" s="17"/>
      <c r="M27" s="27" t="s">
        <v>42</v>
      </c>
      <c r="N27" s="25"/>
      <c r="O27" s="26">
        <v>67.756572043636965</v>
      </c>
    </row>
    <row r="28" spans="8:15">
      <c r="H28">
        <v>50482957</v>
      </c>
      <c r="I28" s="37" t="s">
        <v>101</v>
      </c>
      <c r="K28" s="24"/>
      <c r="L28" s="17"/>
      <c r="M28" s="27" t="s">
        <v>44</v>
      </c>
      <c r="N28" s="25"/>
      <c r="O28" s="26">
        <v>2.2904155107107469</v>
      </c>
    </row>
    <row r="29" spans="8:15">
      <c r="H29">
        <v>11394919</v>
      </c>
      <c r="I29" s="37" t="s">
        <v>101</v>
      </c>
    </row>
    <row r="30" spans="8:15">
      <c r="H30">
        <v>79512467</v>
      </c>
      <c r="I30" s="37" t="s">
        <v>101</v>
      </c>
    </row>
    <row r="31" spans="8:15">
      <c r="H31">
        <v>168975300</v>
      </c>
      <c r="I31" s="37" t="s">
        <v>102</v>
      </c>
      <c r="J31" t="s">
        <v>111</v>
      </c>
      <c r="K31" s="2" t="s">
        <v>62</v>
      </c>
      <c r="L31" s="5"/>
      <c r="M31" s="5"/>
      <c r="N31" s="5"/>
      <c r="O31" s="5"/>
    </row>
    <row r="32" spans="8:15">
      <c r="H32">
        <v>25612559</v>
      </c>
      <c r="I32" s="37" t="s">
        <v>98</v>
      </c>
      <c r="J32" t="s">
        <v>112</v>
      </c>
      <c r="K32" s="21" t="s">
        <v>37</v>
      </c>
      <c r="L32" s="21" t="s">
        <v>59</v>
      </c>
      <c r="M32" s="21" t="s">
        <v>39</v>
      </c>
      <c r="N32" s="22">
        <v>2007</v>
      </c>
      <c r="O32" s="23">
        <v>2017</v>
      </c>
    </row>
    <row r="33" spans="1:15">
      <c r="H33">
        <v>2287753</v>
      </c>
      <c r="I33" s="37" t="s">
        <v>101</v>
      </c>
      <c r="K33" s="24" t="s">
        <v>40</v>
      </c>
      <c r="L33" s="17" t="s">
        <v>60</v>
      </c>
      <c r="M33" s="18" t="s">
        <v>42</v>
      </c>
      <c r="N33" s="31">
        <v>0.91127970346733433</v>
      </c>
      <c r="O33" s="32">
        <v>0.90269186616874042</v>
      </c>
    </row>
    <row r="34" spans="1:15">
      <c r="H34">
        <v>371927</v>
      </c>
      <c r="I34" s="37" t="s">
        <v>97</v>
      </c>
      <c r="J34" t="s">
        <v>113</v>
      </c>
      <c r="K34" s="24"/>
      <c r="L34" s="17" t="s">
        <v>61</v>
      </c>
      <c r="M34" s="18" t="s">
        <v>42</v>
      </c>
      <c r="N34" s="31">
        <v>8.8720296532665791E-2</v>
      </c>
      <c r="O34" s="33">
        <v>9.7308133831259525E-2</v>
      </c>
    </row>
    <row r="35" spans="1:15">
      <c r="H35">
        <v>7086239</v>
      </c>
      <c r="I35" s="37" t="s">
        <v>101</v>
      </c>
    </row>
    <row r="36" spans="1:15">
      <c r="H36">
        <v>1821775</v>
      </c>
      <c r="I36" s="37" t="s">
        <v>101</v>
      </c>
    </row>
    <row r="37" spans="1:15">
      <c r="H37">
        <v>2768121</v>
      </c>
      <c r="I37" s="37" t="s">
        <v>101</v>
      </c>
    </row>
    <row r="38" spans="1:15">
      <c r="H38">
        <v>208923674</v>
      </c>
      <c r="I38" s="37" t="s">
        <v>101</v>
      </c>
    </row>
    <row r="39" spans="1:15">
      <c r="H39">
        <v>230030598</v>
      </c>
      <c r="I39" s="37" t="s">
        <v>101</v>
      </c>
    </row>
    <row r="42" spans="1:15">
      <c r="A42" s="2" t="s">
        <v>93</v>
      </c>
      <c r="B42" s="5"/>
      <c r="C42" s="5"/>
      <c r="E42" s="2" t="s">
        <v>56</v>
      </c>
      <c r="F42" s="5"/>
      <c r="G42" s="5"/>
      <c r="H42" s="5"/>
      <c r="I42" s="5"/>
      <c r="J42" s="5"/>
    </row>
    <row r="43" spans="1:15">
      <c r="B43" s="1" t="s">
        <v>53</v>
      </c>
      <c r="C43" s="1" t="s">
        <v>54</v>
      </c>
      <c r="F43" s="28" t="s">
        <v>10</v>
      </c>
      <c r="G43" s="28" t="s">
        <v>11</v>
      </c>
      <c r="H43" s="28" t="s">
        <v>12</v>
      </c>
      <c r="I43" s="28" t="s">
        <v>13</v>
      </c>
      <c r="J43" s="28" t="s">
        <v>14</v>
      </c>
    </row>
    <row r="44" spans="1:15">
      <c r="A44" s="1" t="s">
        <v>16</v>
      </c>
      <c r="B44">
        <f>SUMIFS($H$9:$H$39,$I$9:$I$39,"Psgr LDV")</f>
        <v>27953934</v>
      </c>
      <c r="C44">
        <f>SUMIFS($H$9:$H$39,$I$9:$I$39,"Frgt LDV")</f>
        <v>2757639</v>
      </c>
      <c r="E44" s="1" t="s">
        <v>16</v>
      </c>
      <c r="F44" s="29">
        <f>O14/SUM(O10:O12,O14)</f>
        <v>1.9470186233296542E-2</v>
      </c>
      <c r="G44" s="29">
        <f>O12/SUM(O10:O12,O14)</f>
        <v>2.6866442779643514E-2</v>
      </c>
      <c r="H44" s="29">
        <f>O10/SUM(O10:O12,O14)</f>
        <v>0.72550527230454886</v>
      </c>
      <c r="I44" s="29">
        <f>O11/SUM(O10:O12,O14)</f>
        <v>0.228158098682511</v>
      </c>
      <c r="J44" s="29">
        <v>0</v>
      </c>
    </row>
    <row r="45" spans="1:15">
      <c r="A45" s="1" t="s">
        <v>17</v>
      </c>
      <c r="B45">
        <f>SUMIFS($H$9:$H$39,$I$9:$I$39,"Psgr HDV")</f>
        <v>1756667</v>
      </c>
      <c r="C45">
        <f>SUMIFS($H$9:$H$39,$I$9:$I$39,"Frgt HDV")</f>
        <v>5498871</v>
      </c>
      <c r="E45" s="1" t="s">
        <v>17</v>
      </c>
      <c r="F45" s="29">
        <f>O6/SUM(O4:O6)</f>
        <v>4.6948356807511747E-3</v>
      </c>
      <c r="G45" s="29">
        <f>O5/SUM(O4:O6)</f>
        <v>1.3582807558629126E-2</v>
      </c>
      <c r="H45" s="29">
        <v>0</v>
      </c>
      <c r="I45" s="29">
        <f>O4/SUM(O4:O6)</f>
        <v>0.9817223567606197</v>
      </c>
      <c r="J45" s="29">
        <v>0</v>
      </c>
    </row>
    <row r="46" spans="1:15">
      <c r="A46" s="1" t="s">
        <v>20</v>
      </c>
      <c r="B46">
        <f>SUMIFS($H$9:$H$39,$I$9:$I$39,"Psgr Mtrbk")</f>
        <v>169002044</v>
      </c>
      <c r="C46">
        <f>SUMIFS($H$9:$H$39,$I$9:$I$39,"Frgt Mtrbk")</f>
        <v>8209727</v>
      </c>
      <c r="E46" s="1" t="s">
        <v>20</v>
      </c>
      <c r="F46" s="29">
        <f>O19/SUM(O16:O19)</f>
        <v>3.9539621259247815E-2</v>
      </c>
      <c r="G46" s="29">
        <v>0</v>
      </c>
      <c r="H46" s="29">
        <f>SUM(O16:O18)/SUM(O16:O19)</f>
        <v>0.96046037874075219</v>
      </c>
      <c r="I46" s="29">
        <v>0</v>
      </c>
      <c r="J46" s="29">
        <v>0</v>
      </c>
    </row>
    <row r="48" spans="1:15">
      <c r="E48" s="2" t="s">
        <v>57</v>
      </c>
      <c r="F48" s="5"/>
      <c r="G48" s="5"/>
      <c r="H48" s="5"/>
      <c r="I48" s="5"/>
      <c r="J48" s="5"/>
    </row>
    <row r="49" spans="5:10">
      <c r="F49" s="28" t="s">
        <v>10</v>
      </c>
      <c r="G49" s="28" t="s">
        <v>11</v>
      </c>
      <c r="H49" s="28" t="s">
        <v>12</v>
      </c>
      <c r="I49" s="28" t="s">
        <v>13</v>
      </c>
      <c r="J49" s="28" t="s">
        <v>14</v>
      </c>
    </row>
    <row r="50" spans="5:10">
      <c r="E50" s="1" t="s">
        <v>16</v>
      </c>
      <c r="F50" s="29">
        <v>0</v>
      </c>
      <c r="G50" s="29">
        <v>0</v>
      </c>
      <c r="H50" s="29">
        <v>0</v>
      </c>
      <c r="I50" s="29">
        <f>SUM(O33:O34)</f>
        <v>1</v>
      </c>
      <c r="J50" s="29">
        <v>0</v>
      </c>
    </row>
    <row r="51" spans="5:10">
      <c r="E51" s="1" t="s">
        <v>17</v>
      </c>
      <c r="F51" s="29">
        <v>0</v>
      </c>
      <c r="G51" s="29">
        <v>0</v>
      </c>
      <c r="H51" s="29">
        <v>0</v>
      </c>
      <c r="I51" s="29">
        <f>SUM(O33:O34)</f>
        <v>1</v>
      </c>
      <c r="J51" s="29">
        <v>0</v>
      </c>
    </row>
    <row r="52" spans="5:10">
      <c r="E52" s="1" t="s">
        <v>20</v>
      </c>
      <c r="F52" s="29">
        <f>O24/SUM(O20:O24)</f>
        <v>3.3749999999999995E-2</v>
      </c>
      <c r="G52" s="29">
        <f>SUM(O20:O21)/SUM(O20:O24)</f>
        <v>0.19971759232520298</v>
      </c>
      <c r="H52" s="29">
        <f>O22/SUM(O20:O24)</f>
        <v>0.39999999999999991</v>
      </c>
      <c r="I52" s="29">
        <f>O23/SUM(O20:O24)</f>
        <v>0.36653240767479706</v>
      </c>
      <c r="J52" s="29"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B2" sqref="B2:F2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</row>
    <row r="2" spans="1:7">
      <c r="A2" s="1" t="s">
        <v>16</v>
      </c>
      <c r="B2" s="7">
        <f>'India Road'!$B44*'India Road'!F44</f>
        <v>544268.30093328014</v>
      </c>
      <c r="C2" s="7">
        <f>'India Road'!$B44*'India Road'!G44</f>
        <v>751022.76827693137</v>
      </c>
      <c r="D2" s="7">
        <f>'India Road'!$B44*'India Road'!H44</f>
        <v>20280726.498653386</v>
      </c>
      <c r="E2" s="7">
        <f>'India Road'!$B44*'India Road'!I44</f>
        <v>6377916.4321363997</v>
      </c>
      <c r="F2" s="7">
        <f>'India Road'!$B44*'India Road'!J44</f>
        <v>0</v>
      </c>
      <c r="G2" s="9">
        <v>0</v>
      </c>
    </row>
    <row r="3" spans="1:7">
      <c r="A3" s="1" t="s">
        <v>17</v>
      </c>
      <c r="B3" s="7">
        <f>'India Road'!$B45*'India Road'!F45</f>
        <v>8247.2629107981229</v>
      </c>
      <c r="C3" s="7">
        <f>'India Road'!$B45*'India Road'!G45</f>
        <v>23860.469805594352</v>
      </c>
      <c r="D3" s="7">
        <f>'India Road'!$B45*'India Road'!H45</f>
        <v>0</v>
      </c>
      <c r="E3" s="7">
        <f>'India Road'!$B45*'India Road'!I45</f>
        <v>1724559.2672836075</v>
      </c>
      <c r="F3" s="7">
        <f>'India Road'!$B45*'India Road'!J45</f>
        <v>0</v>
      </c>
      <c r="G3" s="9">
        <v>0</v>
      </c>
    </row>
    <row r="4" spans="1:7">
      <c r="A4" s="1" t="s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7">
        <f>'India Aircraft'!B18</f>
        <v>432.42906200294141</v>
      </c>
    </row>
    <row r="5" spans="1:7">
      <c r="A5" s="1" t="s">
        <v>18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7">
        <f>'India Rail'!B23</f>
        <v>6143.0257535444707</v>
      </c>
    </row>
    <row r="6" spans="1:7">
      <c r="A6" s="1" t="s">
        <v>19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7">
        <f>'India Ships'!B2</f>
        <v>102</v>
      </c>
    </row>
    <row r="7" spans="1:7">
      <c r="A7" s="1" t="s">
        <v>20</v>
      </c>
      <c r="B7" s="8">
        <f>'India Road'!$B46*'India Road'!F46</f>
        <v>6682276.8117987346</v>
      </c>
      <c r="C7" s="8">
        <f>'India Road'!$B46*'India Road'!G46</f>
        <v>0</v>
      </c>
      <c r="D7" s="8">
        <f>'India Road'!$B46*'India Road'!H46</f>
        <v>162319767.18820128</v>
      </c>
      <c r="E7" s="8">
        <f>'India Road'!$B46*'India Road'!I46</f>
        <v>0</v>
      </c>
      <c r="F7" s="8">
        <f>'India Road'!$B46*'India Road'!J46</f>
        <v>0</v>
      </c>
      <c r="G7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E2" sqref="E2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6" width="23.28515625" customWidth="1"/>
    <col min="7" max="7" width="19.28515625" customWidth="1"/>
  </cols>
  <sheetData>
    <row r="1" spans="1:7"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</row>
    <row r="2" spans="1:7">
      <c r="A2" s="1" t="s">
        <v>16</v>
      </c>
      <c r="B2">
        <f>'India Road'!$C44*'India Road'!F50</f>
        <v>0</v>
      </c>
      <c r="C2">
        <f>'India Road'!$C44*'India Road'!G50</f>
        <v>0</v>
      </c>
      <c r="D2">
        <f>'India Road'!$C44*'India Road'!H50</f>
        <v>0</v>
      </c>
      <c r="E2">
        <f>'India Road'!$C44*'India Road'!I50</f>
        <v>2757639</v>
      </c>
      <c r="F2">
        <f>'India Road'!$C44*'India Road'!J50</f>
        <v>0</v>
      </c>
      <c r="G2" s="5">
        <v>0</v>
      </c>
    </row>
    <row r="3" spans="1:7">
      <c r="A3" s="1" t="s">
        <v>17</v>
      </c>
      <c r="B3">
        <f>'India Road'!$C45*'India Road'!F51</f>
        <v>0</v>
      </c>
      <c r="C3">
        <f>'India Road'!$C45*'India Road'!G51</f>
        <v>0</v>
      </c>
      <c r="D3">
        <f>'India Road'!$C45*'India Road'!H51</f>
        <v>0</v>
      </c>
      <c r="E3">
        <f>'India Road'!$C45*'India Road'!I51</f>
        <v>5498871</v>
      </c>
      <c r="F3">
        <f>'India Road'!$C45*'India Road'!J51</f>
        <v>0</v>
      </c>
      <c r="G3" s="5">
        <v>0</v>
      </c>
    </row>
    <row r="4" spans="1:7">
      <c r="A4" s="1" t="s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4">
        <f>'India Aircraft'!B19</f>
        <v>15.570937997058628</v>
      </c>
    </row>
    <row r="5" spans="1:7">
      <c r="A5" s="1" t="s">
        <v>18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7">
        <f>'India Rail'!B24</f>
        <v>5317.9742464555284</v>
      </c>
    </row>
    <row r="6" spans="1:7">
      <c r="A6" s="1" t="s">
        <v>19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7">
        <f>'India Ships'!B3</f>
        <v>1269</v>
      </c>
    </row>
    <row r="7" spans="1:7">
      <c r="A7" s="1" t="s">
        <v>20</v>
      </c>
      <c r="B7" s="8">
        <f>'India Road'!$C46*'India Road'!F52</f>
        <v>277078.28624999995</v>
      </c>
      <c r="C7" s="8">
        <f>'India Road'!$C46*'India Road'!G52</f>
        <v>1639626.9100872118</v>
      </c>
      <c r="D7" s="8">
        <f>'India Road'!$C46*'India Road'!H52</f>
        <v>3283890.7999999993</v>
      </c>
      <c r="E7" s="8">
        <f>'India Road'!$C46*'India Road'!I52</f>
        <v>3009131.0036627888</v>
      </c>
      <c r="F7" s="8">
        <f>'India Road'!$C46*'India Road'!J52</f>
        <v>0</v>
      </c>
      <c r="G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India Ships</vt:lpstr>
      <vt:lpstr>India Rail</vt:lpstr>
      <vt:lpstr>India Aircraft</vt:lpstr>
      <vt:lpstr>India Road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Jeffrey Rissman</cp:lastModifiedBy>
  <cp:revision/>
  <dcterms:created xsi:type="dcterms:W3CDTF">2017-06-22T21:46:10Z</dcterms:created>
  <dcterms:modified xsi:type="dcterms:W3CDTF">2018-04-19T03:51:44Z</dcterms:modified>
  <cp:category/>
  <cp:contentStatus/>
</cp:coreProperties>
</file>