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han\Documents\eps-india\InputData\ccs\BFoCPAbS\"/>
    </mc:Choice>
  </mc:AlternateContent>
  <bookViews>
    <workbookView xWindow="-113" yWindow="-113" windowWidth="19418" windowHeight="10418"/>
  </bookViews>
  <sheets>
    <sheet name="About" sheetId="1" r:id="rId1"/>
    <sheet name="Data OECD" sheetId="16" r:id="rId2"/>
    <sheet name="Data NonOECD" sheetId="17" r:id="rId3"/>
    <sheet name="IESS data" sheetId="15" r:id="rId4"/>
    <sheet name="Global CCS Database" sheetId="13" r:id="rId5"/>
    <sheet name="BAU Calculations" sheetId="14" r:id="rId6"/>
    <sheet name="BFoCPAbS" sheetId="12" r:id="rId7"/>
  </sheets>
  <externalReferences>
    <externalReference r:id="rId8"/>
    <externalReference r:id="rId9"/>
  </externalReferences>
  <definedNames>
    <definedName name="_xlnm._FilterDatabase" localSheetId="4" hidden="1">'Global CCS Database'!$A$7:$H$36</definedName>
    <definedName name="Region">'BAU Calculations'!$B$2</definedName>
    <definedName name="Unit.GW">[1]Conversions!$F$55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8" i="14" l="1"/>
  <c r="C77" i="14"/>
  <c r="AH6" i="14" l="1"/>
  <c r="AC6" i="14"/>
  <c r="AC13" i="14" s="1"/>
  <c r="X6" i="14"/>
  <c r="X13" i="14" s="1"/>
  <c r="S6" i="14"/>
  <c r="S13" i="14" s="1"/>
  <c r="N6" i="14"/>
  <c r="N13" i="14" s="1"/>
  <c r="I6" i="14"/>
  <c r="I13" i="14" s="1"/>
  <c r="AH7" i="14" l="1"/>
  <c r="AH14" i="14" s="1"/>
  <c r="N7" i="14"/>
  <c r="N14" i="14" s="1"/>
  <c r="H6" i="14"/>
  <c r="AC7" i="14"/>
  <c r="AC14" i="14" s="1"/>
  <c r="S7" i="14"/>
  <c r="S14" i="14" s="1"/>
  <c r="AH13" i="14"/>
  <c r="I7" i="14"/>
  <c r="I14" i="14" s="1"/>
  <c r="AD6" i="14"/>
  <c r="AD13" i="14" s="1"/>
  <c r="X7" i="14"/>
  <c r="X14" i="14" s="1"/>
  <c r="AD7" i="14"/>
  <c r="AA6" i="14"/>
  <c r="T6" i="14"/>
  <c r="R6" i="14"/>
  <c r="Q6" i="14"/>
  <c r="K6" i="14"/>
  <c r="L6" i="14"/>
  <c r="J6" i="14"/>
  <c r="Z6" i="14"/>
  <c r="AB6" i="14"/>
  <c r="M6" i="14"/>
  <c r="O6" i="14"/>
  <c r="W6" i="14"/>
  <c r="AD14" i="14"/>
  <c r="P6" i="14"/>
  <c r="U6" i="14"/>
  <c r="V6" i="14"/>
  <c r="Y6" i="14"/>
  <c r="AB13" i="14" l="1"/>
  <c r="AB7" i="14"/>
  <c r="AB14" i="14" s="1"/>
  <c r="Z13" i="14"/>
  <c r="Z7" i="14"/>
  <c r="Z14" i="14" s="1"/>
  <c r="W13" i="14"/>
  <c r="W7" i="14"/>
  <c r="W14" i="14" s="1"/>
  <c r="U13" i="14"/>
  <c r="U7" i="14"/>
  <c r="U14" i="14" s="1"/>
  <c r="T13" i="14"/>
  <c r="T7" i="14"/>
  <c r="T14" i="14" s="1"/>
  <c r="G6" i="14"/>
  <c r="H7" i="14"/>
  <c r="H14" i="14" s="1"/>
  <c r="O13" i="14"/>
  <c r="O7" i="14"/>
  <c r="O14" i="14" s="1"/>
  <c r="J13" i="14"/>
  <c r="J7" i="14"/>
  <c r="J14" i="14" s="1"/>
  <c r="H13" i="14"/>
  <c r="Q13" i="14"/>
  <c r="Q7" i="14"/>
  <c r="Q14" i="14" s="1"/>
  <c r="V13" i="14"/>
  <c r="V7" i="14"/>
  <c r="V14" i="14" s="1"/>
  <c r="M13" i="14"/>
  <c r="M7" i="14"/>
  <c r="M14" i="14" s="1"/>
  <c r="L13" i="14"/>
  <c r="L7" i="14"/>
  <c r="L14" i="14" s="1"/>
  <c r="Y13" i="14"/>
  <c r="Y7" i="14"/>
  <c r="Y14" i="14" s="1"/>
  <c r="AA13" i="14"/>
  <c r="AA7" i="14"/>
  <c r="AA14" i="14" s="1"/>
  <c r="R13" i="14"/>
  <c r="R7" i="14"/>
  <c r="R14" i="14" s="1"/>
  <c r="P13" i="14"/>
  <c r="P7" i="14"/>
  <c r="P14" i="14" s="1"/>
  <c r="K13" i="14"/>
  <c r="K7" i="14"/>
  <c r="K14" i="14" s="1"/>
  <c r="AE6" i="14"/>
  <c r="AF6" i="14" l="1"/>
  <c r="AE7" i="14"/>
  <c r="AE14" i="14" s="1"/>
  <c r="AE13" i="14"/>
  <c r="F6" i="14"/>
  <c r="G7" i="14"/>
  <c r="G14" i="14" s="1"/>
  <c r="G13" i="14"/>
  <c r="B3" i="17"/>
  <c r="C3" i="17"/>
  <c r="D3" i="17"/>
  <c r="E3" i="17"/>
  <c r="F3" i="17"/>
  <c r="G3" i="17"/>
  <c r="B4" i="17"/>
  <c r="C4" i="17"/>
  <c r="D4" i="17"/>
  <c r="E4" i="17"/>
  <c r="F4" i="17"/>
  <c r="G4" i="17"/>
  <c r="B8" i="17"/>
  <c r="C8" i="17"/>
  <c r="D8" i="17"/>
  <c r="E8" i="17"/>
  <c r="F8" i="17"/>
  <c r="G8" i="17"/>
  <c r="B9" i="17"/>
  <c r="C9" i="17"/>
  <c r="D9" i="17"/>
  <c r="E9" i="17"/>
  <c r="F9" i="17"/>
  <c r="G9" i="17"/>
  <c r="B10" i="17"/>
  <c r="C10" i="17"/>
  <c r="D10" i="17"/>
  <c r="E10" i="17"/>
  <c r="F10" i="17"/>
  <c r="G10" i="17"/>
  <c r="B11" i="17"/>
  <c r="C11" i="17"/>
  <c r="D11" i="17"/>
  <c r="E11" i="17"/>
  <c r="F11" i="17"/>
  <c r="G11" i="17"/>
  <c r="B15" i="17"/>
  <c r="C15" i="17"/>
  <c r="D15" i="17"/>
  <c r="E15" i="17"/>
  <c r="B16" i="17"/>
  <c r="C16" i="17"/>
  <c r="D16" i="17"/>
  <c r="E16" i="17"/>
  <c r="B17" i="17"/>
  <c r="C17" i="17"/>
  <c r="D17" i="17"/>
  <c r="E17" i="17"/>
  <c r="B3" i="16"/>
  <c r="C3" i="16"/>
  <c r="D3" i="16"/>
  <c r="E3" i="16"/>
  <c r="F3" i="16"/>
  <c r="G3" i="16"/>
  <c r="B4" i="16"/>
  <c r="C4" i="16"/>
  <c r="D4" i="16"/>
  <c r="E4" i="16"/>
  <c r="F4" i="16"/>
  <c r="G4" i="16"/>
  <c r="B8" i="16"/>
  <c r="C8" i="16"/>
  <c r="D8" i="16"/>
  <c r="E8" i="16"/>
  <c r="F8" i="16"/>
  <c r="G8" i="16"/>
  <c r="B9" i="16"/>
  <c r="C9" i="16"/>
  <c r="D9" i="16"/>
  <c r="E9" i="16"/>
  <c r="F9" i="16"/>
  <c r="G9" i="16"/>
  <c r="B10" i="16"/>
  <c r="C10" i="16"/>
  <c r="D10" i="16"/>
  <c r="E10" i="16"/>
  <c r="F10" i="16"/>
  <c r="G10" i="16"/>
  <c r="B11" i="16"/>
  <c r="C11" i="16"/>
  <c r="D11" i="16"/>
  <c r="E11" i="16"/>
  <c r="F11" i="16"/>
  <c r="G11" i="16"/>
  <c r="B15" i="16"/>
  <c r="C15" i="16"/>
  <c r="D15" i="16"/>
  <c r="E15" i="16"/>
  <c r="B16" i="16"/>
  <c r="C16" i="16"/>
  <c r="D16" i="16"/>
  <c r="E16" i="16"/>
  <c r="B17" i="16"/>
  <c r="C17" i="16"/>
  <c r="D17" i="16"/>
  <c r="E17" i="16"/>
  <c r="E6" i="14" l="1"/>
  <c r="F7" i="14"/>
  <c r="F14" i="14" s="1"/>
  <c r="F13" i="14"/>
  <c r="AF13" i="14"/>
  <c r="AG6" i="14"/>
  <c r="AF7" i="14"/>
  <c r="AF14" i="14" s="1"/>
  <c r="B3" i="15"/>
  <c r="C3" i="15"/>
  <c r="D3" i="15"/>
  <c r="E3" i="15"/>
  <c r="F3" i="15"/>
  <c r="G3" i="15"/>
  <c r="H3" i="15"/>
  <c r="I3" i="15"/>
  <c r="B5" i="15"/>
  <c r="C5" i="15"/>
  <c r="D5" i="15"/>
  <c r="E5" i="15"/>
  <c r="F5" i="15"/>
  <c r="G5" i="15"/>
  <c r="H5" i="15"/>
  <c r="I5" i="15"/>
  <c r="B7" i="15"/>
  <c r="C7" i="15"/>
  <c r="D7" i="15"/>
  <c r="E7" i="15"/>
  <c r="F7" i="15"/>
  <c r="G7" i="15"/>
  <c r="H7" i="15"/>
  <c r="I7" i="15"/>
  <c r="B9" i="15"/>
  <c r="C9" i="15"/>
  <c r="D9" i="15"/>
  <c r="E9" i="15"/>
  <c r="F9" i="15"/>
  <c r="G9" i="15"/>
  <c r="H9" i="15"/>
  <c r="I9" i="15"/>
  <c r="B15" i="15"/>
  <c r="C15" i="15"/>
  <c r="C16" i="15" s="1"/>
  <c r="D15" i="15"/>
  <c r="D16" i="15" s="1"/>
  <c r="E15" i="15"/>
  <c r="E16" i="15" s="1"/>
  <c r="B16" i="15"/>
  <c r="B17" i="15" s="1"/>
  <c r="C22" i="15"/>
  <c r="D22" i="15"/>
  <c r="E22" i="15"/>
  <c r="F22" i="15"/>
  <c r="E28" i="15"/>
  <c r="F28" i="15"/>
  <c r="G28" i="15"/>
  <c r="H28" i="15"/>
  <c r="I28" i="15"/>
  <c r="J28" i="15"/>
  <c r="K28" i="15"/>
  <c r="L28" i="15"/>
  <c r="M28" i="15"/>
  <c r="N28" i="15"/>
  <c r="O28" i="15"/>
  <c r="P28" i="15"/>
  <c r="Q28" i="15"/>
  <c r="R28" i="15"/>
  <c r="S28" i="15"/>
  <c r="T28" i="15"/>
  <c r="U28" i="15"/>
  <c r="V28" i="15"/>
  <c r="W28" i="15"/>
  <c r="X28" i="15"/>
  <c r="Y28" i="15"/>
  <c r="Z28" i="15"/>
  <c r="AA28" i="15"/>
  <c r="AB28" i="15"/>
  <c r="AC28" i="15"/>
  <c r="AD28" i="15"/>
  <c r="AE28" i="15"/>
  <c r="AF28" i="15"/>
  <c r="AG28" i="15"/>
  <c r="AH28" i="15"/>
  <c r="AI28" i="15"/>
  <c r="AJ28" i="15"/>
  <c r="AK28" i="15"/>
  <c r="AL28" i="15"/>
  <c r="AM28" i="15"/>
  <c r="AN28" i="15"/>
  <c r="D6" i="14" l="1"/>
  <c r="E7" i="14"/>
  <c r="E14" i="14" s="1"/>
  <c r="E13" i="14"/>
  <c r="P23" i="14"/>
  <c r="Y23" i="14"/>
  <c r="AF23" i="14"/>
  <c r="L23" i="14"/>
  <c r="AG7" i="14"/>
  <c r="AG14" i="14" s="1"/>
  <c r="R24" i="14" s="1"/>
  <c r="AG13" i="14"/>
  <c r="AG23" i="14"/>
  <c r="E23" i="15"/>
  <c r="P2" i="15"/>
  <c r="B24" i="15" s="1"/>
  <c r="C24" i="15" s="1"/>
  <c r="D24" i="15" s="1"/>
  <c r="E24" i="15" s="1"/>
  <c r="P4" i="15"/>
  <c r="P6" i="15"/>
  <c r="V24" i="15" s="1"/>
  <c r="V27" i="15" s="1"/>
  <c r="P8" i="15"/>
  <c r="AF24" i="15" s="1"/>
  <c r="AF27" i="15" s="1"/>
  <c r="R2" i="15"/>
  <c r="B25" i="15" s="1"/>
  <c r="R4" i="15"/>
  <c r="L25" i="15" s="1"/>
  <c r="R6" i="15"/>
  <c r="V25" i="15" s="1"/>
  <c r="R8" i="15"/>
  <c r="AF25" i="15" s="1"/>
  <c r="T8" i="15"/>
  <c r="AF26" i="15" s="1"/>
  <c r="T2" i="15"/>
  <c r="B26" i="15" s="1"/>
  <c r="P3" i="15"/>
  <c r="P5" i="15"/>
  <c r="Q24" i="15" s="1"/>
  <c r="Q27" i="15" s="1"/>
  <c r="P7" i="15"/>
  <c r="AA24" i="15" s="1"/>
  <c r="AA27" i="15" s="1"/>
  <c r="P9" i="15"/>
  <c r="AK24" i="15" s="1"/>
  <c r="T7" i="15"/>
  <c r="AA26" i="15" s="1"/>
  <c r="T9" i="15"/>
  <c r="AK26" i="15" s="1"/>
  <c r="AL26" i="15" s="1"/>
  <c r="AM26" i="15" s="1"/>
  <c r="AN26" i="15" s="1"/>
  <c r="N2" i="15"/>
  <c r="N4" i="15"/>
  <c r="L23" i="15" s="1"/>
  <c r="T4" i="15"/>
  <c r="L26" i="15" s="1"/>
  <c r="N5" i="15"/>
  <c r="Q23" i="15" s="1"/>
  <c r="N7" i="15"/>
  <c r="AA23" i="15" s="1"/>
  <c r="R3" i="15"/>
  <c r="G25" i="15" s="1"/>
  <c r="R5" i="15"/>
  <c r="Q25" i="15" s="1"/>
  <c r="R7" i="15"/>
  <c r="AA25" i="15" s="1"/>
  <c r="R9" i="15"/>
  <c r="AK25" i="15" s="1"/>
  <c r="AL25" i="15" s="1"/>
  <c r="AM25" i="15" s="1"/>
  <c r="AN25" i="15" s="1"/>
  <c r="T3" i="15"/>
  <c r="G26" i="15" s="1"/>
  <c r="T5" i="15"/>
  <c r="Q26" i="15" s="1"/>
  <c r="N6" i="15"/>
  <c r="V23" i="15" s="1"/>
  <c r="N8" i="15"/>
  <c r="AF23" i="15" s="1"/>
  <c r="T6" i="15"/>
  <c r="V26" i="15" s="1"/>
  <c r="N3" i="15"/>
  <c r="G23" i="15" s="1"/>
  <c r="N9" i="15"/>
  <c r="AK23" i="15" s="1"/>
  <c r="AL23" i="15" s="1"/>
  <c r="AM23" i="15" s="1"/>
  <c r="AN23" i="15" s="1"/>
  <c r="C26" i="15"/>
  <c r="D26" i="15"/>
  <c r="C25" i="15"/>
  <c r="F26" i="15"/>
  <c r="E26" i="15"/>
  <c r="G22" i="15"/>
  <c r="H22" i="15" s="1"/>
  <c r="J6" i="12" a="1"/>
  <c r="J6" i="12" s="1"/>
  <c r="K6" i="12" a="1"/>
  <c r="K6" i="12" s="1"/>
  <c r="L6" i="12" a="1"/>
  <c r="L6" i="12" s="1"/>
  <c r="M6" i="12" a="1"/>
  <c r="M6" i="12" s="1"/>
  <c r="N6" i="12" a="1"/>
  <c r="N6" i="12" s="1"/>
  <c r="O6" i="12" a="1"/>
  <c r="O6" i="12" s="1"/>
  <c r="P6" i="12" a="1"/>
  <c r="P6" i="12" s="1"/>
  <c r="Q6" i="12" a="1"/>
  <c r="Q6" i="12" s="1"/>
  <c r="R6" i="12" a="1"/>
  <c r="R6" i="12" s="1"/>
  <c r="S6" i="12" a="1"/>
  <c r="S6" i="12" s="1"/>
  <c r="T6" i="12" a="1"/>
  <c r="T6" i="12" s="1"/>
  <c r="U6" i="12" a="1"/>
  <c r="U6" i="12" s="1"/>
  <c r="V6" i="12" a="1"/>
  <c r="V6" i="12" s="1"/>
  <c r="W6" i="12" a="1"/>
  <c r="W6" i="12" s="1"/>
  <c r="X6" i="12" a="1"/>
  <c r="X6" i="12" s="1"/>
  <c r="Y6" i="12" a="1"/>
  <c r="Y6" i="12" s="1"/>
  <c r="Z6" i="12" a="1"/>
  <c r="Z6" i="12" s="1"/>
  <c r="AA6" i="12" a="1"/>
  <c r="AA6" i="12" s="1"/>
  <c r="AB6" i="12" a="1"/>
  <c r="AB6" i="12" s="1"/>
  <c r="AC6" i="12" a="1"/>
  <c r="AC6" i="12" s="1"/>
  <c r="AD6" i="12" a="1"/>
  <c r="AD6" i="12" s="1"/>
  <c r="AE6" i="12" a="1"/>
  <c r="AE6" i="12" s="1"/>
  <c r="AF6" i="12" a="1"/>
  <c r="AF6" i="12" s="1"/>
  <c r="AG6" i="12" a="1"/>
  <c r="AG6" i="12" s="1"/>
  <c r="AH6" i="12" a="1"/>
  <c r="AH6" i="12" s="1"/>
  <c r="C6" i="12" a="1"/>
  <c r="C6" i="12" s="1"/>
  <c r="D6" i="12" a="1"/>
  <c r="D6" i="12" s="1"/>
  <c r="E6" i="12" a="1"/>
  <c r="E6" i="12" s="1"/>
  <c r="F6" i="12" a="1"/>
  <c r="F6" i="12" s="1"/>
  <c r="G6" i="12" a="1"/>
  <c r="G6" i="12" s="1"/>
  <c r="H6" i="12" a="1"/>
  <c r="H6" i="12" s="1"/>
  <c r="I6" i="12" a="1"/>
  <c r="I6" i="12" s="1"/>
  <c r="B6" i="12" a="1"/>
  <c r="B6" i="12" s="1"/>
  <c r="J3" i="12" a="1"/>
  <c r="J3" i="12" s="1"/>
  <c r="K3" i="12" a="1"/>
  <c r="K3" i="12" s="1"/>
  <c r="L3" i="12" a="1"/>
  <c r="L3" i="12" s="1"/>
  <c r="M3" i="12" a="1"/>
  <c r="M3" i="12" s="1"/>
  <c r="N3" i="12" a="1"/>
  <c r="N3" i="12" s="1"/>
  <c r="O3" i="12" a="1"/>
  <c r="O3" i="12" s="1"/>
  <c r="P3" i="12" a="1"/>
  <c r="P3" i="12" s="1"/>
  <c r="Q3" i="12" a="1"/>
  <c r="Q3" i="12" s="1"/>
  <c r="R3" i="12" a="1"/>
  <c r="R3" i="12" s="1"/>
  <c r="S3" i="12" a="1"/>
  <c r="S3" i="12" s="1"/>
  <c r="T3" i="12" a="1"/>
  <c r="T3" i="12" s="1"/>
  <c r="U3" i="12" a="1"/>
  <c r="U3" i="12" s="1"/>
  <c r="V3" i="12" a="1"/>
  <c r="V3" i="12" s="1"/>
  <c r="W3" i="12" a="1"/>
  <c r="W3" i="12" s="1"/>
  <c r="X3" i="12" a="1"/>
  <c r="X3" i="12" s="1"/>
  <c r="Y3" i="12" a="1"/>
  <c r="Y3" i="12" s="1"/>
  <c r="Z3" i="12" a="1"/>
  <c r="Z3" i="12" s="1"/>
  <c r="AA3" i="12" a="1"/>
  <c r="AA3" i="12" s="1"/>
  <c r="AB3" i="12" a="1"/>
  <c r="AB3" i="12" s="1"/>
  <c r="AC3" i="12" a="1"/>
  <c r="AC3" i="12" s="1"/>
  <c r="AD3" i="12" a="1"/>
  <c r="AD3" i="12" s="1"/>
  <c r="AE3" i="12" a="1"/>
  <c r="AE3" i="12" s="1"/>
  <c r="AF3" i="12" a="1"/>
  <c r="AF3" i="12" s="1"/>
  <c r="AG3" i="12" a="1"/>
  <c r="AG3" i="12" s="1"/>
  <c r="AH3" i="12" a="1"/>
  <c r="AH3" i="12" s="1"/>
  <c r="C3" i="12" a="1"/>
  <c r="C3" i="12" s="1"/>
  <c r="D3" i="12" a="1"/>
  <c r="D3" i="12" s="1"/>
  <c r="E3" i="12" a="1"/>
  <c r="E3" i="12" s="1"/>
  <c r="F3" i="12" a="1"/>
  <c r="F3" i="12" s="1"/>
  <c r="G3" i="12" a="1"/>
  <c r="G3" i="12" s="1"/>
  <c r="H3" i="12" a="1"/>
  <c r="H3" i="12" s="1"/>
  <c r="I3" i="12" a="1"/>
  <c r="I3" i="12" s="1"/>
  <c r="B3" i="12" a="1"/>
  <c r="B3" i="12"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K23" i="14" l="1"/>
  <c r="V23" i="14"/>
  <c r="L24" i="14"/>
  <c r="Q24" i="14"/>
  <c r="W23" i="14"/>
  <c r="AA24" i="14"/>
  <c r="S24" i="14"/>
  <c r="AH24" i="14"/>
  <c r="J24" i="14"/>
  <c r="P24" i="14"/>
  <c r="X24" i="14"/>
  <c r="I24" i="14"/>
  <c r="W24" i="14"/>
  <c r="AF24" i="14"/>
  <c r="G24" i="14"/>
  <c r="Z24" i="14"/>
  <c r="AG24" i="14"/>
  <c r="Y24" i="14"/>
  <c r="U24" i="14"/>
  <c r="N24" i="14"/>
  <c r="N23" i="14"/>
  <c r="X23" i="14"/>
  <c r="AC24" i="14"/>
  <c r="AE23" i="14"/>
  <c r="K24" i="14"/>
  <c r="AB24" i="14"/>
  <c r="AA23" i="14"/>
  <c r="M24" i="14"/>
  <c r="M23" i="14"/>
  <c r="AD23" i="14"/>
  <c r="Q23" i="14"/>
  <c r="R23" i="14"/>
  <c r="AC23" i="14"/>
  <c r="AE24" i="14"/>
  <c r="Z23" i="14"/>
  <c r="O23" i="14"/>
  <c r="J23" i="14"/>
  <c r="AH23" i="14"/>
  <c r="S23" i="14"/>
  <c r="V24" i="14"/>
  <c r="U23" i="14"/>
  <c r="AB23" i="14"/>
  <c r="T24" i="14"/>
  <c r="AD24" i="14"/>
  <c r="H24" i="14"/>
  <c r="O24" i="14"/>
  <c r="C6" i="14"/>
  <c r="D7" i="14"/>
  <c r="D14" i="14" s="1"/>
  <c r="D13" i="14"/>
  <c r="T23" i="14"/>
  <c r="AL24" i="15"/>
  <c r="AK27" i="15"/>
  <c r="E25" i="15"/>
  <c r="H26" i="15"/>
  <c r="H23" i="15"/>
  <c r="I22" i="15"/>
  <c r="H25" i="15"/>
  <c r="F25" i="15"/>
  <c r="F23" i="15"/>
  <c r="D25" i="15"/>
  <c r="D23" i="15"/>
  <c r="B23" i="15"/>
  <c r="C23" i="15"/>
  <c r="F24" i="15"/>
  <c r="E27" i="15"/>
  <c r="B6" i="14" l="1"/>
  <c r="C7" i="14"/>
  <c r="C14" i="14" s="1"/>
  <c r="C13" i="14"/>
  <c r="G24" i="15"/>
  <c r="F27" i="15"/>
  <c r="I26" i="15"/>
  <c r="J22" i="15"/>
  <c r="I23" i="15"/>
  <c r="I25" i="15"/>
  <c r="AM24" i="15"/>
  <c r="AL27" i="15"/>
  <c r="N56" i="14"/>
  <c r="AH56" i="14"/>
  <c r="X56" i="14"/>
  <c r="H56" i="14"/>
  <c r="W56" i="14"/>
  <c r="B56" i="14"/>
  <c r="T56" i="14"/>
  <c r="D56" i="14"/>
  <c r="S56" i="14"/>
  <c r="C56" i="14"/>
  <c r="AF56" i="14"/>
  <c r="P56" i="14"/>
  <c r="AE56" i="14"/>
  <c r="O56" i="14"/>
  <c r="AB56" i="14"/>
  <c r="L56" i="14"/>
  <c r="AA56" i="14"/>
  <c r="K56" i="14"/>
  <c r="AC56" i="14"/>
  <c r="M56" i="14"/>
  <c r="Z56" i="14"/>
  <c r="G56" i="14"/>
  <c r="Y56" i="14"/>
  <c r="I56" i="14"/>
  <c r="V56" i="14"/>
  <c r="F56" i="14"/>
  <c r="J56" i="14"/>
  <c r="U56" i="14"/>
  <c r="E56" i="14"/>
  <c r="R56" i="14"/>
  <c r="AG56" i="14"/>
  <c r="Q56" i="14"/>
  <c r="AD56" i="14"/>
  <c r="B13" i="14" l="1"/>
  <c r="B7" i="14"/>
  <c r="B14" i="14" s="1"/>
  <c r="AM27" i="15"/>
  <c r="AN24" i="15"/>
  <c r="AN27" i="15" s="1"/>
  <c r="K22" i="15"/>
  <c r="J25" i="15"/>
  <c r="J23" i="15"/>
  <c r="J26" i="15"/>
  <c r="G27" i="15"/>
  <c r="H24" i="15"/>
  <c r="F57" i="14"/>
  <c r="C57" i="14"/>
  <c r="W57" i="14"/>
  <c r="L57" i="14"/>
  <c r="M57" i="14"/>
  <c r="G57" i="14"/>
  <c r="D57" i="14"/>
  <c r="V57" i="14"/>
  <c r="U57" i="14"/>
  <c r="E57" i="14"/>
  <c r="Z57" i="14"/>
  <c r="AB57" i="14"/>
  <c r="AD57" i="14"/>
  <c r="N57" i="14"/>
  <c r="AC57" i="14"/>
  <c r="X57" i="14"/>
  <c r="R57" i="14"/>
  <c r="O57" i="14"/>
  <c r="Y57" i="14"/>
  <c r="I57" i="14"/>
  <c r="AA57" i="14"/>
  <c r="K57" i="14"/>
  <c r="H57" i="14"/>
  <c r="J57" i="14"/>
  <c r="T57" i="14"/>
  <c r="AF57" i="14"/>
  <c r="P57" i="14"/>
  <c r="AH57" i="14"/>
  <c r="AE57" i="14"/>
  <c r="AG57" i="14"/>
  <c r="Q57" i="14"/>
  <c r="B57" i="14"/>
  <c r="S57" i="14"/>
  <c r="I24" i="15" l="1"/>
  <c r="H27" i="15"/>
  <c r="L22" i="15"/>
  <c r="M22" i="15" s="1"/>
  <c r="K26" i="15"/>
  <c r="K25" i="15"/>
  <c r="K23" i="15"/>
  <c r="M24" i="15" l="1"/>
  <c r="M27" i="15" s="1"/>
  <c r="M23" i="15"/>
  <c r="N22" i="15"/>
  <c r="M26" i="15"/>
  <c r="M25" i="15"/>
  <c r="I27" i="15"/>
  <c r="J24" i="15"/>
  <c r="K24" i="15" l="1"/>
  <c r="J27" i="15"/>
  <c r="N25" i="15"/>
  <c r="N24" i="15"/>
  <c r="N27" i="15" s="1"/>
  <c r="O22" i="15"/>
  <c r="N23" i="15"/>
  <c r="N26" i="15"/>
  <c r="O26" i="15" l="1"/>
  <c r="O25" i="15"/>
  <c r="O23" i="15"/>
  <c r="P22" i="15"/>
  <c r="O24" i="15"/>
  <c r="O27" i="15" s="1"/>
  <c r="K27" i="15"/>
  <c r="L24" i="15"/>
  <c r="L27" i="15" l="1"/>
  <c r="P26" i="15"/>
  <c r="P25" i="15"/>
  <c r="P23" i="15"/>
  <c r="Q22" i="15"/>
  <c r="R22" i="15" s="1"/>
  <c r="P24" i="15"/>
  <c r="P27" i="15" s="1"/>
  <c r="S22" i="15" l="1"/>
  <c r="R25" i="15"/>
  <c r="R23" i="15"/>
  <c r="R24" i="15"/>
  <c r="R27" i="15" s="1"/>
  <c r="R26" i="15"/>
  <c r="T22" i="15" l="1"/>
  <c r="S26" i="15"/>
  <c r="S25" i="15"/>
  <c r="S24" i="15"/>
  <c r="S27" i="15" s="1"/>
  <c r="S23" i="15"/>
  <c r="T23" i="15" l="1"/>
  <c r="T25" i="15"/>
  <c r="T24" i="15"/>
  <c r="T27" i="15" s="1"/>
  <c r="U22" i="15"/>
  <c r="T26" i="15"/>
  <c r="U24" i="15" l="1"/>
  <c r="U27" i="15" s="1"/>
  <c r="U23" i="15"/>
  <c r="U26" i="15"/>
  <c r="U25" i="15"/>
  <c r="V22" i="15"/>
  <c r="W22" i="15" s="1"/>
  <c r="W26" i="15" l="1"/>
  <c r="W25" i="15"/>
  <c r="W24" i="15"/>
  <c r="W27" i="15" s="1"/>
  <c r="X22" i="15"/>
  <c r="W23" i="15"/>
  <c r="X26" i="15" l="1"/>
  <c r="X24" i="15"/>
  <c r="X27" i="15" s="1"/>
  <c r="X23" i="15"/>
  <c r="Y22" i="15"/>
  <c r="X25" i="15"/>
  <c r="Y26" i="15" l="1"/>
  <c r="Y24" i="15"/>
  <c r="Y27" i="15" s="1"/>
  <c r="Z22" i="15"/>
  <c r="Y23" i="15"/>
  <c r="Y25" i="15"/>
  <c r="AA22" i="15" l="1"/>
  <c r="AB22" i="15" s="1"/>
  <c r="Z25" i="15"/>
  <c r="Z24" i="15"/>
  <c r="Z27" i="15" s="1"/>
  <c r="Z23" i="15"/>
  <c r="Z26" i="15"/>
  <c r="AB23" i="15" l="1"/>
  <c r="AC22" i="15"/>
  <c r="AB26" i="15"/>
  <c r="AB25" i="15"/>
  <c r="AB24" i="15"/>
  <c r="AB27" i="15" s="1"/>
  <c r="AC24" i="15" l="1"/>
  <c r="AC27" i="15" s="1"/>
  <c r="AC23" i="15"/>
  <c r="AD22" i="15"/>
  <c r="AC26" i="15"/>
  <c r="AC25" i="15"/>
  <c r="AD25" i="15" l="1"/>
  <c r="AD24" i="15"/>
  <c r="AD27" i="15" s="1"/>
  <c r="AE22" i="15"/>
  <c r="AD23" i="15"/>
  <c r="AD26" i="15"/>
  <c r="AE26" i="15" l="1"/>
  <c r="AE25" i="15"/>
  <c r="AE24" i="15"/>
  <c r="AE27" i="15" s="1"/>
  <c r="AE23" i="15"/>
  <c r="AF22" i="15"/>
  <c r="AG22" i="15" s="1"/>
  <c r="AG24" i="15" l="1"/>
  <c r="AG27" i="15" s="1"/>
  <c r="AH22" i="15"/>
  <c r="AG23" i="15"/>
  <c r="AG26" i="15"/>
  <c r="AG25" i="15"/>
  <c r="AI22" i="15" l="1"/>
  <c r="AH25" i="15"/>
  <c r="AH23" i="15"/>
  <c r="AH24" i="15"/>
  <c r="AH27" i="15" s="1"/>
  <c r="AH26" i="15"/>
  <c r="AJ22" i="15" l="1"/>
  <c r="AI26" i="15"/>
  <c r="AI23" i="15"/>
  <c r="AI25" i="15"/>
  <c r="AI24" i="15"/>
  <c r="AI27" i="15" s="1"/>
  <c r="AJ23" i="15" l="1"/>
  <c r="AJ25" i="15"/>
  <c r="AJ24" i="15"/>
  <c r="AJ27" i="15" s="1"/>
  <c r="AK22" i="15"/>
  <c r="AL22" i="15" s="1"/>
  <c r="AM22" i="15" s="1"/>
  <c r="AN22" i="15" s="1"/>
  <c r="AJ26" i="1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<sst xmlns="http://schemas.openxmlformats.org/spreadsheetml/2006/main" count="350" uniqueCount="204">
  <si>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</si>
  <si>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</si>
  <si>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</si>
  <si>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</si>
  <si>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</si>
  <si>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</si>
  <si>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</si>
  <si>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</si>
  <si>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</si>
  <si>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</si>
  <si>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</si>
  <si>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</si>
  <si>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</si>
  <si>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</si>
  <si>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</si>
  <si>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</si>
  <si>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</si>
  <si>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</si>
  <si>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</si>
  <si>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</si>
  <si>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</si>
  <si>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</si>
  <si>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</si>
  <si>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</si>
  <si>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</si>
  <si>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</si>
  <si>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</si>
  <si>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</si>
  <si>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</si>
  <si>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</si>
  <si>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</si>
  <si>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</si>
  <si>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</si>
  <si>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</si>
  <si>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</si>
  <si>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</si>
  <si>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</si>
  <si>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</si>
  <si>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</si>
  <si>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</si>
  <si>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</si>
  <si>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</si>
  <si>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</si>
  <si>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</si>
  <si>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</si>
  <si>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</si>
  <si>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</si>
  <si>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</si>
  <si>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</si>
  <si>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</si>
  <si>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</si>
  <si>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</si>
  <si>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</si>
  <si>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</si>
  <si>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</si>
  <si>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</si>
  <si>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</si>
  <si>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</si>
  <si>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</si>
  <si>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</si>
  <si>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</si>
  <si>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</si>
  <si>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</si>
  <si>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</si>
  <si>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</si>
  <si>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</si>
  <si>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</si>
  <si>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</si>
  <si>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</si>
  <si>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</si>
  <si>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</si>
  <si>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</si>
  <si>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</si>
  <si>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</si>
  <si>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</si>
  <si>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</si>
  <si>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</si>
  <si>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</si>
  <si>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</si>
  <si>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</si>
  <si>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</si>
  <si>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</si>
  <si>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</si>
  <si>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</si>
  <si>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</si>
  <si>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</si>
  <si>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</si>
  <si>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</si>
  <si>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</si>
  <si>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</si>
  <si>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</si>
  <si>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</si>
  <si>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</si>
  <si>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</si>
  <si>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</si>
  <si>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</si>
  <si>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</si>
  <si>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</si>
  <si>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</si>
  <si>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</si>
  <si>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</si>
  <si>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</si>
  <si>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</si>
  <si>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</si>
  <si>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</si>
  <si>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</si>
  <si>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</si>
  <si>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</si>
  <si>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</si>
  <si>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</si>
  <si>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</si>
  <si>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</si>
  <si>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</si>
  <si>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</si>
  <si>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</si>
  <si>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</si>
  <si>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</si>
  <si>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</si>
  <si>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</si>
  <si>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EPS-US 2.1.1 BAU Model Run Result (grams CO2)</t>
  </si>
  <si>
    <t>CCS Capacity by Year (tons CO2)</t>
  </si>
  <si>
    <t>CO2 Capture Percentage by Year</t>
  </si>
  <si>
    <t>Electricity Sector (trend)</t>
  </si>
  <si>
    <t>Industry (all other) (trend)</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</si>
  <si>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</si>
  <si>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</si>
  <si>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</si>
  <si>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</si>
  <si>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CCS Capture Percentage (BAU Case)</t>
  </si>
  <si>
    <t>Industry Sector</t>
  </si>
  <si>
    <t>CSA-ACP</t>
  </si>
  <si>
    <t>CSA-BTCS</t>
  </si>
  <si>
    <t>Level 4</t>
  </si>
  <si>
    <t>Level 3</t>
  </si>
  <si>
    <t>Level 1</t>
  </si>
  <si>
    <t>Level 2</t>
  </si>
  <si>
    <t>Interpolated</t>
  </si>
  <si>
    <t>Section 4, Table 3, Page 437</t>
  </si>
  <si>
    <t>Source: Rao &amp; Kumar</t>
  </si>
  <si>
    <t>Average</t>
  </si>
  <si>
    <t>Total CO2captured 
with CCS (t/ MW-yr)</t>
  </si>
  <si>
    <t>Total CO2captured 
with CCS (t/ yr)</t>
  </si>
  <si>
    <t>Total CO2captured 
with CCS (Mt/ yr)</t>
  </si>
  <si>
    <t>Net Power Output 
withCCS (MW)</t>
  </si>
  <si>
    <t>Badarpur/ 
NTPC</t>
  </si>
  <si>
    <t>Trombay/
Tata</t>
  </si>
  <si>
    <t>Ramagundam/ 
NTPC</t>
  </si>
  <si>
    <t>Dahanu/ 
Reliance</t>
  </si>
  <si>
    <t>Parameter</t>
  </si>
  <si>
    <t>Sheet 1.c., Row 18 (CCS, Cumulative Capacity)</t>
  </si>
  <si>
    <t>Source: IESS - Levels 1 to 4</t>
  </si>
  <si>
    <t>(MW)</t>
  </si>
  <si>
    <t>(GW)</t>
  </si>
  <si>
    <t>Lev 4 CO2
(t/yr)</t>
  </si>
  <si>
    <t>Lev 4 (MW)</t>
  </si>
  <si>
    <t>Lev 3 CO2
(t/yr)</t>
  </si>
  <si>
    <t>Lev 3 (MW)</t>
  </si>
  <si>
    <t>Lev 1 CO2
(t/yr)</t>
  </si>
  <si>
    <t>Lev 1 (MW)</t>
  </si>
  <si>
    <t>Lev 2 CO2
(t/yr)</t>
  </si>
  <si>
    <t>Lev 2 (MW)</t>
  </si>
  <si>
    <t>Region</t>
  </si>
  <si>
    <t>Non-OECD</t>
  </si>
  <si>
    <t>OECD</t>
  </si>
  <si>
    <t>This variable includes both OECD and Non-OECD data.  Specify either OECD or Non-OECD in cell B4 below.</t>
  </si>
  <si>
    <t>Pulp and paper</t>
  </si>
  <si>
    <t>Chemicals</t>
  </si>
  <si>
    <t>Iron and steel</t>
  </si>
  <si>
    <t>Cement</t>
  </si>
  <si>
    <t>LEFT graph</t>
  </si>
  <si>
    <t>DATA</t>
  </si>
  <si>
    <t>ETP 2017 figure 8_07 data</t>
  </si>
  <si>
    <t>Biomass with CCS</t>
  </si>
  <si>
    <t>Natural gas with CCS</t>
  </si>
  <si>
    <t>Coal with CCS</t>
  </si>
  <si>
    <t>ETP 2017 figure 8_04 data</t>
  </si>
  <si>
    <t>Total</t>
  </si>
  <si>
    <t>Other transformation</t>
  </si>
  <si>
    <t>Power</t>
  </si>
  <si>
    <t>Industry</t>
  </si>
  <si>
    <t>CO2 captured (Mt CO2)</t>
  </si>
  <si>
    <t>ETP 2017 data sheet, OECD tab</t>
  </si>
  <si>
    <t>biomass</t>
  </si>
  <si>
    <t>natural gas</t>
  </si>
  <si>
    <t>coal</t>
  </si>
  <si>
    <t>Mapped onto model electricity source categories</t>
  </si>
  <si>
    <t>chemicals</t>
  </si>
  <si>
    <t>iron and steel</t>
  </si>
  <si>
    <t>natural gas and petroleum systems</t>
  </si>
  <si>
    <t>cement and other carbonates</t>
  </si>
  <si>
    <t>Mapped onto model industry categories</t>
  </si>
  <si>
    <t>By Model Sector</t>
  </si>
  <si>
    <t>CCS Fraction by Entity by Year (tons CO2)</t>
  </si>
  <si>
    <t>We don't want to model these values exactly, as the timeline for future projects is uncertain.  We just want to get</t>
  </si>
  <si>
    <t>International Energy Agency</t>
  </si>
  <si>
    <t>Energy Technology Perspectives 2017 - Catalysing Energy Technology Transformations</t>
  </si>
  <si>
    <t>https://www.iea.org/etp2017/</t>
  </si>
  <si>
    <t>ETP 2017 scenario summary (OECD and NonOECD tabs), Figure 8-4 downloadable data, Figure 8-6 downloadable data</t>
  </si>
  <si>
    <t>BAU CCS Capacity Trajectory</t>
  </si>
  <si>
    <t>NITI Aayog</t>
  </si>
  <si>
    <t>India Energy Security Scenarios v2, Level 2 trajectory</t>
  </si>
  <si>
    <t>http://indiaenergy.gov.in/bkp/iess/publication.php</t>
  </si>
  <si>
    <t>Excel Model, Tab 1.c</t>
  </si>
  <si>
    <t>Fraction CCS by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</si>
</sst>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 ##0"/>
  </numFmts>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1"/>
      <name val="Cambria"/>
      <family val="2"/>
      <scheme val="major"/>
    </font>
    <font>
      <sz val="11"/>
      <color theme="0" tint="-0.499984740745262"/>
      <name val="Calibri"/>
      <family val="2"/>
      <scheme val="minor"/>
    </font>
    <font>
      <sz val="11"/>
      <name val="Calibri"/>
      <family val="2"/>
      <scheme val="minor"/>
    </font>
    <font>
      <b/>
      <sz val="11"/>
      <name val="Calibri"/>
      <family val="2"/>
      <scheme val="minor"/>
    </font>
    <font>
      <b/>
      <sz val="18"/>
      <color theme="1"/>
      <name val="Calibri"/>
      <family val="2"/>
      <scheme val="minor"/>
    </font>
    <font>
      <i/>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s>
  <borders count="5">
    <border>
      <left/>
      <right/>
      <top/>
      <bottom/>
      <diagonal/>
    </border>
    <border>
      <left/>
      <right/>
      <top style="thin">
        <color theme="1" tint="4.9989318521683403E-2"/>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1" tint="4.9989318521683403E-2"/>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9" fontId="3" fillId="0" borderId="0" applyFont="0" applyFill="0" applyBorder="0" applyAlignment="0" applyProtection="0"/>
    <xf numFmtId="0" fontId="13" fillId="0" borderId="0" applyNumberFormat="0" applyFill="0" applyBorder="0" applyAlignment="0" applyProtection="0"/>
  </cellStyleXfs>
  <cellXfs count="53">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xf numFmtId="2" fontId="0" fillId="0" borderId="0" xfId="0" applyNumberFormat="1"/>
    <xf numFmtId="0" fontId="2" fillId="0" borderId="0" xfId="0" applyFont="1" applyAlignment="1">
      <alignment wrapText="1"/>
    </xf>
    <xf numFmtId="2" fontId="0" fillId="3" borderId="0" xfId="0" applyNumberFormat="1" applyFill="1"/>
    <xf numFmtId="0" fontId="6" fillId="0" borderId="0" xfId="0" applyFont="1"/>
    <xf numFmtId="0" fontId="7" fillId="5" borderId="1" xfId="0" applyNumberFormat="1" applyFont="1" applyFill="1" applyBorder="1" applyAlignment="1">
      <alignment horizontal="right" vertical="center"/>
    </xf>
    <xf numFmtId="0" fontId="0" fillId="0" borderId="2" xfId="0" applyBorder="1"/>
    <xf numFmtId="0" fontId="6" fillId="0" borderId="0" xfId="0" applyFont="1" applyAlignment="1">
      <alignment wrapText="1"/>
    </xf>
    <xf numFmtId="0" fontId="7" fillId="5" borderId="3" xfId="0" applyNumberFormat="1" applyFont="1" applyFill="1" applyBorder="1" applyAlignment="1">
      <alignment horizontal="right" vertical="center"/>
    </xf>
    <xf numFmtId="0" fontId="0" fillId="3" borderId="4" xfId="0" applyFill="1" applyBorder="1"/>
    <xf numFmtId="0" fontId="8" fillId="0" borderId="0" xfId="0" applyFont="1"/>
    <xf numFmtId="2" fontId="9" fillId="6" borderId="0" xfId="0" applyNumberFormat="1" applyFont="1" applyFill="1"/>
    <xf numFmtId="0" fontId="9" fillId="6" borderId="0" xfId="0" applyFont="1" applyFill="1"/>
    <xf numFmtId="0" fontId="10" fillId="6" borderId="0" xfId="0" applyFont="1" applyFill="1"/>
    <xf numFmtId="0" fontId="0" fillId="6" borderId="0" xfId="0" applyFill="1" applyAlignment="1">
      <alignment horizontal="right"/>
    </xf>
    <xf numFmtId="0" fontId="11" fillId="6" borderId="0" xfId="0" applyFont="1" applyFill="1"/>
    <xf numFmtId="0" fontId="12" fillId="6" borderId="0" xfId="0" applyFont="1" applyFill="1"/>
    <xf numFmtId="1" fontId="9" fillId="6" borderId="0" xfId="0" applyNumberFormat="1" applyFont="1" applyFill="1" applyAlignment="1">
      <alignment horizontal="center"/>
    </xf>
    <xf numFmtId="0" fontId="10" fillId="6" borderId="0" xfId="0" applyFont="1" applyFill="1" applyAlignment="1">
      <alignment horizontal="center"/>
    </xf>
    <xf numFmtId="0" fontId="9" fillId="6" borderId="0" xfId="0" applyFont="1" applyFill="1" applyAlignment="1">
      <alignment horizontal="center"/>
    </xf>
    <xf numFmtId="166" fontId="1" fillId="6" borderId="0" xfId="0" applyNumberFormat="1" applyFont="1" applyFill="1"/>
    <xf numFmtId="166" fontId="1" fillId="6" borderId="0" xfId="0" applyNumberFormat="1" applyFont="1" applyFill="1" applyAlignment="1">
      <alignment wrapText="1"/>
    </xf>
    <xf numFmtId="166" fontId="0" fillId="6" borderId="0" xfId="0" applyNumberFormat="1" applyFill="1"/>
    <xf numFmtId="166" fontId="0" fillId="6" borderId="0" xfId="0" applyNumberFormat="1" applyFill="1" applyAlignment="1">
      <alignment wrapText="1"/>
    </xf>
    <xf numFmtId="166" fontId="5" fillId="7" borderId="0" xfId="0" applyNumberFormat="1" applyFont="1" applyFill="1"/>
    <xf numFmtId="166" fontId="4" fillId="7" borderId="0" xfId="0" applyNumberFormat="1" applyFont="1" applyFill="1"/>
    <xf numFmtId="165" fontId="0" fillId="0" borderId="0" xfId="1" applyNumberFormat="1" applyFont="1"/>
    <xf numFmtId="9" fontId="0" fillId="0" borderId="0" xfId="1" applyFont="1"/>
    <xf numFmtId="165" fontId="0" fillId="0" borderId="0" xfId="1" applyNumberFormat="1" applyFont="1" applyFill="1"/>
    <xf numFmtId="0" fontId="0" fillId="0" borderId="0" xfId="0" applyAlignment="1">
      <alignment horizontal="left"/>
    </xf>
    <xf numFmtId="0" fontId="13" fillId="0" borderId="0" xfId="2"/>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L2 - IESS</c:v>
          </c:tx>
          <c:spPr>
            <a:ln w="28575" cap="rnd">
              <a:solidFill>
                <a:schemeClr val="accent1"/>
              </a:solidFill>
              <a:round/>
            </a:ln>
            <a:effectLst/>
          </c:spPr>
          <c:marker>
            <c:symbol val="none"/>
          </c:marker>
          <c:cat>
            <c:numRef>
              <c:f>'IESS data'!$E$22:$AN$22</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'IESS data'!$E$23:$AN$23</c:f>
              <c:numCache>
                <c:formatCode>General</c:formatCode>
                <c:ptCount val="36"/>
                <c:pt idx="0">
                  <c:v>0</c:v>
                </c:pt>
                <c:pt idx="1">
                  <c:v>0</c:v>
                </c:pt>
                <c:pt idx="2">
                  <c:v>0</c:v>
                </c:pt>
                <c:pt idx="3">
                  <c:v>1579370.8892707825</c:v>
                </c:pt>
                <c:pt idx="4">
                  <c:v>3158741.7785410881</c:v>
                </c:pt>
                <c:pt idx="5">
                  <c:v>4738112.6678118706</c:v>
                </c:pt>
                <c:pt idx="6">
                  <c:v>6317483.5570821762</c:v>
                </c:pt>
                <c:pt idx="7">
                  <c:v>7896854.4463527296</c:v>
                </c:pt>
                <c:pt idx="8">
                  <c:v>14214338.003433228</c:v>
                </c:pt>
                <c:pt idx="9">
                  <c:v>20531821.560516357</c:v>
                </c:pt>
                <c:pt idx="10">
                  <c:v>26849305.11759758</c:v>
                </c:pt>
                <c:pt idx="11">
                  <c:v>33166788.67468071</c:v>
                </c:pt>
                <c:pt idx="12">
                  <c:v>39484272.231763646</c:v>
                </c:pt>
                <c:pt idx="13">
                  <c:v>55277981.124469757</c:v>
                </c:pt>
                <c:pt idx="14">
                  <c:v>71071690.017177582</c:v>
                </c:pt>
                <c:pt idx="15">
                  <c:v>86865398.909881592</c:v>
                </c:pt>
                <c:pt idx="16">
                  <c:v>102659107.80258942</c:v>
                </c:pt>
                <c:pt idx="17">
                  <c:v>118452816.69529094</c:v>
                </c:pt>
                <c:pt idx="18">
                  <c:v>126349671.14164352</c:v>
                </c:pt>
                <c:pt idx="19">
                  <c:v>134246525.58799744</c:v>
                </c:pt>
                <c:pt idx="20">
                  <c:v>142143380.03434944</c:v>
                </c:pt>
                <c:pt idx="21">
                  <c:v>150040234.48070145</c:v>
                </c:pt>
                <c:pt idx="22">
                  <c:v>157937088.92705458</c:v>
                </c:pt>
                <c:pt idx="23">
                  <c:v>173730797.81975937</c:v>
                </c:pt>
                <c:pt idx="24">
                  <c:v>189524506.71246719</c:v>
                </c:pt>
                <c:pt idx="25">
                  <c:v>205318215.6051712</c:v>
                </c:pt>
                <c:pt idx="26">
                  <c:v>221111924.49787521</c:v>
                </c:pt>
                <c:pt idx="27">
                  <c:v>236905633.39058188</c:v>
                </c:pt>
                <c:pt idx="28">
                  <c:v>244802487.83693504</c:v>
                </c:pt>
                <c:pt idx="29">
                  <c:v>252699342.28328705</c:v>
                </c:pt>
                <c:pt idx="30">
                  <c:v>260596196.72964096</c:v>
                </c:pt>
                <c:pt idx="31">
                  <c:v>268493051.17599297</c:v>
                </c:pt>
                <c:pt idx="32">
                  <c:v>276389905.62234551</c:v>
                </c:pt>
                <c:pt idx="33">
                  <c:v>276389905.62234551</c:v>
                </c:pt>
                <c:pt idx="34">
                  <c:v>276389905.62234551</c:v>
                </c:pt>
                <c:pt idx="35">
                  <c:v>276389905.62234551</c:v>
                </c:pt>
              </c:numCache>
            </c:numRef>
          </c:val>
          <c:smooth val="0"/>
          <c:extLst>
            <c:ext xmlns:c16="http://schemas.microsoft.com/office/drawing/2014/chart" uri="{C3380CC4-5D6E-409C-BE32-E72D297353CC}">
              <c16:uniqueId val="{00000000-B2CA-4F1A-817D-72B7B9AB7A97}"/>
            </c:ext>
          </c:extLst>
        </c:ser>
        <c:ser>
          <c:idx val="1"/>
          <c:order val="1"/>
          <c:tx>
            <c:v>L1 - IESS/CSA-BTCS</c:v>
          </c:tx>
          <c:spPr>
            <a:ln w="28575" cap="rnd">
              <a:solidFill>
                <a:schemeClr val="accent2"/>
              </a:solidFill>
              <a:round/>
            </a:ln>
            <a:effectLst/>
          </c:spPr>
          <c:marker>
            <c:symbol val="none"/>
          </c:marker>
          <c:val>
            <c:numRef>
              <c:f>'IESS data'!$E$24:$AN$24</c:f>
              <c:numCache>
                <c:formatCode>General</c:formatCode>
                <c:ptCount val="36"/>
                <c:pt idx="0">
                  <c:v>0</c:v>
                </c:pt>
                <c:pt idx="1">
                  <c:v>0</c:v>
                </c:pt>
                <c:pt idx="2">
                  <c:v>0</c:v>
                </c:pt>
                <c:pt idx="3">
                  <c:v>0</c:v>
                </c:pt>
                <c:pt idx="4">
                  <c:v>0</c:v>
                </c:pt>
                <c:pt idx="5">
                  <c:v>0</c:v>
                </c:pt>
                <c:pt idx="6">
                  <c:v>0</c:v>
                </c:pt>
                <c:pt idx="7">
                  <c:v>0</c:v>
                </c:pt>
                <c:pt idx="8">
                  <c:v>1579370.8892703056</c:v>
                </c:pt>
                <c:pt idx="9">
                  <c:v>3158741.7785410881</c:v>
                </c:pt>
                <c:pt idx="10">
                  <c:v>4738112.6678113937</c:v>
                </c:pt>
                <c:pt idx="11">
                  <c:v>6317483.5570821762</c:v>
                </c:pt>
                <c:pt idx="12">
                  <c:v>7896854.4463527296</c:v>
                </c:pt>
                <c:pt idx="13">
                  <c:v>9476225.3356232643</c:v>
                </c:pt>
                <c:pt idx="14">
                  <c:v>11055596.22489357</c:v>
                </c:pt>
                <c:pt idx="15">
                  <c:v>12634967.114164352</c:v>
                </c:pt>
                <c:pt idx="16">
                  <c:v>14214338.003434658</c:v>
                </c:pt>
                <c:pt idx="17">
                  <c:v>15793708.892705459</c:v>
                </c:pt>
                <c:pt idx="18">
                  <c:v>20531821.560518265</c:v>
                </c:pt>
                <c:pt idx="19">
                  <c:v>25269934.228328705</c:v>
                </c:pt>
                <c:pt idx="20">
                  <c:v>30008046.896141052</c:v>
                </c:pt>
                <c:pt idx="21">
                  <c:v>34746159.563951492</c:v>
                </c:pt>
                <c:pt idx="22">
                  <c:v>39484272.231763646</c:v>
                </c:pt>
                <c:pt idx="23">
                  <c:v>42643014.010305405</c:v>
                </c:pt>
                <c:pt idx="24">
                  <c:v>45801755.788846016</c:v>
                </c:pt>
                <c:pt idx="25">
                  <c:v>48960497.567387581</c:v>
                </c:pt>
                <c:pt idx="26">
                  <c:v>52119239.345928192</c:v>
                </c:pt>
                <c:pt idx="27">
                  <c:v>55277981.124469109</c:v>
                </c:pt>
                <c:pt idx="28">
                  <c:v>56857352.013739109</c:v>
                </c:pt>
                <c:pt idx="29">
                  <c:v>58436722.903009892</c:v>
                </c:pt>
                <c:pt idx="30">
                  <c:v>60016093.792280197</c:v>
                </c:pt>
                <c:pt idx="31">
                  <c:v>61595464.68155098</c:v>
                </c:pt>
                <c:pt idx="32">
                  <c:v>63174835.570821837</c:v>
                </c:pt>
                <c:pt idx="33">
                  <c:v>63174835.570821837</c:v>
                </c:pt>
                <c:pt idx="34">
                  <c:v>63174835.570821837</c:v>
                </c:pt>
                <c:pt idx="35">
                  <c:v>63174835.570821837</c:v>
                </c:pt>
              </c:numCache>
            </c:numRef>
          </c:val>
          <c:smooth val="0"/>
          <c:extLst>
            <c:ext xmlns:c16="http://schemas.microsoft.com/office/drawing/2014/chart" uri="{C3380CC4-5D6E-409C-BE32-E72D297353CC}">
              <c16:uniqueId val="{00000001-B2CA-4F1A-817D-72B7B9AB7A97}"/>
            </c:ext>
          </c:extLst>
        </c:ser>
        <c:ser>
          <c:idx val="2"/>
          <c:order val="2"/>
          <c:tx>
            <c:v>L3 - IESS</c:v>
          </c:tx>
          <c:spPr>
            <a:ln w="28575" cap="rnd">
              <a:solidFill>
                <a:schemeClr val="accent3"/>
              </a:solidFill>
              <a:round/>
            </a:ln>
            <a:effectLst/>
          </c:spPr>
          <c:marker>
            <c:symbol val="none"/>
          </c:marker>
          <c:val>
            <c:numRef>
              <c:f>'IESS data'!$E$25:$AN$25</c:f>
              <c:numCache>
                <c:formatCode>General</c:formatCode>
                <c:ptCount val="36"/>
                <c:pt idx="0">
                  <c:v>14214338.003435135</c:v>
                </c:pt>
                <c:pt idx="1">
                  <c:v>18952450.671247482</c:v>
                </c:pt>
                <c:pt idx="2">
                  <c:v>23690563.339058191</c:v>
                </c:pt>
                <c:pt idx="3">
                  <c:v>42643014.010299683</c:v>
                </c:pt>
                <c:pt idx="4">
                  <c:v>61595464.681549072</c:v>
                </c:pt>
                <c:pt idx="5">
                  <c:v>80547915.352790833</c:v>
                </c:pt>
                <c:pt idx="6">
                  <c:v>99500366.024040222</c:v>
                </c:pt>
                <c:pt idx="7">
                  <c:v>118452816.69529094</c:v>
                </c:pt>
                <c:pt idx="8">
                  <c:v>142143380.03434753</c:v>
                </c:pt>
                <c:pt idx="9">
                  <c:v>165833943.37340546</c:v>
                </c:pt>
                <c:pt idx="10">
                  <c:v>189524506.71246338</c:v>
                </c:pt>
                <c:pt idx="11">
                  <c:v>213215070.0515213</c:v>
                </c:pt>
                <c:pt idx="12">
                  <c:v>236905633.39058188</c:v>
                </c:pt>
                <c:pt idx="13">
                  <c:v>252699342.28328705</c:v>
                </c:pt>
                <c:pt idx="14">
                  <c:v>268493051.17599487</c:v>
                </c:pt>
                <c:pt idx="15">
                  <c:v>284286760.06869888</c:v>
                </c:pt>
                <c:pt idx="16">
                  <c:v>300080468.96140671</c:v>
                </c:pt>
                <c:pt idx="17">
                  <c:v>315874177.85410917</c:v>
                </c:pt>
                <c:pt idx="18">
                  <c:v>339564741.19316101</c:v>
                </c:pt>
                <c:pt idx="19">
                  <c:v>363255304.53221893</c:v>
                </c:pt>
                <c:pt idx="20">
                  <c:v>386945867.87128448</c:v>
                </c:pt>
                <c:pt idx="21">
                  <c:v>410636431.21034241</c:v>
                </c:pt>
                <c:pt idx="22">
                  <c:v>434326994.54940015</c:v>
                </c:pt>
                <c:pt idx="23">
                  <c:v>458017557.88846588</c:v>
                </c:pt>
                <c:pt idx="24">
                  <c:v>481708121.2275238</c:v>
                </c:pt>
                <c:pt idx="25">
                  <c:v>505398684.56658173</c:v>
                </c:pt>
                <c:pt idx="26">
                  <c:v>529089247.90563965</c:v>
                </c:pt>
                <c:pt idx="27">
                  <c:v>552779811.24469101</c:v>
                </c:pt>
                <c:pt idx="28">
                  <c:v>568573520.13739777</c:v>
                </c:pt>
                <c:pt idx="29">
                  <c:v>584367229.03010178</c:v>
                </c:pt>
                <c:pt idx="30">
                  <c:v>600160937.9228096</c:v>
                </c:pt>
                <c:pt idx="31">
                  <c:v>615954646.81551361</c:v>
                </c:pt>
                <c:pt idx="32">
                  <c:v>631748355.70821834</c:v>
                </c:pt>
                <c:pt idx="33">
                  <c:v>631748355.70821834</c:v>
                </c:pt>
                <c:pt idx="34">
                  <c:v>631748355.70821834</c:v>
                </c:pt>
                <c:pt idx="35">
                  <c:v>631748355.70821834</c:v>
                </c:pt>
              </c:numCache>
            </c:numRef>
          </c:val>
          <c:smooth val="0"/>
          <c:extLst>
            <c:ext xmlns:c16="http://schemas.microsoft.com/office/drawing/2014/chart" uri="{C3380CC4-5D6E-409C-BE32-E72D297353CC}">
              <c16:uniqueId val="{00000002-B2CA-4F1A-817D-72B7B9AB7A97}"/>
            </c:ext>
          </c:extLst>
        </c:ser>
        <c:ser>
          <c:idx val="3"/>
          <c:order val="3"/>
          <c:tx>
            <c:v>CSA-ACP</c:v>
          </c:tx>
          <c:spPr>
            <a:ln w="28575" cap="rnd">
              <a:solidFill>
                <a:schemeClr val="accent4"/>
              </a:solidFill>
              <a:round/>
            </a:ln>
            <a:effectLst/>
          </c:spPr>
          <c:marker>
            <c:symbol val="none"/>
          </c:marker>
          <c:val>
            <c:numRef>
              <c:f>'[2]CSA-ACP Calculations'!$A$15:$AJ$15</c:f>
              <c:numCache>
                <c:formatCode>General</c:formatCode>
                <c:ptCount val="36"/>
                <c:pt idx="0" formatCode="0.00">
                  <c:v>0</c:v>
                </c:pt>
                <c:pt idx="1">
                  <c:v>1000000</c:v>
                </c:pt>
                <c:pt idx="2">
                  <c:v>2000000</c:v>
                </c:pt>
                <c:pt idx="3">
                  <c:v>3000000</c:v>
                </c:pt>
                <c:pt idx="4">
                  <c:v>4000000</c:v>
                </c:pt>
                <c:pt idx="5">
                  <c:v>5000000</c:v>
                </c:pt>
                <c:pt idx="6">
                  <c:v>6000000</c:v>
                </c:pt>
                <c:pt idx="7">
                  <c:v>7000000</c:v>
                </c:pt>
                <c:pt idx="8">
                  <c:v>8000000</c:v>
                </c:pt>
                <c:pt idx="9">
                  <c:v>9000000</c:v>
                </c:pt>
                <c:pt idx="10" formatCode="0.00">
                  <c:v>10000000</c:v>
                </c:pt>
                <c:pt idx="11">
                  <c:v>50000000</c:v>
                </c:pt>
                <c:pt idx="12">
                  <c:v>90000000</c:v>
                </c:pt>
                <c:pt idx="13">
                  <c:v>130000000</c:v>
                </c:pt>
                <c:pt idx="14">
                  <c:v>170000000</c:v>
                </c:pt>
                <c:pt idx="15">
                  <c:v>210000000.00000003</c:v>
                </c:pt>
                <c:pt idx="16">
                  <c:v>272000000</c:v>
                </c:pt>
                <c:pt idx="17">
                  <c:v>334000000</c:v>
                </c:pt>
                <c:pt idx="18">
                  <c:v>396000000</c:v>
                </c:pt>
                <c:pt idx="19">
                  <c:v>458000000</c:v>
                </c:pt>
                <c:pt idx="20">
                  <c:v>520000000</c:v>
                </c:pt>
                <c:pt idx="21">
                  <c:v>552000000</c:v>
                </c:pt>
                <c:pt idx="22">
                  <c:v>584000000</c:v>
                </c:pt>
                <c:pt idx="23">
                  <c:v>616000000</c:v>
                </c:pt>
                <c:pt idx="24">
                  <c:v>648000000</c:v>
                </c:pt>
                <c:pt idx="25">
                  <c:v>679999999.99999988</c:v>
                </c:pt>
                <c:pt idx="26">
                  <c:v>710000000</c:v>
                </c:pt>
                <c:pt idx="27">
                  <c:v>740000000</c:v>
                </c:pt>
                <c:pt idx="28">
                  <c:v>770000000</c:v>
                </c:pt>
                <c:pt idx="29">
                  <c:v>800000000</c:v>
                </c:pt>
                <c:pt idx="30">
                  <c:v>830000000.00000012</c:v>
                </c:pt>
                <c:pt idx="31">
                  <c:v>778000000</c:v>
                </c:pt>
                <c:pt idx="32">
                  <c:v>726000000</c:v>
                </c:pt>
                <c:pt idx="33">
                  <c:v>674000000</c:v>
                </c:pt>
                <c:pt idx="34">
                  <c:v>622000000</c:v>
                </c:pt>
                <c:pt idx="35">
                  <c:v>570000000</c:v>
                </c:pt>
              </c:numCache>
            </c:numRef>
          </c:val>
          <c:smooth val="0"/>
          <c:extLst>
            <c:ext xmlns:c16="http://schemas.microsoft.com/office/drawing/2014/chart" uri="{C3380CC4-5D6E-409C-BE32-E72D297353CC}">
              <c16:uniqueId val="{00000003-B2CA-4F1A-817D-72B7B9AB7A97}"/>
            </c:ext>
          </c:extLst>
        </c:ser>
        <c:ser>
          <c:idx val="4"/>
          <c:order val="4"/>
          <c:tx>
            <c:v>L4 - IESS</c:v>
          </c:tx>
          <c:spPr>
            <a:ln w="28575" cap="rnd">
              <a:solidFill>
                <a:schemeClr val="accent5"/>
              </a:solidFill>
              <a:round/>
            </a:ln>
            <a:effectLst/>
          </c:spPr>
          <c:marker>
            <c:symbol val="none"/>
          </c:marker>
          <c:val>
            <c:numRef>
              <c:f>'IESS data'!$E$26:$AN$26</c:f>
              <c:numCache>
                <c:formatCode>General</c:formatCode>
                <c:ptCount val="36"/>
                <c:pt idx="0">
                  <c:v>23690563.339056015</c:v>
                </c:pt>
                <c:pt idx="1">
                  <c:v>31587417.785409927</c:v>
                </c:pt>
                <c:pt idx="2">
                  <c:v>39484272.231763646</c:v>
                </c:pt>
                <c:pt idx="3">
                  <c:v>78968544.463531494</c:v>
                </c:pt>
                <c:pt idx="4">
                  <c:v>118452816.69529724</c:v>
                </c:pt>
                <c:pt idx="5">
                  <c:v>157937088.92706299</c:v>
                </c:pt>
                <c:pt idx="6">
                  <c:v>197421361.15882874</c:v>
                </c:pt>
                <c:pt idx="7">
                  <c:v>236905633.39058188</c:v>
                </c:pt>
                <c:pt idx="8">
                  <c:v>260596196.72963715</c:v>
                </c:pt>
                <c:pt idx="9">
                  <c:v>284286760.06869507</c:v>
                </c:pt>
                <c:pt idx="10">
                  <c:v>307977323.40775299</c:v>
                </c:pt>
                <c:pt idx="11">
                  <c:v>331667886.74681091</c:v>
                </c:pt>
                <c:pt idx="12">
                  <c:v>355358450.08587283</c:v>
                </c:pt>
                <c:pt idx="13">
                  <c:v>379049013.42492676</c:v>
                </c:pt>
                <c:pt idx="14">
                  <c:v>402739576.76398468</c:v>
                </c:pt>
                <c:pt idx="15">
                  <c:v>426430140.1030426</c:v>
                </c:pt>
                <c:pt idx="16">
                  <c:v>450120703.44210052</c:v>
                </c:pt>
                <c:pt idx="17">
                  <c:v>473811266.78116375</c:v>
                </c:pt>
                <c:pt idx="18">
                  <c:v>489604975.67387009</c:v>
                </c:pt>
                <c:pt idx="19">
                  <c:v>505398684.56657791</c:v>
                </c:pt>
                <c:pt idx="20">
                  <c:v>521192393.45928192</c:v>
                </c:pt>
                <c:pt idx="21">
                  <c:v>536986102.35198593</c:v>
                </c:pt>
                <c:pt idx="22">
                  <c:v>552779811.24469101</c:v>
                </c:pt>
                <c:pt idx="23">
                  <c:v>576470374.58375549</c:v>
                </c:pt>
                <c:pt idx="24">
                  <c:v>600160937.92281342</c:v>
                </c:pt>
                <c:pt idx="25">
                  <c:v>623851501.26187134</c:v>
                </c:pt>
                <c:pt idx="26">
                  <c:v>647542064.60092926</c:v>
                </c:pt>
                <c:pt idx="27">
                  <c:v>671232627.93998206</c:v>
                </c:pt>
                <c:pt idx="28">
                  <c:v>679129482.38633537</c:v>
                </c:pt>
                <c:pt idx="29">
                  <c:v>687026336.83268738</c:v>
                </c:pt>
                <c:pt idx="30">
                  <c:v>694923191.27904129</c:v>
                </c:pt>
                <c:pt idx="31">
                  <c:v>702820045.7253933</c:v>
                </c:pt>
                <c:pt idx="32">
                  <c:v>710716900.17174566</c:v>
                </c:pt>
                <c:pt idx="33">
                  <c:v>710716900.17174566</c:v>
                </c:pt>
                <c:pt idx="34">
                  <c:v>710716900.17174566</c:v>
                </c:pt>
                <c:pt idx="35">
                  <c:v>710716900.17174566</c:v>
                </c:pt>
              </c:numCache>
            </c:numRef>
          </c:val>
          <c:smooth val="0"/>
          <c:extLst>
            <c:ext xmlns:c16="http://schemas.microsoft.com/office/drawing/2014/chart" uri="{C3380CC4-5D6E-409C-BE32-E72D297353CC}">
              <c16:uniqueId val="{00000004-B2CA-4F1A-817D-72B7B9AB7A97}"/>
            </c:ext>
          </c:extLst>
        </c:ser>
        <c:dLbls>
          <c:showLegendKey val="0"/>
          <c:showVal val="0"/>
          <c:showCatName val="0"/>
          <c:showSerName val="0"/>
          <c:showPercent val="0"/>
          <c:showBubbleSize val="0"/>
        </c:dLbls>
        <c:smooth val="0"/>
        <c:axId val="899678591"/>
        <c:axId val="975479727"/>
      </c:lineChart>
      <c:catAx>
        <c:axId val="8996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79727"/>
        <c:crosses val="autoZero"/>
        <c:auto val="1"/>
        <c:lblAlgn val="ctr"/>
        <c:lblOffset val="100"/>
        <c:noMultiLvlLbl val="0"/>
      </c:catAx>
      <c:valAx>
        <c:axId val="9754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78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Calculations'!$A$13</c:f>
              <c:strCache>
                <c:ptCount val="1"/>
                <c:pt idx="0">
                  <c:v>Electricity Sector</c:v>
                </c:pt>
              </c:strCache>
            </c:strRef>
          </c:tx>
          <c:spPr>
            <a:ln w="31750" cap="rnd">
              <a:solidFill>
                <a:schemeClr val="accent1"/>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Calculations'!$B$13:$AH$13</c:f>
              <c:numCache>
                <c:formatCode>0.00E+00</c:formatCode>
                <c:ptCount val="33"/>
                <c:pt idx="0">
                  <c:v>0</c:v>
                </c:pt>
                <c:pt idx="1">
                  <c:v>0</c:v>
                </c:pt>
                <c:pt idx="2">
                  <c:v>0</c:v>
                </c:pt>
                <c:pt idx="3">
                  <c:v>0</c:v>
                </c:pt>
                <c:pt idx="4">
                  <c:v>0</c:v>
                </c:pt>
                <c:pt idx="5">
                  <c:v>70971.294157325261</c:v>
                </c:pt>
                <c:pt idx="6">
                  <c:v>141942.58831467194</c:v>
                </c:pt>
                <c:pt idx="7">
                  <c:v>212913.8824719972</c:v>
                </c:pt>
                <c:pt idx="8">
                  <c:v>385850.66270159103</c:v>
                </c:pt>
                <c:pt idx="9">
                  <c:v>723212.27652095421</c:v>
                </c:pt>
                <c:pt idx="10">
                  <c:v>1156933.4695979012</c:v>
                </c:pt>
                <c:pt idx="11">
                  <c:v>1687014.2419323989</c:v>
                </c:pt>
                <c:pt idx="12">
                  <c:v>2313454.5935245547</c:v>
                </c:pt>
                <c:pt idx="13">
                  <c:v>3921655.5723768934</c:v>
                </c:pt>
                <c:pt idx="14">
                  <c:v>4593248.2411504723</c:v>
                </c:pt>
                <c:pt idx="15">
                  <c:v>6277831.822447083</c:v>
                </c:pt>
                <c:pt idx="16">
                  <c:v>8103927.3001819439</c:v>
                </c:pt>
                <c:pt idx="17">
                  <c:v>10071534.674356382</c:v>
                </c:pt>
                <c:pt idx="18">
                  <c:v>13551982.478360808</c:v>
                </c:pt>
                <c:pt idx="19">
                  <c:v>15600031.021162115</c:v>
                </c:pt>
                <c:pt idx="20">
                  <c:v>17064088.509540111</c:v>
                </c:pt>
                <c:pt idx="21">
                  <c:v>18560154.147056125</c:v>
                </c:pt>
                <c:pt idx="22">
                  <c:v>20088227.933711011</c:v>
                </c:pt>
                <c:pt idx="23">
                  <c:v>25136356.80065022</c:v>
                </c:pt>
                <c:pt idx="24">
                  <c:v>26014982.740574609</c:v>
                </c:pt>
                <c:pt idx="25">
                  <c:v>26095055.777303733</c:v>
                </c:pt>
                <c:pt idx="26">
                  <c:v>26138283.692676004</c:v>
                </c:pt>
                <c:pt idx="27">
                  <c:v>26144666.486690842</c:v>
                </c:pt>
                <c:pt idx="28">
                  <c:v>26114204.159348674</c:v>
                </c:pt>
                <c:pt idx="29">
                  <c:v>26046896.710649315</c:v>
                </c:pt>
                <c:pt idx="30">
                  <c:v>25309994.283504982</c:v>
                </c:pt>
                <c:pt idx="31">
                  <c:v>24573091.856360648</c:v>
                </c:pt>
                <c:pt idx="32">
                  <c:v>23836189.429216314</c:v>
                </c:pt>
              </c:numCache>
            </c:numRef>
          </c:yVal>
          <c:smooth val="0"/>
          <c:extLst>
            <c:ext xmlns:c16="http://schemas.microsoft.com/office/drawing/2014/chart" uri="{C3380CC4-5D6E-409C-BE32-E72D297353CC}">
              <c16:uniqueId val="{00000000-B0C9-422C-89FE-E0742A40CC3E}"/>
            </c:ext>
          </c:extLst>
        </c:ser>
        <c:ser>
          <c:idx val="1"/>
          <c:order val="1"/>
          <c:tx>
            <c:strRef>
              <c:f>'BAU Calculations'!$A$14</c:f>
              <c:strCache>
                <c:ptCount val="1"/>
                <c:pt idx="0">
                  <c:v>Industry (all other)</c:v>
                </c:pt>
              </c:strCache>
            </c:strRef>
          </c:tx>
          <c:spPr>
            <a:ln w="31750" cap="rnd">
              <a:solidFill>
                <a:schemeClr val="accent2"/>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Calculations'!$B$14:$AH$14</c:f>
              <c:numCache>
                <c:formatCode>0.00E+00</c:formatCode>
                <c:ptCount val="33"/>
                <c:pt idx="0">
                  <c:v>0</c:v>
                </c:pt>
                <c:pt idx="1">
                  <c:v>0</c:v>
                </c:pt>
                <c:pt idx="2">
                  <c:v>0</c:v>
                </c:pt>
                <c:pt idx="3">
                  <c:v>0</c:v>
                </c:pt>
                <c:pt idx="4">
                  <c:v>0</c:v>
                </c:pt>
                <c:pt idx="5">
                  <c:v>1508399.5951129803</c:v>
                </c:pt>
                <c:pt idx="6">
                  <c:v>3016799.1902264161</c:v>
                </c:pt>
                <c:pt idx="7">
                  <c:v>4525198.7853393964</c:v>
                </c:pt>
                <c:pt idx="8">
                  <c:v>5931632.8943805853</c:v>
                </c:pt>
                <c:pt idx="9">
                  <c:v>7173642.1698317761</c:v>
                </c:pt>
                <c:pt idx="10">
                  <c:v>8319291.8660253631</c:v>
                </c:pt>
                <c:pt idx="11">
                  <c:v>9368581.9829611704</c:v>
                </c:pt>
                <c:pt idx="12">
                  <c:v>10321512.520639798</c:v>
                </c:pt>
                <c:pt idx="13">
                  <c:v>10292682.431057764</c:v>
                </c:pt>
                <c:pt idx="14">
                  <c:v>11200460.651554987</c:v>
                </c:pt>
                <c:pt idx="15">
                  <c:v>14253989.738071183</c:v>
                </c:pt>
                <c:pt idx="16">
                  <c:v>17166006.928146761</c:v>
                </c:pt>
                <c:pt idx="17">
                  <c:v>19936512.22178467</c:v>
                </c:pt>
                <c:pt idx="18">
                  <c:v>21194177.085590683</c:v>
                </c:pt>
                <c:pt idx="19">
                  <c:v>23884241.210601531</c:v>
                </c:pt>
                <c:pt idx="20">
                  <c:v>25578925.500765294</c:v>
                </c:pt>
                <c:pt idx="21">
                  <c:v>27241601.641789887</c:v>
                </c:pt>
                <c:pt idx="22">
                  <c:v>28872269.63367657</c:v>
                </c:pt>
                <c:pt idx="23">
                  <c:v>26982882.545277972</c:v>
                </c:pt>
                <c:pt idx="24">
                  <c:v>29262998.383894496</c:v>
                </c:pt>
                <c:pt idx="25">
                  <c:v>30762296.236435376</c:v>
                </c:pt>
                <c:pt idx="26">
                  <c:v>32298439.210333891</c:v>
                </c:pt>
                <c:pt idx="27">
                  <c:v>33871427.305589356</c:v>
                </c:pt>
                <c:pt idx="28">
                  <c:v>35481260.522202305</c:v>
                </c:pt>
                <c:pt idx="29">
                  <c:v>37127938.860172525</c:v>
                </c:pt>
                <c:pt idx="30">
                  <c:v>37864841.287316859</c:v>
                </c:pt>
                <c:pt idx="31">
                  <c:v>38601743.714461192</c:v>
                </c:pt>
                <c:pt idx="32">
                  <c:v>39338646.141605519</c:v>
                </c:pt>
              </c:numCache>
            </c:numRef>
          </c:yVal>
          <c:smooth val="0"/>
          <c:extLst>
            <c:ext xmlns:c16="http://schemas.microsoft.com/office/drawing/2014/chart" uri="{C3380CC4-5D6E-409C-BE32-E72D297353CC}">
              <c16:uniqueId val="{00000001-B0C9-422C-89FE-E0742A40CC3E}"/>
            </c:ext>
          </c:extLst>
        </c:ser>
        <c:ser>
          <c:idx val="2"/>
          <c:order val="2"/>
          <c:tx>
            <c:strRef>
              <c:f>'BAU Calculations'!$A$23</c:f>
              <c:strCache>
                <c:ptCount val="1"/>
                <c:pt idx="0">
                  <c:v>Electricity Sector (trend)</c:v>
                </c:pt>
              </c:strCache>
            </c:strRef>
          </c:tx>
          <c:spPr>
            <a:ln w="31750" cap="rnd">
              <a:solidFill>
                <a:schemeClr val="accent3"/>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Calculations'!$B$23:$AH$23</c:f>
              <c:numCache>
                <c:formatCode>0.00E+00</c:formatCode>
                <c:ptCount val="33"/>
                <c:pt idx="0">
                  <c:v>0</c:v>
                </c:pt>
                <c:pt idx="1">
                  <c:v>0</c:v>
                </c:pt>
                <c:pt idx="2">
                  <c:v>0</c:v>
                </c:pt>
                <c:pt idx="3">
                  <c:v>0</c:v>
                </c:pt>
                <c:pt idx="4">
                  <c:v>0</c:v>
                </c:pt>
                <c:pt idx="5">
                  <c:v>0</c:v>
                </c:pt>
                <c:pt idx="6">
                  <c:v>0</c:v>
                </c:pt>
                <c:pt idx="7">
                  <c:v>0</c:v>
                </c:pt>
                <c:pt idx="8">
                  <c:v>489789.42736721039</c:v>
                </c:pt>
                <c:pt idx="9">
                  <c:v>1735437.701789856</c:v>
                </c:pt>
                <c:pt idx="10">
                  <c:v>2981085.9762125015</c:v>
                </c:pt>
                <c:pt idx="11">
                  <c:v>4226734.2506351471</c:v>
                </c:pt>
                <c:pt idx="12">
                  <c:v>5472382.5250577927</c:v>
                </c:pt>
                <c:pt idx="13">
                  <c:v>6718030.7994804382</c:v>
                </c:pt>
                <c:pt idx="14">
                  <c:v>7963679.0739030838</c:v>
                </c:pt>
                <c:pt idx="15">
                  <c:v>9209327.3483257294</c:v>
                </c:pt>
                <c:pt idx="16">
                  <c:v>10454975.622748375</c:v>
                </c:pt>
                <c:pt idx="17">
                  <c:v>11700623.897171021</c:v>
                </c:pt>
                <c:pt idx="18">
                  <c:v>12946272.171593666</c:v>
                </c:pt>
                <c:pt idx="19">
                  <c:v>14191920.446016312</c:v>
                </c:pt>
                <c:pt idx="20">
                  <c:v>15437568.720438957</c:v>
                </c:pt>
                <c:pt idx="21">
                  <c:v>16683216.994861603</c:v>
                </c:pt>
                <c:pt idx="22">
                  <c:v>17928865.269284248</c:v>
                </c:pt>
                <c:pt idx="23">
                  <c:v>19174513.543706417</c:v>
                </c:pt>
                <c:pt idx="24">
                  <c:v>20420161.818129063</c:v>
                </c:pt>
                <c:pt idx="25">
                  <c:v>21665810.092551708</c:v>
                </c:pt>
                <c:pt idx="26">
                  <c:v>22911458.366974354</c:v>
                </c:pt>
                <c:pt idx="27">
                  <c:v>24157106.641396999</c:v>
                </c:pt>
                <c:pt idx="28">
                  <c:v>25402754.915819645</c:v>
                </c:pt>
                <c:pt idx="29">
                  <c:v>26648403.19024229</c:v>
                </c:pt>
                <c:pt idx="30">
                  <c:v>27894051.464664936</c:v>
                </c:pt>
                <c:pt idx="31">
                  <c:v>29139699.739087582</c:v>
                </c:pt>
                <c:pt idx="32">
                  <c:v>30385348.013510227</c:v>
                </c:pt>
              </c:numCache>
            </c:numRef>
          </c:yVal>
          <c:smooth val="0"/>
          <c:extLst>
            <c:ext xmlns:c16="http://schemas.microsoft.com/office/drawing/2014/chart" uri="{C3380CC4-5D6E-409C-BE32-E72D297353CC}">
              <c16:uniqueId val="{00000002-B0C9-422C-89FE-E0742A40CC3E}"/>
            </c:ext>
          </c:extLst>
        </c:ser>
        <c:ser>
          <c:idx val="3"/>
          <c:order val="3"/>
          <c:tx>
            <c:strRef>
              <c:f>'BAU Calculations'!$A$24</c:f>
              <c:strCache>
                <c:ptCount val="1"/>
                <c:pt idx="0">
                  <c:v>Industry (all other) (trend)</c:v>
                </c:pt>
              </c:strCache>
            </c:strRef>
          </c:tx>
          <c:spPr>
            <a:ln w="31750" cap="rnd">
              <a:solidFill>
                <a:schemeClr val="accent4"/>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Calculations'!$B$24:$AH$24</c:f>
              <c:numCache>
                <c:formatCode>0.00E+00</c:formatCode>
                <c:ptCount val="33"/>
                <c:pt idx="0">
                  <c:v>0</c:v>
                </c:pt>
                <c:pt idx="1">
                  <c:v>0</c:v>
                </c:pt>
                <c:pt idx="2">
                  <c:v>0</c:v>
                </c:pt>
                <c:pt idx="3">
                  <c:v>0</c:v>
                </c:pt>
                <c:pt idx="4">
                  <c:v>0</c:v>
                </c:pt>
                <c:pt idx="5">
                  <c:v>1029812.0291905403</c:v>
                </c:pt>
                <c:pt idx="6">
                  <c:v>2518022.7790250778</c:v>
                </c:pt>
                <c:pt idx="7">
                  <c:v>4006233.5288600922</c:v>
                </c:pt>
                <c:pt idx="8">
                  <c:v>5494444.2786946297</c:v>
                </c:pt>
                <c:pt idx="9">
                  <c:v>6982655.0285291672</c:v>
                </c:pt>
                <c:pt idx="10">
                  <c:v>8470865.7783641815</c:v>
                </c:pt>
                <c:pt idx="11">
                  <c:v>9959076.528198719</c:v>
                </c:pt>
                <c:pt idx="12">
                  <c:v>11447287.278033257</c:v>
                </c:pt>
                <c:pt idx="13">
                  <c:v>12935498.027868271</c:v>
                </c:pt>
                <c:pt idx="14">
                  <c:v>14423708.777702808</c:v>
                </c:pt>
                <c:pt idx="15">
                  <c:v>15911919.527537346</c:v>
                </c:pt>
                <c:pt idx="16">
                  <c:v>17400130.27737236</c:v>
                </c:pt>
                <c:pt idx="17">
                  <c:v>18888341.027206898</c:v>
                </c:pt>
                <c:pt idx="18">
                  <c:v>20376551.777041435</c:v>
                </c:pt>
                <c:pt idx="19">
                  <c:v>21864762.526875973</c:v>
                </c:pt>
                <c:pt idx="20">
                  <c:v>23352973.276710987</c:v>
                </c:pt>
                <c:pt idx="21">
                  <c:v>24841184.026545525</c:v>
                </c:pt>
                <c:pt idx="22">
                  <c:v>26329394.776380062</c:v>
                </c:pt>
                <c:pt idx="23">
                  <c:v>27817605.526215076</c:v>
                </c:pt>
                <c:pt idx="24">
                  <c:v>29305816.276049614</c:v>
                </c:pt>
                <c:pt idx="25">
                  <c:v>30794027.025884151</c:v>
                </c:pt>
                <c:pt idx="26">
                  <c:v>32282237.775719166</c:v>
                </c:pt>
                <c:pt idx="27">
                  <c:v>33770448.525553703</c:v>
                </c:pt>
                <c:pt idx="28">
                  <c:v>35258659.275388241</c:v>
                </c:pt>
                <c:pt idx="29">
                  <c:v>36746870.025223255</c:v>
                </c:pt>
                <c:pt idx="30">
                  <c:v>38235080.775057793</c:v>
                </c:pt>
                <c:pt idx="31">
                  <c:v>39723291.52489233</c:v>
                </c:pt>
                <c:pt idx="32">
                  <c:v>41211502.274727345</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Calculations'!$A$56</c:f>
              <c:strCache>
                <c:ptCount val="1"/>
                <c:pt idx="0">
                  <c:v>Electricity Sector</c:v>
                </c:pt>
              </c:strCache>
            </c:strRef>
          </c:tx>
          <c:spPr>
            <a:ln w="28575" cap="rnd">
              <a:solidFill>
                <a:schemeClr val="accent1"/>
              </a:solidFill>
              <a:round/>
            </a:ln>
            <a:effectLst/>
          </c:spPr>
          <c:marker>
            <c:symbol val="none"/>
          </c:marker>
          <c:xVal>
            <c:numRef>
              <c:f>'BAU Calculations'!$B$55:$AH$55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Calculations'!$B$56:$AH$56</c:f>
              <c:numCache>
                <c:formatCode>General</c:formatCode>
                <c:ptCount val="33"/>
                <c:pt idx="0">
                  <c:v>0</c:v>
                </c:pt>
                <c:pt idx="1">
                  <c:v>0</c:v>
                </c:pt>
                <c:pt idx="2">
                  <c:v>0</c:v>
                </c:pt>
                <c:pt idx="3">
                  <c:v>0</c:v>
                </c:pt>
                <c:pt idx="4">
                  <c:v>0</c:v>
                </c:pt>
                <c:pt idx="5">
                  <c:v>0</c:v>
                </c:pt>
                <c:pt idx="6">
                  <c:v>0</c:v>
                </c:pt>
                <c:pt idx="7">
                  <c:v>0</c:v>
                </c:pt>
                <c:pt idx="8">
                  <c:v>3.7460853967372895E-4</c:v>
                </c:pt>
                <c:pt idx="9">
                  <c:v>1.328198698762336E-3</c:v>
                </c:pt>
                <c:pt idx="10">
                  <c:v>2.2525963247789797E-3</c:v>
                </c:pt>
                <c:pt idx="11">
                  <c:v>3.1102255004747288E-3</c:v>
                </c:pt>
                <c:pt idx="12">
                  <c:v>3.929671921941858E-3</c:v>
                </c:pt>
                <c:pt idx="13">
                  <c:v>4.7011453999807129E-3</c:v>
                </c:pt>
                <c:pt idx="14">
                  <c:v>5.4347712949410938E-3</c:v>
                </c:pt>
                <c:pt idx="15">
                  <c:v>6.1079125783944027E-3</c:v>
                </c:pt>
                <c:pt idx="16">
                  <c:v>6.8582401555642566E-3</c:v>
                </c:pt>
                <c:pt idx="17">
                  <c:v>7.5918427061665962E-3</c:v>
                </c:pt>
                <c:pt idx="18">
                  <c:v>8.3179811179460977E-3</c:v>
                </c:pt>
                <c:pt idx="19">
                  <c:v>9.0227161414297777E-3</c:v>
                </c:pt>
                <c:pt idx="20">
                  <c:v>9.7028162211125792E-3</c:v>
                </c:pt>
                <c:pt idx="21">
                  <c:v>1.0393621113959906E-2</c:v>
                </c:pt>
                <c:pt idx="22">
                  <c:v>1.1090065486425254E-2</c:v>
                </c:pt>
                <c:pt idx="23">
                  <c:v>1.1783095541487024E-2</c:v>
                </c:pt>
                <c:pt idx="24">
                  <c:v>1.2471546421713916E-2</c:v>
                </c:pt>
                <c:pt idx="25">
                  <c:v>1.3212712814938502E-2</c:v>
                </c:pt>
                <c:pt idx="26">
                  <c:v>1.394820338788535E-2</c:v>
                </c:pt>
                <c:pt idx="27">
                  <c:v>1.4677943773216228E-2</c:v>
                </c:pt>
                <c:pt idx="28">
                  <c:v>1.54086830740141E-2</c:v>
                </c:pt>
                <c:pt idx="29">
                  <c:v>1.6134901423009378E-2</c:v>
                </c:pt>
                <c:pt idx="30">
                  <c:v>1.6849932020891689E-2</c:v>
                </c:pt>
                <c:pt idx="31">
                  <c:v>1.7564722957394308E-2</c:v>
                </c:pt>
                <c:pt idx="32">
                  <c:v>1.8277780593057246E-2</c:v>
                </c:pt>
              </c:numCache>
            </c:numRef>
          </c:yVal>
          <c:smooth val="0"/>
          <c:extLst>
            <c:ext xmlns:c16="http://schemas.microsoft.com/office/drawing/2014/chart" uri="{C3380CC4-5D6E-409C-BE32-E72D297353CC}">
              <c16:uniqueId val="{00000000-2511-4156-BADF-60177B593443}"/>
            </c:ext>
          </c:extLst>
        </c:ser>
        <c:ser>
          <c:idx val="1"/>
          <c:order val="1"/>
          <c:tx>
            <c:strRef>
              <c:f>'BAU Calculations'!$A$57</c:f>
              <c:strCache>
                <c:ptCount val="1"/>
                <c:pt idx="0">
                  <c:v>Industry (all other)</c:v>
                </c:pt>
              </c:strCache>
            </c:strRef>
          </c:tx>
          <c:spPr>
            <a:ln w="28575" cap="rnd">
              <a:solidFill>
                <a:schemeClr val="accent2"/>
              </a:solidFill>
              <a:round/>
            </a:ln>
            <a:effectLst/>
          </c:spPr>
          <c:marker>
            <c:symbol val="none"/>
          </c:marker>
          <c:xVal>
            <c:numRef>
              <c:f>'BAU Calculations'!$B$55:$AH$55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Calculations'!$B$57:$AH$57</c:f>
              <c:numCache>
                <c:formatCode>General</c:formatCode>
                <c:ptCount val="33"/>
                <c:pt idx="0">
                  <c:v>0</c:v>
                </c:pt>
                <c:pt idx="1">
                  <c:v>0</c:v>
                </c:pt>
                <c:pt idx="2">
                  <c:v>0</c:v>
                </c:pt>
                <c:pt idx="3">
                  <c:v>0</c:v>
                </c:pt>
                <c:pt idx="4">
                  <c:v>0</c:v>
                </c:pt>
                <c:pt idx="5">
                  <c:v>8.0662021554832016E-4</c:v>
                </c:pt>
                <c:pt idx="6">
                  <c:v>1.8798790400796422E-3</c:v>
                </c:pt>
                <c:pt idx="7">
                  <c:v>2.8605124694651971E-3</c:v>
                </c:pt>
                <c:pt idx="8">
                  <c:v>3.7544975015508975E-3</c:v>
                </c:pt>
                <c:pt idx="9">
                  <c:v>4.5753099468792049E-3</c:v>
                </c:pt>
                <c:pt idx="10">
                  <c:v>5.3191581759501807E-3</c:v>
                </c:pt>
                <c:pt idx="11">
                  <c:v>6.0032047356167227E-3</c:v>
                </c:pt>
                <c:pt idx="12">
                  <c:v>6.6353392522798841E-3</c:v>
                </c:pt>
                <c:pt idx="13">
                  <c:v>7.2734673608300885E-3</c:v>
                </c:pt>
                <c:pt idx="14">
                  <c:v>7.8753098687437181E-3</c:v>
                </c:pt>
                <c:pt idx="15">
                  <c:v>8.4181587710956806E-3</c:v>
                </c:pt>
                <c:pt idx="16">
                  <c:v>8.9293255727669711E-3</c:v>
                </c:pt>
                <c:pt idx="17">
                  <c:v>9.4095902693635391E-3</c:v>
                </c:pt>
                <c:pt idx="18">
                  <c:v>9.7873846147025021E-3</c:v>
                </c:pt>
                <c:pt idx="19">
                  <c:v>1.0139333308698159E-2</c:v>
                </c:pt>
                <c:pt idx="20">
                  <c:v>1.0422410138446874E-2</c:v>
                </c:pt>
                <c:pt idx="21">
                  <c:v>1.0685713068101193E-2</c:v>
                </c:pt>
                <c:pt idx="22">
                  <c:v>1.0930094265981453E-2</c:v>
                </c:pt>
                <c:pt idx="23">
                  <c:v>1.1205164618204151E-2</c:v>
                </c:pt>
                <c:pt idx="24">
                  <c:v>1.146339142491389E-2</c:v>
                </c:pt>
                <c:pt idx="25">
                  <c:v>1.175308655685481E-2</c:v>
                </c:pt>
                <c:pt idx="26">
                  <c:v>1.2029855590521058E-2</c:v>
                </c:pt>
                <c:pt idx="27">
                  <c:v>1.2293216260740022E-2</c:v>
                </c:pt>
                <c:pt idx="28">
                  <c:v>1.2528527566789342E-2</c:v>
                </c:pt>
                <c:pt idx="29">
                  <c:v>1.2752201035262669E-2</c:v>
                </c:pt>
                <c:pt idx="30">
                  <c:v>1.2967330188890815E-2</c:v>
                </c:pt>
                <c:pt idx="31">
                  <c:v>1.3172119177537737E-2</c:v>
                </c:pt>
                <c:pt idx="32">
                  <c:v>1.3368812089146174E-2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690561</xdr:colOff>
      <xdr:row>28</xdr:row>
      <xdr:rowOff>178594</xdr:rowOff>
    </xdr:from>
    <xdr:to>
      <xdr:col>12</xdr:col>
      <xdr:colOff>214312</xdr:colOff>
      <xdr:row>47</xdr:row>
      <xdr:rowOff>95249</xdr:rowOff>
    </xdr:to>
    <xdr:graphicFrame macro="">
      <xdr:nvGraphicFramePr>
        <xdr:cNvPr id="2" name="Chart 1">
          <a:extLst>
            <a:ext uri="{FF2B5EF4-FFF2-40B4-BE49-F238E27FC236}">
              <a16:creationId xmlns:a16="http://schemas.microsoft.com/office/drawing/2014/main" id="{3A621BBC-9A85-45B7-89A1-DB3137439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24</xdr:row>
      <xdr:rowOff>180975</xdr:rowOff>
    </xdr:from>
    <xdr:to>
      <xdr:col>8</xdr:col>
      <xdr:colOff>288925</xdr:colOff>
      <xdr:row>39</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57</xdr:row>
      <xdr:rowOff>180975</xdr:rowOff>
    </xdr:from>
    <xdr:to>
      <xdr:col>8</xdr:col>
      <xdr:colOff>276225</xdr:colOff>
      <xdr:row>72</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ept/OneDrive/Desktop/Copy%20of%20IESS_Version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eghan/Documents/eps-india/InputData/ccs/Old/CSA/Carbon%20Sequestration%20Amou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V.a"/>
      <sheetName val="XV.b"/>
      <sheetName val="XV.c"/>
      <sheetName val="XVI"/>
      <sheetName val="XVII.a"/>
      <sheetName val="XVII.b"/>
      <sheetName val="XIV"/>
      <sheetName val="Intermediate output"/>
      <sheetName val="Charts"/>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ow r="55">
          <cell r="F55">
            <v>1</v>
          </cell>
        </row>
      </sheetData>
      <sheetData sheetId="57" refreshError="1"/>
      <sheetData sheetId="58" refreshError="1"/>
      <sheetData sheetId="59" refreshError="1"/>
      <sheetData sheetId="6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ETP 2017 data"/>
      <sheetName val="CSA-ACP Calculations"/>
      <sheetName val="CSA-BTCS"/>
      <sheetName val="CSA-ACP"/>
    </sheetNames>
    <sheetDataSet>
      <sheetData sheetId="0"/>
      <sheetData sheetId="1"/>
      <sheetData sheetId="2">
        <row r="15">
          <cell r="A15">
            <v>0</v>
          </cell>
          <cell r="B15">
            <v>1000000</v>
          </cell>
          <cell r="C15">
            <v>2000000</v>
          </cell>
          <cell r="D15">
            <v>3000000</v>
          </cell>
          <cell r="E15">
            <v>4000000</v>
          </cell>
          <cell r="F15">
            <v>5000000</v>
          </cell>
          <cell r="G15">
            <v>6000000</v>
          </cell>
          <cell r="H15">
            <v>7000000</v>
          </cell>
          <cell r="I15">
            <v>8000000</v>
          </cell>
          <cell r="J15">
            <v>9000000</v>
          </cell>
          <cell r="K15">
            <v>10000000</v>
          </cell>
          <cell r="L15">
            <v>50000000</v>
          </cell>
          <cell r="M15">
            <v>90000000</v>
          </cell>
          <cell r="N15">
            <v>130000000</v>
          </cell>
          <cell r="O15">
            <v>170000000</v>
          </cell>
          <cell r="P15">
            <v>210000000.00000003</v>
          </cell>
          <cell r="Q15">
            <v>272000000</v>
          </cell>
          <cell r="R15">
            <v>334000000</v>
          </cell>
          <cell r="S15">
            <v>396000000</v>
          </cell>
          <cell r="T15">
            <v>458000000</v>
          </cell>
          <cell r="U15">
            <v>520000000</v>
          </cell>
          <cell r="V15">
            <v>552000000</v>
          </cell>
          <cell r="W15">
            <v>584000000</v>
          </cell>
          <cell r="X15">
            <v>616000000</v>
          </cell>
          <cell r="Y15">
            <v>648000000</v>
          </cell>
          <cell r="Z15">
            <v>679999999.99999988</v>
          </cell>
          <cell r="AA15">
            <v>710000000</v>
          </cell>
          <cell r="AB15">
            <v>740000000</v>
          </cell>
          <cell r="AC15">
            <v>770000000</v>
          </cell>
          <cell r="AD15">
            <v>800000000</v>
          </cell>
          <cell r="AE15">
            <v>830000000.00000012</v>
          </cell>
          <cell r="AF15">
            <v>778000000</v>
          </cell>
          <cell r="AG15">
            <v>726000000</v>
          </cell>
          <cell r="AH15">
            <v>674000000</v>
          </cell>
          <cell r="AI15">
            <v>622000000</v>
          </cell>
          <cell r="AJ15">
            <v>570000000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ea.org/etp201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B30" sqref="B30"/>
    </sheetView>
  </sheetViews>
  <sheetFormatPr defaultRowHeight="14.25" x14ac:dyDescent="0.45"/>
  <cols>
    <col min="2" max="2" width="103.46484375" customWidth="1"/>
    <col min="3" max="3" width="17.19921875" customWidth="1"/>
    <col min="4" max="4" width="22.19921875" customWidth="1"/>
    <col min="5" max="5" width="18.46484375" customWidth="1"/>
  </cols>
  <sheetData>
    <row r="1" spans="1:2" x14ac:dyDescent="0.45">
      <c r="A1" s="1" t="s">
        <v>10</v>
      </c>
    </row>
    <row r="3" spans="1:2" x14ac:dyDescent="0.45">
      <c r="A3" s="1" t="s">
        <v>0</v>
      </c>
      <c r="B3" s="16" t="s">
        <v>203</v>
      </c>
    </row>
    <row r="4" spans="1:2" x14ac:dyDescent="0.45">
      <c r="B4" t="s">
        <v>194</v>
      </c>
    </row>
    <row r="5" spans="1:2" x14ac:dyDescent="0.45">
      <c r="B5" s="51">
        <v>2017</v>
      </c>
    </row>
    <row r="6" spans="1:2" x14ac:dyDescent="0.45">
      <c r="B6" t="s">
        <v>195</v>
      </c>
    </row>
    <row r="7" spans="1:2" x14ac:dyDescent="0.45">
      <c r="B7" s="52" t="s">
        <v>196</v>
      </c>
    </row>
    <row r="8" spans="1:2" x14ac:dyDescent="0.45">
      <c r="B8" t="s">
        <v>197</v>
      </c>
    </row>
    <row r="9" spans="1:2" x14ac:dyDescent="0.45">
      <c r="B9" s="8"/>
    </row>
    <row r="10" spans="1:2" x14ac:dyDescent="0.45">
      <c r="B10" s="16" t="s">
        <v>198</v>
      </c>
    </row>
    <row r="11" spans="1:2" x14ac:dyDescent="0.45">
      <c r="B11" t="s">
        <v>199</v>
      </c>
    </row>
    <row r="12" spans="1:2" x14ac:dyDescent="0.45">
      <c r="B12" s="51">
        <v>2015</v>
      </c>
    </row>
    <row r="13" spans="1:2" x14ac:dyDescent="0.45">
      <c r="B13" t="s">
        <v>200</v>
      </c>
    </row>
    <row r="14" spans="1:2" x14ac:dyDescent="0.45">
      <c r="B14" t="s">
        <v>201</v>
      </c>
    </row>
    <row r="15" spans="1:2" x14ac:dyDescent="0.45">
      <c r="B15" t="s">
        <v>202</v>
      </c>
    </row>
    <row r="16" spans="1:2" x14ac:dyDescent="0.45">
      <c r="A16" s="1" t="s">
        <v>9</v>
      </c>
      <c r="B16" s="8"/>
    </row>
    <row r="17" spans="1:5" x14ac:dyDescent="0.45">
      <c r="A17" t="s">
        <v>11</v>
      </c>
    </row>
    <row r="19" spans="1:5" x14ac:dyDescent="0.45">
      <c r="A19" t="s">
        <v>14</v>
      </c>
    </row>
    <row r="20" spans="1:5" x14ac:dyDescent="0.45">
      <c r="A20" t="s">
        <v>12</v>
      </c>
    </row>
    <row r="21" spans="1:5" x14ac:dyDescent="0.45">
      <c r="A21" t="s">
        <v>13</v>
      </c>
    </row>
    <row r="23" spans="1:5" x14ac:dyDescent="0.45">
      <c r="A23" s="1"/>
    </row>
    <row r="32" spans="1:5" x14ac:dyDescent="0.45">
      <c r="A32" s="1"/>
      <c r="C32" s="4"/>
      <c r="D32" s="5"/>
      <c r="E32" s="4"/>
    </row>
    <row r="33" spans="1:5" x14ac:dyDescent="0.45">
      <c r="A33" s="2"/>
      <c r="B33" s="3"/>
      <c r="C33" s="2"/>
      <c r="D33" s="2"/>
      <c r="E33" s="2"/>
    </row>
    <row r="34" spans="1:5" x14ac:dyDescent="0.45">
      <c r="A34" s="2"/>
      <c r="B34" s="2"/>
      <c r="C34" s="4"/>
      <c r="D34" s="2"/>
      <c r="E34" s="2"/>
    </row>
    <row r="35" spans="1:5" x14ac:dyDescent="0.45">
      <c r="B35" s="3"/>
      <c r="C35" s="4"/>
    </row>
    <row r="36" spans="1:5" x14ac:dyDescent="0.45">
      <c r="B36" s="3"/>
      <c r="C36" s="4"/>
    </row>
    <row r="37" spans="1:5" x14ac:dyDescent="0.45">
      <c r="B37" s="3"/>
      <c r="C37" s="2"/>
    </row>
    <row r="38" spans="1:5" x14ac:dyDescent="0.45">
      <c r="B38" s="2"/>
      <c r="C38" s="2"/>
    </row>
    <row r="39" spans="1:5" x14ac:dyDescent="0.45">
      <c r="B39" s="2"/>
    </row>
  </sheetData>
  <hyperlinks>
    <hyperlink ref="B7"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33" sqref="G33"/>
    </sheetView>
  </sheetViews>
  <sheetFormatPr defaultRowHeight="14.25" x14ac:dyDescent="0.45"/>
  <cols>
    <col min="1" max="1" width="26.265625" customWidth="1"/>
    <col min="2" max="2" width="11" customWidth="1"/>
    <col min="3" max="4" width="12.1328125" customWidth="1"/>
    <col min="5" max="5" width="11.3984375" customWidth="1"/>
    <col min="6" max="6" width="12.1328125" customWidth="1"/>
  </cols>
  <sheetData>
    <row r="1" spans="1:10" x14ac:dyDescent="0.45">
      <c r="A1" s="16" t="s">
        <v>191</v>
      </c>
      <c r="B1" s="7"/>
      <c r="C1" s="7"/>
      <c r="D1" s="7"/>
      <c r="E1" s="7"/>
      <c r="F1" s="7"/>
      <c r="G1" s="7"/>
      <c r="H1" s="2"/>
      <c r="I1" s="2"/>
      <c r="J1" s="2"/>
    </row>
    <row r="2" spans="1:10" x14ac:dyDescent="0.45">
      <c r="B2" s="1">
        <v>2025</v>
      </c>
      <c r="C2" s="1">
        <v>2030</v>
      </c>
      <c r="D2" s="3">
        <v>2035</v>
      </c>
      <c r="E2" s="3">
        <v>2040</v>
      </c>
      <c r="F2" s="3">
        <v>2045</v>
      </c>
      <c r="G2" s="3">
        <v>2050</v>
      </c>
    </row>
    <row r="3" spans="1:10" x14ac:dyDescent="0.45">
      <c r="A3" t="s">
        <v>1</v>
      </c>
      <c r="B3" s="49">
        <f t="shared" ref="B3:G3" si="0">D23/D25</f>
        <v>0.21803644250297027</v>
      </c>
      <c r="C3" s="49">
        <f t="shared" si="0"/>
        <v>0.45387106293645746</v>
      </c>
      <c r="D3" s="49">
        <f t="shared" si="0"/>
        <v>0.57375467270212188</v>
      </c>
      <c r="E3" s="49">
        <f t="shared" si="0"/>
        <v>0.59382245522742239</v>
      </c>
      <c r="F3" s="49">
        <f t="shared" si="0"/>
        <v>0.60434543955945319</v>
      </c>
      <c r="G3" s="49">
        <f t="shared" si="0"/>
        <v>0.56028199067132201</v>
      </c>
      <c r="H3" s="49"/>
    </row>
    <row r="4" spans="1:10" x14ac:dyDescent="0.45">
      <c r="A4" t="s">
        <v>2</v>
      </c>
      <c r="B4" s="49">
        <f t="shared" ref="B4:G4" si="1">SUM(D22,D24)/D25</f>
        <v>0.78196355749702962</v>
      </c>
      <c r="C4" s="49">
        <f t="shared" si="1"/>
        <v>0.54612893706354271</v>
      </c>
      <c r="D4" s="49">
        <f t="shared" si="1"/>
        <v>0.42624532729787801</v>
      </c>
      <c r="E4" s="49">
        <f t="shared" si="1"/>
        <v>0.40617754477257761</v>
      </c>
      <c r="F4" s="49">
        <f t="shared" si="1"/>
        <v>0.39565456044054664</v>
      </c>
      <c r="G4" s="49">
        <f t="shared" si="1"/>
        <v>0.43971800932867816</v>
      </c>
      <c r="H4" s="49"/>
    </row>
    <row r="6" spans="1:10" x14ac:dyDescent="0.45">
      <c r="A6" s="16" t="s">
        <v>190</v>
      </c>
      <c r="B6" s="7"/>
      <c r="C6" s="7"/>
      <c r="D6" s="7"/>
      <c r="E6" s="7"/>
      <c r="F6" s="7"/>
      <c r="G6" s="7"/>
    </row>
    <row r="7" spans="1:10" x14ac:dyDescent="0.45">
      <c r="B7" s="1">
        <v>2025</v>
      </c>
      <c r="C7" s="1">
        <v>2030</v>
      </c>
      <c r="D7" s="1">
        <v>2035</v>
      </c>
      <c r="E7" s="3">
        <v>2040</v>
      </c>
      <c r="F7" s="3">
        <v>2045</v>
      </c>
      <c r="G7" s="3">
        <v>2050</v>
      </c>
      <c r="H7" s="3"/>
      <c r="I7" s="2"/>
    </row>
    <row r="8" spans="1:10" x14ac:dyDescent="0.45">
      <c r="A8" t="s">
        <v>189</v>
      </c>
      <c r="B8" s="48">
        <f t="shared" ref="B8:G8" si="2">E39/SUM(E39:E42,D24/1000)</f>
        <v>0.29305349924260793</v>
      </c>
      <c r="C8" s="48">
        <f t="shared" si="2"/>
        <v>0.33275814655315439</v>
      </c>
      <c r="D8" s="48">
        <f t="shared" si="2"/>
        <v>0.27778376598364735</v>
      </c>
      <c r="E8" s="48">
        <f t="shared" si="2"/>
        <v>0.32736698959883581</v>
      </c>
      <c r="F8" s="48">
        <f t="shared" si="2"/>
        <v>0.35934243065340959</v>
      </c>
      <c r="G8" s="48">
        <f t="shared" si="2"/>
        <v>0.38367083769308907</v>
      </c>
      <c r="I8" s="2"/>
    </row>
    <row r="9" spans="1:10" x14ac:dyDescent="0.45">
      <c r="A9" t="s">
        <v>188</v>
      </c>
      <c r="B9" s="49">
        <f t="shared" ref="B9:G9" si="3">(D24/1000)/SUM(E39:E42,D24/1000)</f>
        <v>8.8852453196402434E-2</v>
      </c>
      <c r="C9" s="49">
        <f t="shared" si="3"/>
        <v>0.11760289017955526</v>
      </c>
      <c r="D9" s="49">
        <f t="shared" si="3"/>
        <v>0.16029232107960878</v>
      </c>
      <c r="E9" s="49">
        <f t="shared" si="3"/>
        <v>0.17273948243196502</v>
      </c>
      <c r="F9" s="49">
        <f t="shared" si="3"/>
        <v>0.19873531530551919</v>
      </c>
      <c r="G9" s="49">
        <f t="shared" si="3"/>
        <v>0.21792159249022533</v>
      </c>
    </row>
    <row r="10" spans="1:10" x14ac:dyDescent="0.45">
      <c r="A10" t="s">
        <v>187</v>
      </c>
      <c r="B10" s="48">
        <f t="shared" ref="B10:G10" si="4">E40/SUM(E39:E42,D24/1000)</f>
        <v>2.4929787372755252E-3</v>
      </c>
      <c r="C10" s="48">
        <f t="shared" si="4"/>
        <v>0.16235589840065001</v>
      </c>
      <c r="D10" s="48">
        <f t="shared" si="4"/>
        <v>0.28012369548232957</v>
      </c>
      <c r="E10" s="48">
        <f t="shared" si="4"/>
        <v>0.29779009961409042</v>
      </c>
      <c r="F10" s="48">
        <f t="shared" si="4"/>
        <v>0.28793480415473521</v>
      </c>
      <c r="G10" s="48">
        <f t="shared" si="4"/>
        <v>0.25804018454667765</v>
      </c>
    </row>
    <row r="11" spans="1:10" x14ac:dyDescent="0.45">
      <c r="A11" t="s">
        <v>186</v>
      </c>
      <c r="B11" s="49">
        <f t="shared" ref="B11:G11" si="5">E41/SUM(E39:E42,D24/1000)</f>
        <v>0.60906693840985171</v>
      </c>
      <c r="C11" s="49">
        <f t="shared" si="5"/>
        <v>0.38103420834619267</v>
      </c>
      <c r="D11" s="49">
        <f t="shared" si="5"/>
        <v>0.27591691183820882</v>
      </c>
      <c r="E11" s="49">
        <f t="shared" si="5"/>
        <v>0.1994127226137235</v>
      </c>
      <c r="F11" s="49">
        <f t="shared" si="5"/>
        <v>0.15396517468671694</v>
      </c>
      <c r="G11" s="49">
        <f t="shared" si="5"/>
        <v>0.14036492570317538</v>
      </c>
    </row>
    <row r="12" spans="1:10" x14ac:dyDescent="0.45">
      <c r="F12" s="2"/>
      <c r="G12" s="2"/>
    </row>
    <row r="13" spans="1:10" x14ac:dyDescent="0.45">
      <c r="A13" s="16" t="s">
        <v>185</v>
      </c>
      <c r="B13" s="7"/>
      <c r="C13" s="7"/>
      <c r="D13" s="7"/>
      <c r="E13" s="7"/>
      <c r="F13" s="2"/>
      <c r="G13" s="2"/>
    </row>
    <row r="14" spans="1:10" x14ac:dyDescent="0.45">
      <c r="B14" s="1">
        <v>2020</v>
      </c>
      <c r="C14" s="1">
        <v>2030</v>
      </c>
      <c r="D14" s="1">
        <v>2040</v>
      </c>
      <c r="E14" s="3">
        <v>2050</v>
      </c>
      <c r="F14" s="3"/>
      <c r="G14" s="3"/>
      <c r="H14" s="2"/>
    </row>
    <row r="15" spans="1:10" x14ac:dyDescent="0.45">
      <c r="A15" t="s">
        <v>184</v>
      </c>
      <c r="B15" s="49">
        <f>B31/SUM(B31:B33)</f>
        <v>0.99031037400420396</v>
      </c>
      <c r="C15" s="49">
        <f>C31/SUM(C31:C33)</f>
        <v>0.38683189211801422</v>
      </c>
      <c r="D15" s="49">
        <f>D31/SUM(D31:D33)</f>
        <v>0.35477104291503592</v>
      </c>
      <c r="E15" s="49">
        <f>E31/SUM(E31:E33)</f>
        <v>0.28108145583275146</v>
      </c>
      <c r="F15" s="50"/>
      <c r="G15" s="50"/>
      <c r="H15" s="3"/>
      <c r="I15" s="2"/>
    </row>
    <row r="16" spans="1:10" x14ac:dyDescent="0.45">
      <c r="A16" t="s">
        <v>183</v>
      </c>
      <c r="B16" s="49">
        <f>B32/SUM(B31:B33)</f>
        <v>9.6896259957961056E-3</v>
      </c>
      <c r="C16" s="49">
        <f>C32/SUM(C31:C33)</f>
        <v>0.59862093333506916</v>
      </c>
      <c r="D16" s="49">
        <f>D32/SUM(D31:D33)</f>
        <v>0.57372188670355717</v>
      </c>
      <c r="E16" s="49">
        <f>E32/SUM(E31:E33)</f>
        <v>0.43585744423879202</v>
      </c>
      <c r="F16" s="48"/>
      <c r="G16" s="48"/>
      <c r="H16" s="2"/>
      <c r="I16" s="2"/>
    </row>
    <row r="17" spans="1:11" x14ac:dyDescent="0.45">
      <c r="A17" t="s">
        <v>182</v>
      </c>
      <c r="B17" s="49">
        <f>B33/SUM(B31:B33)</f>
        <v>0</v>
      </c>
      <c r="C17" s="49">
        <f>C33/SUM(C31:C33)</f>
        <v>1.4547174546916692E-2</v>
      </c>
      <c r="D17" s="49">
        <f>D33/SUM(D31:D33)</f>
        <v>7.1507070381406954E-2</v>
      </c>
      <c r="E17" s="49">
        <f>E33/SUM(E31:E33)</f>
        <v>0.28306109992845646</v>
      </c>
      <c r="F17" s="48"/>
      <c r="G17" s="48"/>
      <c r="I17" s="2"/>
    </row>
    <row r="20" spans="1:11" x14ac:dyDescent="0.45">
      <c r="A20" s="6" t="s">
        <v>181</v>
      </c>
    </row>
    <row r="21" spans="1:11" x14ac:dyDescent="0.45">
      <c r="A21" s="47" t="s">
        <v>180</v>
      </c>
      <c r="B21" s="46"/>
      <c r="C21" s="46">
        <v>2014</v>
      </c>
      <c r="D21" s="46">
        <v>2025</v>
      </c>
      <c r="E21" s="46">
        <v>2030</v>
      </c>
      <c r="F21" s="46">
        <v>2035</v>
      </c>
      <c r="G21" s="46">
        <v>2040</v>
      </c>
      <c r="H21" s="46">
        <v>2045</v>
      </c>
      <c r="I21" s="46">
        <v>2050</v>
      </c>
      <c r="J21" s="46">
        <v>2055</v>
      </c>
      <c r="K21" s="46">
        <v>2060</v>
      </c>
    </row>
    <row r="22" spans="1:11" x14ac:dyDescent="0.45">
      <c r="A22" s="44"/>
      <c r="B22" s="45" t="s">
        <v>179</v>
      </c>
      <c r="C22" s="44">
        <v>0</v>
      </c>
      <c r="D22" s="44">
        <v>32.40429913151911</v>
      </c>
      <c r="E22" s="44">
        <v>93.876808800194539</v>
      </c>
      <c r="F22" s="44">
        <v>151.71633290315154</v>
      </c>
      <c r="G22" s="44">
        <v>187.21216357345642</v>
      </c>
      <c r="H22" s="44">
        <v>237.97861280972978</v>
      </c>
      <c r="I22" s="44">
        <v>268.62433402842748</v>
      </c>
      <c r="J22" s="44">
        <v>301.62694877193803</v>
      </c>
      <c r="K22" s="44">
        <v>338.82942754525209</v>
      </c>
    </row>
    <row r="23" spans="1:11" x14ac:dyDescent="0.45">
      <c r="A23" s="44"/>
      <c r="B23" s="45" t="s">
        <v>178</v>
      </c>
      <c r="C23" s="44">
        <v>0</v>
      </c>
      <c r="D23" s="44">
        <v>16.985652732884223</v>
      </c>
      <c r="E23" s="44">
        <v>136.39566547228313</v>
      </c>
      <c r="F23" s="44">
        <v>386.88874151414149</v>
      </c>
      <c r="G23" s="44">
        <v>571.47749466737059</v>
      </c>
      <c r="H23" s="44">
        <v>803.61468594996381</v>
      </c>
      <c r="I23" s="44">
        <v>817.9399604957988</v>
      </c>
      <c r="J23" s="44">
        <v>895.52328791931473</v>
      </c>
      <c r="K23" s="44">
        <v>858.4271853516816</v>
      </c>
    </row>
    <row r="24" spans="1:11" ht="42.75" x14ac:dyDescent="0.45">
      <c r="A24" s="44"/>
      <c r="B24" s="45" t="s">
        <v>177</v>
      </c>
      <c r="C24" s="44">
        <v>0</v>
      </c>
      <c r="D24" s="44">
        <v>28.512863545240073</v>
      </c>
      <c r="E24" s="44">
        <v>70.243854285306412</v>
      </c>
      <c r="F24" s="44">
        <v>135.70532325157922</v>
      </c>
      <c r="G24" s="44">
        <v>203.68131583846389</v>
      </c>
      <c r="H24" s="44">
        <v>288.13409446059916</v>
      </c>
      <c r="I24" s="44">
        <v>373.30765230696636</v>
      </c>
      <c r="J24" s="44">
        <v>469.46789166999571</v>
      </c>
      <c r="K24" s="44">
        <v>556.22745588473765</v>
      </c>
    </row>
    <row r="25" spans="1:11" x14ac:dyDescent="0.45">
      <c r="A25" s="44"/>
      <c r="B25" s="43" t="s">
        <v>176</v>
      </c>
      <c r="C25" s="42">
        <v>0</v>
      </c>
      <c r="D25" s="42">
        <v>77.902815409643409</v>
      </c>
      <c r="E25" s="42">
        <v>300.51632855778405</v>
      </c>
      <c r="F25" s="42">
        <v>674.31039766887227</v>
      </c>
      <c r="G25" s="42">
        <v>962.37097407929093</v>
      </c>
      <c r="H25" s="42">
        <v>1329.7273932202929</v>
      </c>
      <c r="I25" s="42">
        <v>1459.8719468311924</v>
      </c>
      <c r="J25" s="42">
        <v>1666.6181283612484</v>
      </c>
      <c r="K25" s="42">
        <v>1753.4840687816713</v>
      </c>
    </row>
    <row r="28" spans="1:11" x14ac:dyDescent="0.45">
      <c r="A28" s="6" t="s">
        <v>175</v>
      </c>
    </row>
    <row r="29" spans="1:11" x14ac:dyDescent="0.45">
      <c r="A29" s="34"/>
      <c r="B29" s="40" t="s">
        <v>163</v>
      </c>
      <c r="C29" s="40"/>
      <c r="D29" s="40"/>
      <c r="E29" s="41"/>
      <c r="F29" s="41"/>
      <c r="G29" s="40" t="s">
        <v>162</v>
      </c>
      <c r="H29" s="40"/>
      <c r="I29" s="40"/>
      <c r="J29" s="40"/>
      <c r="K29" s="40"/>
    </row>
    <row r="30" spans="1:11" x14ac:dyDescent="0.45">
      <c r="A30" s="35"/>
      <c r="B30" s="40">
        <v>2020</v>
      </c>
      <c r="C30" s="40">
        <v>2030</v>
      </c>
      <c r="D30" s="40">
        <v>2040</v>
      </c>
      <c r="E30" s="40">
        <v>2050</v>
      </c>
      <c r="F30" s="40">
        <v>2060</v>
      </c>
      <c r="G30" s="40">
        <v>2020</v>
      </c>
      <c r="H30" s="40">
        <v>2030</v>
      </c>
      <c r="I30" s="40">
        <v>2040</v>
      </c>
      <c r="J30" s="40">
        <v>2050</v>
      </c>
      <c r="K30" s="40">
        <v>2060</v>
      </c>
    </row>
    <row r="31" spans="1:11" x14ac:dyDescent="0.45">
      <c r="A31" s="34" t="s">
        <v>174</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45">
      <c r="A32" s="34" t="s">
        <v>173</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45">
      <c r="A33" s="34" t="s">
        <v>172</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45">
      <c r="A35" s="38" t="s">
        <v>171</v>
      </c>
    </row>
    <row r="36" spans="1:12" ht="23.25" x14ac:dyDescent="0.7">
      <c r="A36" s="37" t="s">
        <v>170</v>
      </c>
      <c r="B36" s="36"/>
    </row>
    <row r="37" spans="1:12" x14ac:dyDescent="0.45">
      <c r="A37" s="34" t="s">
        <v>169</v>
      </c>
      <c r="B37" s="34"/>
      <c r="C37" s="34"/>
      <c r="D37" s="34"/>
      <c r="E37" s="34"/>
      <c r="F37" s="34"/>
      <c r="G37" s="34"/>
      <c r="H37" s="34"/>
      <c r="I37" s="34"/>
      <c r="J37" s="34"/>
      <c r="K37" s="34"/>
      <c r="L37" s="34"/>
    </row>
    <row r="38" spans="1:12" x14ac:dyDescent="0.45">
      <c r="A38" s="35"/>
      <c r="B38" s="35">
        <v>2014</v>
      </c>
      <c r="C38" s="35">
        <v>2015</v>
      </c>
      <c r="D38" s="35">
        <v>2020</v>
      </c>
      <c r="E38" s="35">
        <v>2025</v>
      </c>
      <c r="F38" s="35">
        <v>2030</v>
      </c>
      <c r="G38" s="35">
        <v>2035</v>
      </c>
      <c r="H38" s="35">
        <v>2040</v>
      </c>
      <c r="I38" s="35">
        <v>2045</v>
      </c>
      <c r="J38" s="35">
        <v>2050</v>
      </c>
      <c r="K38" s="35">
        <v>2055</v>
      </c>
      <c r="L38" s="35">
        <v>2060</v>
      </c>
    </row>
    <row r="39" spans="1:12" x14ac:dyDescent="0.45">
      <c r="A39" s="34" t="s">
        <v>168</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45">
      <c r="A40" s="34" t="s">
        <v>167</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45">
      <c r="A41" s="34" t="s">
        <v>166</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45">
      <c r="A42" s="34" t="s">
        <v>165</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33" sqref="G33"/>
    </sheetView>
  </sheetViews>
  <sheetFormatPr defaultRowHeight="14.25" x14ac:dyDescent="0.45"/>
  <cols>
    <col min="1" max="1" width="26.265625" customWidth="1"/>
    <col min="2" max="2" width="11" customWidth="1"/>
    <col min="3" max="4" width="12.1328125" customWidth="1"/>
    <col min="5" max="5" width="11.3984375" customWidth="1"/>
    <col min="6" max="6" width="12.1328125" customWidth="1"/>
    <col min="7" max="7" width="13.73046875" bestFit="1" customWidth="1"/>
  </cols>
  <sheetData>
    <row r="1" spans="1:10" x14ac:dyDescent="0.45">
      <c r="A1" s="16" t="s">
        <v>191</v>
      </c>
      <c r="B1" s="7"/>
      <c r="C1" s="7"/>
      <c r="D1" s="7"/>
      <c r="E1" s="7"/>
      <c r="F1" s="7"/>
      <c r="G1" s="7"/>
      <c r="H1" s="2"/>
      <c r="I1" s="2"/>
      <c r="J1" s="2"/>
    </row>
    <row r="2" spans="1:10" x14ac:dyDescent="0.45">
      <c r="B2" s="1">
        <v>2025</v>
      </c>
      <c r="C2" s="1">
        <v>2030</v>
      </c>
      <c r="D2" s="3">
        <v>2035</v>
      </c>
      <c r="E2" s="3">
        <v>2040</v>
      </c>
      <c r="F2" s="3">
        <v>2045</v>
      </c>
      <c r="G2" s="3">
        <v>2050</v>
      </c>
    </row>
    <row r="3" spans="1:10" x14ac:dyDescent="0.45">
      <c r="A3" t="s">
        <v>1</v>
      </c>
      <c r="B3" s="49">
        <f t="shared" ref="B3:G3" si="0">D23/D25</f>
        <v>4.4936433006002231E-2</v>
      </c>
      <c r="C3" s="49">
        <f t="shared" si="0"/>
        <v>0.18309937593197775</v>
      </c>
      <c r="D3" s="49">
        <f t="shared" si="0"/>
        <v>0.33562779707770829</v>
      </c>
      <c r="E3" s="49">
        <f t="shared" si="0"/>
        <v>0.41029460344152446</v>
      </c>
      <c r="F3" s="49">
        <f t="shared" si="0"/>
        <v>0.43562759311159638</v>
      </c>
      <c r="G3" s="49">
        <f t="shared" si="0"/>
        <v>0.37730512812328371</v>
      </c>
      <c r="H3" s="49"/>
    </row>
    <row r="4" spans="1:10" x14ac:dyDescent="0.45">
      <c r="A4" t="s">
        <v>2</v>
      </c>
      <c r="B4" s="49">
        <f t="shared" ref="B4:G4" si="1">SUM(D22,D24)/D25</f>
        <v>0.95506356699399775</v>
      </c>
      <c r="C4" s="49">
        <f t="shared" si="1"/>
        <v>0.81690062406802222</v>
      </c>
      <c r="D4" s="49">
        <f t="shared" si="1"/>
        <v>0.66437220292229171</v>
      </c>
      <c r="E4" s="49">
        <f t="shared" si="1"/>
        <v>0.58970539655847543</v>
      </c>
      <c r="F4" s="49">
        <f t="shared" si="1"/>
        <v>0.56437240688840373</v>
      </c>
      <c r="G4" s="49">
        <f t="shared" si="1"/>
        <v>0.62269487187671635</v>
      </c>
      <c r="H4" s="49"/>
    </row>
    <row r="6" spans="1:10" x14ac:dyDescent="0.45">
      <c r="A6" s="16" t="s">
        <v>190</v>
      </c>
      <c r="B6" s="7"/>
      <c r="C6" s="7"/>
      <c r="D6" s="7"/>
      <c r="E6" s="7"/>
      <c r="F6" s="7"/>
      <c r="G6" s="7"/>
    </row>
    <row r="7" spans="1:10" x14ac:dyDescent="0.45">
      <c r="B7" s="1">
        <v>2025</v>
      </c>
      <c r="C7" s="1">
        <v>2030</v>
      </c>
      <c r="D7" s="1">
        <v>2035</v>
      </c>
      <c r="E7" s="3">
        <v>2040</v>
      </c>
      <c r="F7" s="3">
        <v>2045</v>
      </c>
      <c r="G7" s="3">
        <v>2050</v>
      </c>
      <c r="H7" s="3"/>
      <c r="I7" s="2"/>
    </row>
    <row r="8" spans="1:10" x14ac:dyDescent="0.45">
      <c r="A8" t="s">
        <v>189</v>
      </c>
      <c r="B8" s="48">
        <f t="shared" ref="B8:G8" si="2">E39/SUM(E39:E42,D24/1000)</f>
        <v>0.29900648346859349</v>
      </c>
      <c r="C8" s="48">
        <f t="shared" si="2"/>
        <v>0.30366522968423609</v>
      </c>
      <c r="D8" s="48">
        <f t="shared" si="2"/>
        <v>0.2325252012134289</v>
      </c>
      <c r="E8" s="48">
        <f t="shared" si="2"/>
        <v>0.23905776935811326</v>
      </c>
      <c r="F8" s="48">
        <f t="shared" si="2"/>
        <v>0.2459021549943784</v>
      </c>
      <c r="G8" s="48">
        <f t="shared" si="2"/>
        <v>0.2585937965046165</v>
      </c>
      <c r="I8" s="2"/>
    </row>
    <row r="9" spans="1:10" x14ac:dyDescent="0.45">
      <c r="A9" t="s">
        <v>188</v>
      </c>
      <c r="B9" s="49">
        <f t="shared" ref="B9:G9" si="3">(D24/1000)/SUM(E39:E42,D24/1000)</f>
        <v>7.0343727016078286E-2</v>
      </c>
      <c r="C9" s="49">
        <f t="shared" si="3"/>
        <v>0.19475053037197726</v>
      </c>
      <c r="D9" s="49">
        <f t="shared" si="3"/>
        <v>0.29710364351198437</v>
      </c>
      <c r="E9" s="49">
        <f t="shared" si="3"/>
        <v>0.39589799738148052</v>
      </c>
      <c r="F9" s="49">
        <f t="shared" si="3"/>
        <v>0.45168536782870344</v>
      </c>
      <c r="G9" s="49">
        <f t="shared" si="3"/>
        <v>0.47287986290994544</v>
      </c>
    </row>
    <row r="10" spans="1:10" x14ac:dyDescent="0.45">
      <c r="A10" t="s">
        <v>187</v>
      </c>
      <c r="B10" s="48">
        <f t="shared" ref="B10:G10" si="4">E40/SUM(E39:E42,D24/1000)</f>
        <v>2.5436202178825617E-3</v>
      </c>
      <c r="C10" s="48">
        <f t="shared" si="4"/>
        <v>0.14816118459942337</v>
      </c>
      <c r="D10" s="48">
        <f t="shared" si="4"/>
        <v>0.23448389226788868</v>
      </c>
      <c r="E10" s="48">
        <f t="shared" si="4"/>
        <v>0.21745942386528264</v>
      </c>
      <c r="F10" s="48">
        <f t="shared" si="4"/>
        <v>0.19703709553805757</v>
      </c>
      <c r="G10" s="48">
        <f t="shared" si="4"/>
        <v>0.17391885026730866</v>
      </c>
    </row>
    <row r="11" spans="1:10" x14ac:dyDescent="0.45">
      <c r="A11" t="s">
        <v>186</v>
      </c>
      <c r="B11" s="49">
        <f t="shared" ref="B11:G11" si="5">E41/SUM(E39:E42,D24/1000)</f>
        <v>0.62143930688964777</v>
      </c>
      <c r="C11" s="49">
        <f t="shared" si="5"/>
        <v>0.34772053394796387</v>
      </c>
      <c r="D11" s="49">
        <f t="shared" si="5"/>
        <v>0.23096250861234377</v>
      </c>
      <c r="E11" s="49">
        <f t="shared" si="5"/>
        <v>0.14561993775879004</v>
      </c>
      <c r="F11" s="49">
        <f t="shared" si="5"/>
        <v>0.10536013846376642</v>
      </c>
      <c r="G11" s="49">
        <f t="shared" si="5"/>
        <v>9.4605832572315834E-2</v>
      </c>
    </row>
    <row r="12" spans="1:10" x14ac:dyDescent="0.45">
      <c r="F12" s="2"/>
      <c r="G12" s="2"/>
    </row>
    <row r="13" spans="1:10" x14ac:dyDescent="0.45">
      <c r="A13" s="16" t="s">
        <v>185</v>
      </c>
      <c r="B13" s="7"/>
      <c r="C13" s="7"/>
      <c r="D13" s="7"/>
      <c r="E13" s="7"/>
      <c r="F13" s="2"/>
      <c r="G13" s="2"/>
    </row>
    <row r="14" spans="1:10" x14ac:dyDescent="0.45">
      <c r="B14" s="1">
        <v>2020</v>
      </c>
      <c r="C14" s="1">
        <v>2030</v>
      </c>
      <c r="D14" s="1">
        <v>2040</v>
      </c>
      <c r="E14" s="3">
        <v>2050</v>
      </c>
      <c r="F14" s="3"/>
      <c r="G14" s="3"/>
      <c r="H14" s="2"/>
    </row>
    <row r="15" spans="1:10" x14ac:dyDescent="0.45">
      <c r="A15" t="s">
        <v>184</v>
      </c>
      <c r="B15" s="49">
        <f>G31</f>
        <v>0</v>
      </c>
      <c r="C15" s="49">
        <f t="shared" ref="C15:E17" si="6">H31/SUM(H31:H33)</f>
        <v>0.75094732617802884</v>
      </c>
      <c r="D15" s="49">
        <f t="shared" si="6"/>
        <v>0.69550281589091678</v>
      </c>
      <c r="E15" s="49">
        <f t="shared" si="6"/>
        <v>0.43077373646242967</v>
      </c>
      <c r="F15" s="50"/>
      <c r="G15" s="50"/>
      <c r="H15" s="3"/>
      <c r="I15" s="2"/>
    </row>
    <row r="16" spans="1:10" x14ac:dyDescent="0.45">
      <c r="A16" t="s">
        <v>183</v>
      </c>
      <c r="B16" s="49">
        <f>G32</f>
        <v>0</v>
      </c>
      <c r="C16" s="49">
        <f t="shared" si="6"/>
        <v>0.86911001722361103</v>
      </c>
      <c r="D16" s="49">
        <f t="shared" si="6"/>
        <v>0.73258659654232261</v>
      </c>
      <c r="E16" s="49">
        <f t="shared" si="6"/>
        <v>0.59019079310588696</v>
      </c>
      <c r="F16" s="48"/>
      <c r="G16" s="48"/>
      <c r="H16" s="2"/>
      <c r="I16" s="2"/>
    </row>
    <row r="17" spans="1:11" x14ac:dyDescent="0.45">
      <c r="A17" t="s">
        <v>182</v>
      </c>
      <c r="B17" s="49">
        <f>G33</f>
        <v>0</v>
      </c>
      <c r="C17" s="49">
        <f t="shared" si="6"/>
        <v>1</v>
      </c>
      <c r="D17" s="49">
        <f t="shared" si="6"/>
        <v>1</v>
      </c>
      <c r="E17" s="49">
        <f t="shared" si="6"/>
        <v>1</v>
      </c>
      <c r="F17" s="48"/>
      <c r="G17" s="48"/>
      <c r="I17" s="2"/>
    </row>
    <row r="20" spans="1:11" x14ac:dyDescent="0.45">
      <c r="A20" s="6" t="s">
        <v>181</v>
      </c>
    </row>
    <row r="21" spans="1:11" x14ac:dyDescent="0.45">
      <c r="A21" s="47" t="s">
        <v>180</v>
      </c>
      <c r="B21" s="46"/>
      <c r="C21" s="46">
        <v>2014</v>
      </c>
      <c r="D21" s="46">
        <v>2025</v>
      </c>
      <c r="E21" s="46">
        <v>2030</v>
      </c>
      <c r="F21" s="46">
        <v>2035</v>
      </c>
      <c r="G21" s="46">
        <v>2040</v>
      </c>
      <c r="H21" s="46">
        <v>2045</v>
      </c>
      <c r="I21" s="46">
        <v>2050</v>
      </c>
      <c r="J21" s="46">
        <v>2055</v>
      </c>
      <c r="K21" s="46">
        <v>2060</v>
      </c>
    </row>
    <row r="22" spans="1:11" x14ac:dyDescent="0.45">
      <c r="A22" s="44"/>
      <c r="B22" s="45" t="s">
        <v>179</v>
      </c>
      <c r="C22" s="44">
        <v>0</v>
      </c>
      <c r="D22" s="44">
        <v>617.46579618378519</v>
      </c>
      <c r="E22" s="44">
        <v>1081.7934339086667</v>
      </c>
      <c r="F22" s="44">
        <v>1514.8251281587777</v>
      </c>
      <c r="G22" s="44">
        <v>1927.6720378022803</v>
      </c>
      <c r="H22" s="44">
        <v>2198.1141550802454</v>
      </c>
      <c r="I22" s="44">
        <v>2676.6122372335317</v>
      </c>
      <c r="J22" s="44">
        <v>2950.0831196290765</v>
      </c>
      <c r="K22" s="44">
        <v>3224.4254691476872</v>
      </c>
    </row>
    <row r="23" spans="1:11" x14ac:dyDescent="0.45">
      <c r="A23" s="44"/>
      <c r="B23" s="45" t="s">
        <v>178</v>
      </c>
      <c r="C23" s="44">
        <v>0</v>
      </c>
      <c r="D23" s="44">
        <v>30.093162117441675</v>
      </c>
      <c r="E23" s="44">
        <v>271.04287232984956</v>
      </c>
      <c r="F23" s="44">
        <v>917.06120698826567</v>
      </c>
      <c r="G23" s="44">
        <v>1785.9710678442866</v>
      </c>
      <c r="H23" s="44">
        <v>2435.3512473822343</v>
      </c>
      <c r="I23" s="44">
        <v>2350.0625653690722</v>
      </c>
      <c r="J23" s="44">
        <v>2648.502745099659</v>
      </c>
      <c r="K23" s="44">
        <v>3279.952284652592</v>
      </c>
    </row>
    <row r="24" spans="1:11" ht="42.75" x14ac:dyDescent="0.45">
      <c r="A24" s="44"/>
      <c r="B24" s="45" t="s">
        <v>177</v>
      </c>
      <c r="C24" s="44">
        <v>0</v>
      </c>
      <c r="D24" s="44">
        <v>22.123971659459748</v>
      </c>
      <c r="E24" s="44">
        <v>127.4684241858147</v>
      </c>
      <c r="F24" s="44">
        <v>300.48927549386389</v>
      </c>
      <c r="G24" s="44">
        <v>639.25613520056368</v>
      </c>
      <c r="H24" s="44">
        <v>956.97764084208234</v>
      </c>
      <c r="I24" s="44">
        <v>1201.8717773452677</v>
      </c>
      <c r="J24" s="44">
        <v>1637.288722767227</v>
      </c>
      <c r="K24" s="44">
        <v>1812.7160215516324</v>
      </c>
    </row>
    <row r="25" spans="1:11" x14ac:dyDescent="0.45">
      <c r="A25" s="44"/>
      <c r="B25" s="43" t="s">
        <v>176</v>
      </c>
      <c r="C25" s="42">
        <v>0</v>
      </c>
      <c r="D25" s="42">
        <v>669.68292996068658</v>
      </c>
      <c r="E25" s="42">
        <v>1480.304730424331</v>
      </c>
      <c r="F25" s="42">
        <v>2732.3756106409073</v>
      </c>
      <c r="G25" s="42">
        <v>4352.8992408471313</v>
      </c>
      <c r="H25" s="42">
        <v>5590.4430433045618</v>
      </c>
      <c r="I25" s="42">
        <v>6228.5465799478716</v>
      </c>
      <c r="J25" s="42">
        <v>7235.8745874959623</v>
      </c>
      <c r="K25" s="42">
        <v>8317.093775351912</v>
      </c>
    </row>
    <row r="28" spans="1:11" x14ac:dyDescent="0.45">
      <c r="A28" s="6" t="s">
        <v>175</v>
      </c>
    </row>
    <row r="29" spans="1:11" x14ac:dyDescent="0.45">
      <c r="A29" s="34"/>
      <c r="B29" s="40" t="s">
        <v>163</v>
      </c>
      <c r="C29" s="40"/>
      <c r="D29" s="40"/>
      <c r="E29" s="41"/>
      <c r="F29" s="41"/>
      <c r="G29" s="40" t="s">
        <v>162</v>
      </c>
      <c r="H29" s="40"/>
      <c r="I29" s="40"/>
      <c r="J29" s="40"/>
      <c r="K29" s="40"/>
    </row>
    <row r="30" spans="1:11" x14ac:dyDescent="0.45">
      <c r="A30" s="35"/>
      <c r="B30" s="40">
        <v>2020</v>
      </c>
      <c r="C30" s="40">
        <v>2030</v>
      </c>
      <c r="D30" s="40">
        <v>2040</v>
      </c>
      <c r="E30" s="40">
        <v>2050</v>
      </c>
      <c r="F30" s="40">
        <v>2060</v>
      </c>
      <c r="G30" s="40">
        <v>2020</v>
      </c>
      <c r="H30" s="40">
        <v>2030</v>
      </c>
      <c r="I30" s="40">
        <v>2040</v>
      </c>
      <c r="J30" s="40">
        <v>2050</v>
      </c>
      <c r="K30" s="40">
        <v>2060</v>
      </c>
    </row>
    <row r="31" spans="1:11" x14ac:dyDescent="0.45">
      <c r="A31" s="34" t="s">
        <v>174</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45">
      <c r="A32" s="34" t="s">
        <v>173</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45">
      <c r="A33" s="34" t="s">
        <v>172</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45">
      <c r="A35" s="38" t="s">
        <v>171</v>
      </c>
    </row>
    <row r="36" spans="1:12" ht="23.25" x14ac:dyDescent="0.7">
      <c r="A36" s="37" t="s">
        <v>170</v>
      </c>
      <c r="B36" s="36"/>
    </row>
    <row r="37" spans="1:12" x14ac:dyDescent="0.45">
      <c r="A37" s="34" t="s">
        <v>169</v>
      </c>
      <c r="B37" s="34"/>
      <c r="C37" s="34"/>
      <c r="D37" s="34"/>
      <c r="E37" s="34"/>
      <c r="F37" s="34"/>
      <c r="G37" s="34"/>
      <c r="H37" s="34"/>
      <c r="I37" s="34"/>
      <c r="J37" s="34"/>
      <c r="K37" s="34"/>
      <c r="L37" s="34"/>
    </row>
    <row r="38" spans="1:12" x14ac:dyDescent="0.45">
      <c r="A38" s="35"/>
      <c r="B38" s="35">
        <v>2014</v>
      </c>
      <c r="C38" s="35">
        <v>2015</v>
      </c>
      <c r="D38" s="35">
        <v>2020</v>
      </c>
      <c r="E38" s="35">
        <v>2025</v>
      </c>
      <c r="F38" s="35">
        <v>2030</v>
      </c>
      <c r="G38" s="35">
        <v>2035</v>
      </c>
      <c r="H38" s="35">
        <v>2040</v>
      </c>
      <c r="I38" s="35">
        <v>2045</v>
      </c>
      <c r="J38" s="35">
        <v>2050</v>
      </c>
      <c r="K38" s="35">
        <v>2055</v>
      </c>
      <c r="L38" s="35">
        <v>2060</v>
      </c>
    </row>
    <row r="39" spans="1:12" x14ac:dyDescent="0.45">
      <c r="A39" s="34" t="s">
        <v>168</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45">
      <c r="A40" s="34" t="s">
        <v>167</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45">
      <c r="A41" s="34" t="s">
        <v>166</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45">
      <c r="A42" s="34" t="s">
        <v>165</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
  <sheetViews>
    <sheetView topLeftCell="P1" zoomScale="90" zoomScaleNormal="90" workbookViewId="0">
      <selection activeCell="L24" sqref="L24"/>
    </sheetView>
  </sheetViews>
  <sheetFormatPr defaultRowHeight="14.25" x14ac:dyDescent="0.45"/>
  <cols>
    <col min="1" max="1" width="19.86328125" customWidth="1"/>
    <col min="3" max="3" width="13.59765625" customWidth="1"/>
    <col min="4" max="4" width="10.86328125" customWidth="1"/>
    <col min="5" max="5" width="10.3984375" customWidth="1"/>
    <col min="7" max="7" width="12" bestFit="1" customWidth="1"/>
    <col min="8" max="8" width="13" bestFit="1" customWidth="1"/>
    <col min="11" max="11" width="10" bestFit="1" customWidth="1"/>
    <col min="12" max="12" width="13" bestFit="1" customWidth="1"/>
    <col min="13" max="13" width="10.73046875" customWidth="1"/>
    <col min="14" max="15" width="10.265625" customWidth="1"/>
    <col min="16" max="16" width="9.73046875" customWidth="1"/>
    <col min="17" max="17" width="9.86328125" customWidth="1"/>
    <col min="18" max="18" width="10" customWidth="1"/>
    <col min="19" max="19" width="11.1328125" customWidth="1"/>
    <col min="20" max="20" width="11" customWidth="1"/>
    <col min="21" max="23" width="12" bestFit="1" customWidth="1"/>
    <col min="26" max="27" width="12" bestFit="1" customWidth="1"/>
    <col min="28" max="28" width="13" bestFit="1" customWidth="1"/>
    <col min="31" max="32" width="12" bestFit="1" customWidth="1"/>
    <col min="33" max="33" width="13" bestFit="1" customWidth="1"/>
    <col min="36" max="38" width="12" bestFit="1" customWidth="1"/>
  </cols>
  <sheetData>
    <row r="1" spans="1:20" ht="26.65" x14ac:dyDescent="0.45">
      <c r="B1" s="30">
        <v>2012</v>
      </c>
      <c r="C1" s="30">
        <v>2017</v>
      </c>
      <c r="D1" s="30">
        <v>2022</v>
      </c>
      <c r="E1" s="30">
        <v>2027</v>
      </c>
      <c r="F1" s="30">
        <v>2032</v>
      </c>
      <c r="G1" s="30">
        <v>2037</v>
      </c>
      <c r="H1" s="30">
        <v>2042</v>
      </c>
      <c r="I1" s="30">
        <v>2047</v>
      </c>
      <c r="M1" s="26" t="s">
        <v>160</v>
      </c>
      <c r="N1" s="29" t="s">
        <v>159</v>
      </c>
      <c r="O1" s="26" t="s">
        <v>158</v>
      </c>
      <c r="P1" s="29" t="s">
        <v>157</v>
      </c>
      <c r="Q1" s="26" t="s">
        <v>156</v>
      </c>
      <c r="R1" s="29" t="s">
        <v>155</v>
      </c>
      <c r="S1" s="26" t="s">
        <v>154</v>
      </c>
      <c r="T1" s="29" t="s">
        <v>153</v>
      </c>
    </row>
    <row r="2" spans="1:20" x14ac:dyDescent="0.45">
      <c r="A2" s="28" t="s">
        <v>135</v>
      </c>
      <c r="B2" s="28">
        <v>0</v>
      </c>
      <c r="C2" s="28">
        <v>0</v>
      </c>
      <c r="D2" s="28">
        <v>1</v>
      </c>
      <c r="E2" s="28">
        <v>5</v>
      </c>
      <c r="F2" s="28">
        <v>15</v>
      </c>
      <c r="G2" s="28">
        <v>20</v>
      </c>
      <c r="H2" s="28">
        <v>30</v>
      </c>
      <c r="I2" s="28">
        <v>35</v>
      </c>
      <c r="J2" t="s">
        <v>152</v>
      </c>
      <c r="L2" s="27">
        <v>2012</v>
      </c>
      <c r="M2" s="26">
        <v>0</v>
      </c>
      <c r="N2" s="26">
        <f t="shared" ref="N2:N9" si="0">M2*$B$17</f>
        <v>0</v>
      </c>
      <c r="O2" s="26">
        <v>0</v>
      </c>
      <c r="P2" s="26">
        <f t="shared" ref="P2:P9" si="1">O2*$B$17</f>
        <v>0</v>
      </c>
      <c r="Q2" s="26">
        <v>0</v>
      </c>
      <c r="R2" s="26">
        <f t="shared" ref="R2:R9" si="2">Q2*$B$17</f>
        <v>0</v>
      </c>
      <c r="S2">
        <v>0</v>
      </c>
      <c r="T2">
        <f t="shared" ref="T2:T9" si="3">S2*$B$17</f>
        <v>0</v>
      </c>
    </row>
    <row r="3" spans="1:20" x14ac:dyDescent="0.45">
      <c r="A3" s="28"/>
      <c r="B3" s="28">
        <f t="shared" ref="B3:I3" si="4">B2*1000</f>
        <v>0</v>
      </c>
      <c r="C3" s="28">
        <f t="shared" si="4"/>
        <v>0</v>
      </c>
      <c r="D3" s="28">
        <f t="shared" si="4"/>
        <v>1000</v>
      </c>
      <c r="E3" s="28">
        <f t="shared" si="4"/>
        <v>5000</v>
      </c>
      <c r="F3" s="28">
        <f t="shared" si="4"/>
        <v>15000</v>
      </c>
      <c r="G3" s="28">
        <f t="shared" si="4"/>
        <v>20000</v>
      </c>
      <c r="H3" s="28">
        <f t="shared" si="4"/>
        <v>30000</v>
      </c>
      <c r="I3" s="28">
        <f t="shared" si="4"/>
        <v>35000</v>
      </c>
      <c r="J3" t="s">
        <v>151</v>
      </c>
      <c r="L3" s="27">
        <v>2017</v>
      </c>
      <c r="M3" s="26">
        <v>0</v>
      </c>
      <c r="N3" s="26">
        <f t="shared" si="0"/>
        <v>0</v>
      </c>
      <c r="O3" s="26">
        <v>0</v>
      </c>
      <c r="P3" s="26">
        <f t="shared" si="1"/>
        <v>0</v>
      </c>
      <c r="Q3" s="26">
        <v>3000</v>
      </c>
      <c r="R3" s="26">
        <f t="shared" si="2"/>
        <v>23690563.339058191</v>
      </c>
      <c r="S3">
        <v>5000</v>
      </c>
      <c r="T3">
        <f t="shared" si="3"/>
        <v>39484272.231763646</v>
      </c>
    </row>
    <row r="4" spans="1:20" x14ac:dyDescent="0.45">
      <c r="A4" s="28" t="s">
        <v>134</v>
      </c>
      <c r="B4" s="28">
        <v>0</v>
      </c>
      <c r="C4" s="28">
        <v>0</v>
      </c>
      <c r="D4" s="28">
        <v>0</v>
      </c>
      <c r="E4" s="28">
        <v>1</v>
      </c>
      <c r="F4" s="28">
        <v>2</v>
      </c>
      <c r="G4" s="28">
        <v>5</v>
      </c>
      <c r="H4" s="28">
        <v>7</v>
      </c>
      <c r="I4" s="28">
        <v>8</v>
      </c>
      <c r="L4" s="27">
        <v>2022</v>
      </c>
      <c r="M4" s="26">
        <v>1000</v>
      </c>
      <c r="N4" s="26">
        <f t="shared" si="0"/>
        <v>7896854.4463527296</v>
      </c>
      <c r="O4" s="26">
        <v>0</v>
      </c>
      <c r="P4" s="26">
        <f t="shared" si="1"/>
        <v>0</v>
      </c>
      <c r="Q4" s="26">
        <v>15000</v>
      </c>
      <c r="R4" s="26">
        <f t="shared" si="2"/>
        <v>118452816.69529094</v>
      </c>
      <c r="S4">
        <v>30000</v>
      </c>
      <c r="T4">
        <f t="shared" si="3"/>
        <v>236905633.39058188</v>
      </c>
    </row>
    <row r="5" spans="1:20" x14ac:dyDescent="0.45">
      <c r="A5" s="28"/>
      <c r="B5" s="28">
        <f t="shared" ref="B5:I5" si="5">B4*1000</f>
        <v>0</v>
      </c>
      <c r="C5" s="28">
        <f t="shared" si="5"/>
        <v>0</v>
      </c>
      <c r="D5" s="28">
        <f t="shared" si="5"/>
        <v>0</v>
      </c>
      <c r="E5" s="28">
        <f t="shared" si="5"/>
        <v>1000</v>
      </c>
      <c r="F5" s="28">
        <f t="shared" si="5"/>
        <v>2000</v>
      </c>
      <c r="G5" s="28">
        <f t="shared" si="5"/>
        <v>5000</v>
      </c>
      <c r="H5" s="28">
        <f t="shared" si="5"/>
        <v>7000</v>
      </c>
      <c r="I5" s="28">
        <f t="shared" si="5"/>
        <v>8000</v>
      </c>
      <c r="J5" t="s">
        <v>151</v>
      </c>
      <c r="L5" s="27">
        <v>2027</v>
      </c>
      <c r="M5" s="26">
        <v>5000</v>
      </c>
      <c r="N5" s="26">
        <f t="shared" si="0"/>
        <v>39484272.231763646</v>
      </c>
      <c r="O5" s="26">
        <v>1000</v>
      </c>
      <c r="P5" s="26">
        <f t="shared" si="1"/>
        <v>7896854.4463527296</v>
      </c>
      <c r="Q5" s="26">
        <v>30000</v>
      </c>
      <c r="R5" s="26">
        <f t="shared" si="2"/>
        <v>236905633.39058188</v>
      </c>
      <c r="S5">
        <v>45000</v>
      </c>
      <c r="T5">
        <f t="shared" si="3"/>
        <v>355358450.08587283</v>
      </c>
    </row>
    <row r="6" spans="1:20" x14ac:dyDescent="0.45">
      <c r="A6" s="28" t="s">
        <v>133</v>
      </c>
      <c r="B6" s="28">
        <v>0</v>
      </c>
      <c r="C6" s="28">
        <v>3</v>
      </c>
      <c r="D6" s="28">
        <v>15</v>
      </c>
      <c r="E6" s="28">
        <v>30</v>
      </c>
      <c r="F6" s="28">
        <v>40</v>
      </c>
      <c r="G6" s="28">
        <v>55</v>
      </c>
      <c r="H6" s="28">
        <v>70</v>
      </c>
      <c r="I6" s="28">
        <v>80</v>
      </c>
      <c r="L6" s="27">
        <v>2032</v>
      </c>
      <c r="M6" s="26">
        <v>15000</v>
      </c>
      <c r="N6" s="26">
        <f t="shared" si="0"/>
        <v>118452816.69529094</v>
      </c>
      <c r="O6" s="26">
        <v>2000</v>
      </c>
      <c r="P6" s="26">
        <f t="shared" si="1"/>
        <v>15793708.892705459</v>
      </c>
      <c r="Q6" s="26">
        <v>40000</v>
      </c>
      <c r="R6" s="26">
        <f t="shared" si="2"/>
        <v>315874177.85410917</v>
      </c>
      <c r="S6">
        <v>60000</v>
      </c>
      <c r="T6">
        <f t="shared" si="3"/>
        <v>473811266.78116375</v>
      </c>
    </row>
    <row r="7" spans="1:20" x14ac:dyDescent="0.45">
      <c r="A7" s="28"/>
      <c r="B7" s="28">
        <f t="shared" ref="B7:I7" si="6">B6*1000</f>
        <v>0</v>
      </c>
      <c r="C7" s="28">
        <f t="shared" si="6"/>
        <v>3000</v>
      </c>
      <c r="D7" s="28">
        <f t="shared" si="6"/>
        <v>15000</v>
      </c>
      <c r="E7" s="28">
        <f t="shared" si="6"/>
        <v>30000</v>
      </c>
      <c r="F7" s="28">
        <f t="shared" si="6"/>
        <v>40000</v>
      </c>
      <c r="G7" s="28">
        <f t="shared" si="6"/>
        <v>55000</v>
      </c>
      <c r="H7" s="28">
        <f t="shared" si="6"/>
        <v>70000</v>
      </c>
      <c r="I7" s="28">
        <f t="shared" si="6"/>
        <v>80000</v>
      </c>
      <c r="J7" t="s">
        <v>151</v>
      </c>
      <c r="L7" s="27">
        <v>2037</v>
      </c>
      <c r="M7" s="26">
        <v>20000</v>
      </c>
      <c r="N7" s="26">
        <f t="shared" si="0"/>
        <v>157937088.92705458</v>
      </c>
      <c r="O7" s="26">
        <v>5000</v>
      </c>
      <c r="P7" s="26">
        <f t="shared" si="1"/>
        <v>39484272.231763646</v>
      </c>
      <c r="Q7" s="26">
        <v>55000</v>
      </c>
      <c r="R7" s="26">
        <f t="shared" si="2"/>
        <v>434326994.54940015</v>
      </c>
      <c r="S7">
        <v>70000</v>
      </c>
      <c r="T7">
        <f t="shared" si="3"/>
        <v>552779811.24469101</v>
      </c>
    </row>
    <row r="8" spans="1:20" x14ac:dyDescent="0.45">
      <c r="A8" s="28" t="s">
        <v>132</v>
      </c>
      <c r="B8" s="28">
        <v>0</v>
      </c>
      <c r="C8" s="28">
        <v>5</v>
      </c>
      <c r="D8" s="28">
        <v>30</v>
      </c>
      <c r="E8" s="28">
        <v>45</v>
      </c>
      <c r="F8" s="28">
        <v>60</v>
      </c>
      <c r="G8" s="28">
        <v>70</v>
      </c>
      <c r="H8" s="28">
        <v>85</v>
      </c>
      <c r="I8" s="28">
        <v>90</v>
      </c>
      <c r="L8" s="27">
        <v>2042</v>
      </c>
      <c r="M8" s="26">
        <v>30000</v>
      </c>
      <c r="N8" s="26">
        <f t="shared" si="0"/>
        <v>236905633.39058188</v>
      </c>
      <c r="O8" s="26">
        <v>7000</v>
      </c>
      <c r="P8" s="26">
        <f t="shared" si="1"/>
        <v>55277981.124469109</v>
      </c>
      <c r="Q8" s="26">
        <v>70000</v>
      </c>
      <c r="R8" s="26">
        <f t="shared" si="2"/>
        <v>552779811.24469101</v>
      </c>
      <c r="S8">
        <v>85000</v>
      </c>
      <c r="T8">
        <f t="shared" si="3"/>
        <v>671232627.93998206</v>
      </c>
    </row>
    <row r="9" spans="1:20" x14ac:dyDescent="0.45">
      <c r="A9" s="28"/>
      <c r="B9" s="28">
        <f t="shared" ref="B9:I9" si="7">B8*1000</f>
        <v>0</v>
      </c>
      <c r="C9" s="28">
        <f t="shared" si="7"/>
        <v>5000</v>
      </c>
      <c r="D9" s="28">
        <f t="shared" si="7"/>
        <v>30000</v>
      </c>
      <c r="E9" s="28">
        <f t="shared" si="7"/>
        <v>45000</v>
      </c>
      <c r="F9" s="28">
        <f t="shared" si="7"/>
        <v>60000</v>
      </c>
      <c r="G9" s="28">
        <f t="shared" si="7"/>
        <v>70000</v>
      </c>
      <c r="H9" s="28">
        <f t="shared" si="7"/>
        <v>85000</v>
      </c>
      <c r="I9" s="28">
        <f t="shared" si="7"/>
        <v>90000</v>
      </c>
      <c r="J9" t="s">
        <v>151</v>
      </c>
      <c r="L9" s="27">
        <v>2047</v>
      </c>
      <c r="M9" s="26">
        <v>35000</v>
      </c>
      <c r="N9" s="26">
        <f t="shared" si="0"/>
        <v>276389905.62234551</v>
      </c>
      <c r="O9" s="26">
        <v>8000</v>
      </c>
      <c r="P9" s="26">
        <f t="shared" si="1"/>
        <v>63174835.570821837</v>
      </c>
      <c r="Q9" s="26">
        <v>80000</v>
      </c>
      <c r="R9" s="26">
        <f t="shared" si="2"/>
        <v>631748355.70821834</v>
      </c>
      <c r="S9">
        <v>90000</v>
      </c>
      <c r="T9">
        <f t="shared" si="3"/>
        <v>710716900.17174566</v>
      </c>
    </row>
    <row r="10" spans="1:20" x14ac:dyDescent="0.45">
      <c r="A10" s="6" t="s">
        <v>150</v>
      </c>
    </row>
    <row r="11" spans="1:20" x14ac:dyDescent="0.45">
      <c r="A11" s="6" t="s">
        <v>149</v>
      </c>
    </row>
    <row r="12" spans="1:20" ht="28.5" x14ac:dyDescent="0.45">
      <c r="A12" t="s">
        <v>148</v>
      </c>
      <c r="B12" s="9" t="s">
        <v>147</v>
      </c>
      <c r="C12" s="9" t="s">
        <v>146</v>
      </c>
      <c r="D12" s="9" t="s">
        <v>145</v>
      </c>
      <c r="E12" s="9" t="s">
        <v>144</v>
      </c>
    </row>
    <row r="13" spans="1:20" ht="28.5" x14ac:dyDescent="0.45">
      <c r="A13" s="9" t="s">
        <v>143</v>
      </c>
      <c r="B13">
        <v>395.1</v>
      </c>
      <c r="C13">
        <v>2151</v>
      </c>
      <c r="D13">
        <v>607</v>
      </c>
      <c r="E13">
        <v>553.70000000000005</v>
      </c>
    </row>
    <row r="14" spans="1:20" ht="28.5" x14ac:dyDescent="0.45">
      <c r="A14" s="9" t="s">
        <v>142</v>
      </c>
      <c r="B14">
        <v>3.29</v>
      </c>
      <c r="C14">
        <v>14.1</v>
      </c>
      <c r="D14">
        <v>4.9000000000000004</v>
      </c>
      <c r="E14">
        <v>4.78</v>
      </c>
    </row>
    <row r="15" spans="1:20" ht="28.5" x14ac:dyDescent="0.45">
      <c r="A15" s="9" t="s">
        <v>141</v>
      </c>
      <c r="B15">
        <f>B14*10^6</f>
        <v>3290000</v>
      </c>
      <c r="C15">
        <f>C14*10^6</f>
        <v>14100000</v>
      </c>
      <c r="D15">
        <f>D14*10^6</f>
        <v>4900000</v>
      </c>
      <c r="E15">
        <f>E14*10^6</f>
        <v>4780000</v>
      </c>
    </row>
    <row r="16" spans="1:20" ht="28.5" x14ac:dyDescent="0.45">
      <c r="A16" s="9" t="s">
        <v>140</v>
      </c>
      <c r="B16" s="23">
        <f>B15/B13</f>
        <v>8327.0058213110606</v>
      </c>
      <c r="C16" s="23">
        <f>C15/C13</f>
        <v>6555.090655509066</v>
      </c>
      <c r="D16" s="23">
        <f>D15/D13</f>
        <v>8072.4876441515653</v>
      </c>
      <c r="E16" s="23">
        <f>E15/E13</f>
        <v>8632.8336644392257</v>
      </c>
    </row>
    <row r="17" spans="1:40" x14ac:dyDescent="0.45">
      <c r="A17" s="9" t="s">
        <v>139</v>
      </c>
      <c r="B17" s="25">
        <f>AVERAGE(B16:E16)</f>
        <v>7896.8544463527296</v>
      </c>
    </row>
    <row r="18" spans="1:40" x14ac:dyDescent="0.45">
      <c r="A18" s="24" t="s">
        <v>138</v>
      </c>
      <c r="B18" s="25"/>
    </row>
    <row r="19" spans="1:40" ht="28.5" x14ac:dyDescent="0.45">
      <c r="A19" s="24" t="s">
        <v>137</v>
      </c>
    </row>
    <row r="20" spans="1:40" x14ac:dyDescent="0.45">
      <c r="A20" s="24"/>
    </row>
    <row r="21" spans="1:40" x14ac:dyDescent="0.45">
      <c r="A21" s="9" t="s">
        <v>136</v>
      </c>
    </row>
    <row r="22" spans="1:40" x14ac:dyDescent="0.45">
      <c r="B22" s="12">
        <v>2012</v>
      </c>
      <c r="C22">
        <f t="shared" ref="C22:AN22" si="8">B22+1</f>
        <v>2013</v>
      </c>
      <c r="D22">
        <f t="shared" si="8"/>
        <v>2014</v>
      </c>
      <c r="E22">
        <f t="shared" si="8"/>
        <v>2015</v>
      </c>
      <c r="F22">
        <f t="shared" si="8"/>
        <v>2016</v>
      </c>
      <c r="G22" s="12">
        <f t="shared" si="8"/>
        <v>2017</v>
      </c>
      <c r="H22">
        <f t="shared" si="8"/>
        <v>2018</v>
      </c>
      <c r="I22">
        <f t="shared" si="8"/>
        <v>2019</v>
      </c>
      <c r="J22">
        <f t="shared" si="8"/>
        <v>2020</v>
      </c>
      <c r="K22">
        <f t="shared" si="8"/>
        <v>2021</v>
      </c>
      <c r="L22" s="12">
        <f t="shared" si="8"/>
        <v>2022</v>
      </c>
      <c r="M22">
        <f t="shared" si="8"/>
        <v>2023</v>
      </c>
      <c r="N22">
        <f t="shared" si="8"/>
        <v>2024</v>
      </c>
      <c r="O22">
        <f t="shared" si="8"/>
        <v>2025</v>
      </c>
      <c r="P22">
        <f t="shared" si="8"/>
        <v>2026</v>
      </c>
      <c r="Q22" s="12">
        <f t="shared" si="8"/>
        <v>2027</v>
      </c>
      <c r="R22">
        <f t="shared" si="8"/>
        <v>2028</v>
      </c>
      <c r="S22">
        <f t="shared" si="8"/>
        <v>2029</v>
      </c>
      <c r="T22">
        <f t="shared" si="8"/>
        <v>2030</v>
      </c>
      <c r="U22">
        <f t="shared" si="8"/>
        <v>2031</v>
      </c>
      <c r="V22" s="12">
        <f t="shared" si="8"/>
        <v>2032</v>
      </c>
      <c r="W22">
        <f t="shared" si="8"/>
        <v>2033</v>
      </c>
      <c r="X22">
        <f t="shared" si="8"/>
        <v>2034</v>
      </c>
      <c r="Y22">
        <f t="shared" si="8"/>
        <v>2035</v>
      </c>
      <c r="Z22">
        <f t="shared" si="8"/>
        <v>2036</v>
      </c>
      <c r="AA22" s="12">
        <f t="shared" si="8"/>
        <v>2037</v>
      </c>
      <c r="AB22">
        <f t="shared" si="8"/>
        <v>2038</v>
      </c>
      <c r="AC22">
        <f t="shared" si="8"/>
        <v>2039</v>
      </c>
      <c r="AD22">
        <f t="shared" si="8"/>
        <v>2040</v>
      </c>
      <c r="AE22">
        <f t="shared" si="8"/>
        <v>2041</v>
      </c>
      <c r="AF22" s="12">
        <f t="shared" si="8"/>
        <v>2042</v>
      </c>
      <c r="AG22">
        <f t="shared" si="8"/>
        <v>2043</v>
      </c>
      <c r="AH22">
        <f t="shared" si="8"/>
        <v>2044</v>
      </c>
      <c r="AI22">
        <f t="shared" si="8"/>
        <v>2045</v>
      </c>
      <c r="AJ22">
        <f t="shared" si="8"/>
        <v>2046</v>
      </c>
      <c r="AK22" s="12">
        <f t="shared" si="8"/>
        <v>2047</v>
      </c>
      <c r="AL22">
        <f t="shared" si="8"/>
        <v>2048</v>
      </c>
      <c r="AM22">
        <f t="shared" si="8"/>
        <v>2049</v>
      </c>
      <c r="AN22">
        <f t="shared" si="8"/>
        <v>2050</v>
      </c>
    </row>
    <row r="23" spans="1:40" x14ac:dyDescent="0.45">
      <c r="A23" s="9" t="s">
        <v>135</v>
      </c>
      <c r="B23" s="12">
        <f>N2</f>
        <v>0</v>
      </c>
      <c r="C23">
        <f>FORECAST(C22,$N$2:$N$3,$L$2:$L$3)</f>
        <v>0</v>
      </c>
      <c r="D23">
        <f>FORECAST(D22,$N$2:$N$3,$L$2:$L$3)</f>
        <v>0</v>
      </c>
      <c r="E23">
        <f>FORECAST(E22,$N$2:$N$3,$L$2:$L$3)</f>
        <v>0</v>
      </c>
      <c r="F23">
        <f>FORECAST(F22,$N$2:$N$3,$L$2:$L$3)</f>
        <v>0</v>
      </c>
      <c r="G23" s="12">
        <f>N3</f>
        <v>0</v>
      </c>
      <c r="H23">
        <f>FORECAST(H22,$N$3:$N$4,$L$3:$L$4)</f>
        <v>1579370.8892707825</v>
      </c>
      <c r="I23">
        <f>FORECAST(I22,$N$3:$N$4,$L$3:$L$4)</f>
        <v>3158741.7785410881</v>
      </c>
      <c r="J23">
        <f>FORECAST(J22,$N$3:$N$4,$L$3:$L$4)</f>
        <v>4738112.6678118706</v>
      </c>
      <c r="K23">
        <f>FORECAST(K22,$N$3:$N$4,$L$3:$L$4)</f>
        <v>6317483.5570821762</v>
      </c>
      <c r="L23" s="12">
        <f>N4</f>
        <v>7896854.4463527296</v>
      </c>
      <c r="M23">
        <f>FORECAST(M22,$N$4:$N$5,$L$4:$L$5)</f>
        <v>14214338.003433228</v>
      </c>
      <c r="N23">
        <f>FORECAST(N22,$N$4:$N$5,$L$4:$L$5)</f>
        <v>20531821.560516357</v>
      </c>
      <c r="O23">
        <f>FORECAST(O22,$N$4:$N$5,$L$4:$L$5)</f>
        <v>26849305.11759758</v>
      </c>
      <c r="P23">
        <f>FORECAST(P22,$N$4:$N$5,$L$4:$L$5)</f>
        <v>33166788.67468071</v>
      </c>
      <c r="Q23" s="12">
        <f>N5</f>
        <v>39484272.231763646</v>
      </c>
      <c r="R23">
        <f>FORECAST(R22,$N$5:$N$6,$L$5:$L$6)</f>
        <v>55277981.124469757</v>
      </c>
      <c r="S23">
        <f>FORECAST(S22,$N$5:$N$6,$L$5:$L$6)</f>
        <v>71071690.017177582</v>
      </c>
      <c r="T23">
        <f>FORECAST(T22,$N$5:$N$6,$L$5:$L$6)</f>
        <v>86865398.909881592</v>
      </c>
      <c r="U23">
        <f>FORECAST(U22,$N$5:$N$6,$L$5:$L$6)</f>
        <v>102659107.80258942</v>
      </c>
      <c r="V23" s="12">
        <f>N6</f>
        <v>118452816.69529094</v>
      </c>
      <c r="W23">
        <f>FORECAST(W22,$N$6:$N$7,$L$6:$L$7)</f>
        <v>126349671.14164352</v>
      </c>
      <c r="X23">
        <f>FORECAST(X22,$N$6:$N$7,$L$6:$L$7)</f>
        <v>134246525.58799744</v>
      </c>
      <c r="Y23">
        <f>FORECAST(Y22,$N$6:$N$7,$L$6:$L$7)</f>
        <v>142143380.03434944</v>
      </c>
      <c r="Z23">
        <f>FORECAST(Z22,$N$6:$N$7,$L$6:$L$7)</f>
        <v>150040234.48070145</v>
      </c>
      <c r="AA23" s="12">
        <f>N7</f>
        <v>157937088.92705458</v>
      </c>
      <c r="AB23">
        <f>FORECAST(AB22,$N$7:$N$8,$L$7:$L$8)</f>
        <v>173730797.81975937</v>
      </c>
      <c r="AC23">
        <f>FORECAST(AC22,$N$7:$N$8,$L$7:$L$8)</f>
        <v>189524506.71246719</v>
      </c>
      <c r="AD23">
        <f>FORECAST(AD22,$N$7:$N$8,$L$7:$L$8)</f>
        <v>205318215.6051712</v>
      </c>
      <c r="AE23">
        <f>FORECAST(AE22,$N$7:$N$8,$L$7:$L$8)</f>
        <v>221111924.49787521</v>
      </c>
      <c r="AF23" s="12">
        <f>N8</f>
        <v>236905633.39058188</v>
      </c>
      <c r="AG23">
        <f>FORECAST(AG22,$N$8:$N$9,$L$8:$L$9)</f>
        <v>244802487.83693504</v>
      </c>
      <c r="AH23">
        <f>FORECAST(AH22,$N$8:$N$9,$L$8:$L$9)</f>
        <v>252699342.28328705</v>
      </c>
      <c r="AI23">
        <f>FORECAST(AI22,$N$8:$N$9,$L$8:$L$9)</f>
        <v>260596196.72964096</v>
      </c>
      <c r="AJ23">
        <f>FORECAST(AJ22,$N$8:$N$9,$L$8:$L$9)</f>
        <v>268493051.17599297</v>
      </c>
      <c r="AK23" s="12">
        <f>N9</f>
        <v>276389905.62234551</v>
      </c>
      <c r="AL23">
        <f t="shared" ref="AL23:AN26" si="9">AK23</f>
        <v>276389905.62234551</v>
      </c>
      <c r="AM23">
        <f t="shared" si="9"/>
        <v>276389905.62234551</v>
      </c>
      <c r="AN23">
        <f t="shared" si="9"/>
        <v>276389905.62234551</v>
      </c>
    </row>
    <row r="24" spans="1:40" x14ac:dyDescent="0.45">
      <c r="A24" t="s">
        <v>134</v>
      </c>
      <c r="B24" s="12">
        <f>P2</f>
        <v>0</v>
      </c>
      <c r="C24">
        <f t="shared" ref="C24:L24" si="10">B24</f>
        <v>0</v>
      </c>
      <c r="D24">
        <f t="shared" si="10"/>
        <v>0</v>
      </c>
      <c r="E24">
        <f t="shared" si="10"/>
        <v>0</v>
      </c>
      <c r="F24">
        <f t="shared" si="10"/>
        <v>0</v>
      </c>
      <c r="G24" s="12">
        <f t="shared" si="10"/>
        <v>0</v>
      </c>
      <c r="H24">
        <f t="shared" si="10"/>
        <v>0</v>
      </c>
      <c r="I24">
        <f t="shared" si="10"/>
        <v>0</v>
      </c>
      <c r="J24">
        <f t="shared" si="10"/>
        <v>0</v>
      </c>
      <c r="K24">
        <f t="shared" si="10"/>
        <v>0</v>
      </c>
      <c r="L24" s="12">
        <f t="shared" si="10"/>
        <v>0</v>
      </c>
      <c r="M24">
        <f>FORECAST(M22,$P$4:$P$5,$L$4:$L$5)</f>
        <v>1579370.8892703056</v>
      </c>
      <c r="N24">
        <f>FORECAST(N22,$P$4:$P$5,$L$4:$L$5)</f>
        <v>3158741.7785410881</v>
      </c>
      <c r="O24">
        <f>FORECAST(O22,$P$4:$P$5,$L$4:$L$5)</f>
        <v>4738112.6678113937</v>
      </c>
      <c r="P24">
        <f>FORECAST(P22,$P$4:$P$5,$L$4:$L$5)</f>
        <v>6317483.5570821762</v>
      </c>
      <c r="Q24" s="12">
        <f>P5</f>
        <v>7896854.4463527296</v>
      </c>
      <c r="R24">
        <f>FORECAST(R22,$P$5:$P$6,$L$5:$L$6)</f>
        <v>9476225.3356232643</v>
      </c>
      <c r="S24">
        <f>FORECAST(S22,$P$5:$P$6,$L$5:$L$6)</f>
        <v>11055596.22489357</v>
      </c>
      <c r="T24">
        <f>FORECAST(T22,$P$5:$P$6,$L$5:$L$6)</f>
        <v>12634967.114164352</v>
      </c>
      <c r="U24">
        <f>FORECAST(U22,$P$5:$P$6,$L$5:$L$6)</f>
        <v>14214338.003434658</v>
      </c>
      <c r="V24" s="12">
        <f>P6</f>
        <v>15793708.892705459</v>
      </c>
      <c r="W24">
        <f>FORECAST(W22,$P$6:$P$7,$L$6:$L$7)</f>
        <v>20531821.560518265</v>
      </c>
      <c r="X24">
        <f>FORECAST(X22,$P$6:$P$7,$L$6:$L$7)</f>
        <v>25269934.228328705</v>
      </c>
      <c r="Y24">
        <f>FORECAST(Y22,$P$6:$P$7,$L$6:$L$7)</f>
        <v>30008046.896141052</v>
      </c>
      <c r="Z24">
        <f>FORECAST(Z22,$P$6:$P$7,$L$6:$L$7)</f>
        <v>34746159.563951492</v>
      </c>
      <c r="AA24" s="12">
        <f>P7</f>
        <v>39484272.231763646</v>
      </c>
      <c r="AB24">
        <f>FORECAST(AB22,$P$7:$P$8,$L$7:$L$8)</f>
        <v>42643014.010305405</v>
      </c>
      <c r="AC24">
        <f>FORECAST(AC22,$P$7:$P$8,$L$7:$L$8)</f>
        <v>45801755.788846016</v>
      </c>
      <c r="AD24">
        <f>FORECAST(AD22,$P$7:$P$8,$L$7:$L$8)</f>
        <v>48960497.567387581</v>
      </c>
      <c r="AE24">
        <f>FORECAST(AE22,$P$7:$P$8,$L$7:$L$8)</f>
        <v>52119239.345928192</v>
      </c>
      <c r="AF24" s="12">
        <f>P8</f>
        <v>55277981.124469109</v>
      </c>
      <c r="AG24">
        <f>FORECAST(AG22,$P$8:$P$9,$L$8:$L$9)</f>
        <v>56857352.013739109</v>
      </c>
      <c r="AH24">
        <f>FORECAST(AH22,$P$8:$P$9,$L$8:$L$9)</f>
        <v>58436722.903009892</v>
      </c>
      <c r="AI24">
        <f>FORECAST(AI22,$P$8:$P$9,$L$8:$L$9)</f>
        <v>60016093.792280197</v>
      </c>
      <c r="AJ24">
        <f>FORECAST(AJ22,$P$8:$P$9,$L$8:$L$9)</f>
        <v>61595464.68155098</v>
      </c>
      <c r="AK24" s="12">
        <f>P9</f>
        <v>63174835.570821837</v>
      </c>
      <c r="AL24">
        <f t="shared" si="9"/>
        <v>63174835.570821837</v>
      </c>
      <c r="AM24">
        <f t="shared" si="9"/>
        <v>63174835.570821837</v>
      </c>
      <c r="AN24">
        <f t="shared" si="9"/>
        <v>63174835.570821837</v>
      </c>
    </row>
    <row r="25" spans="1:40" x14ac:dyDescent="0.45">
      <c r="A25" s="9" t="s">
        <v>133</v>
      </c>
      <c r="B25" s="12">
        <f>R2</f>
        <v>0</v>
      </c>
      <c r="C25">
        <f>FORECAST(C22,$R$2:$R$3,$L$2:$L$3)</f>
        <v>4738112.6678123474</v>
      </c>
      <c r="D25">
        <f>FORECAST(D22,$R$2:$R$3,$L$2:$L$3)</f>
        <v>9476225.3356246948</v>
      </c>
      <c r="E25">
        <f>FORECAST(E22,$R$2:$R$3,$L$2:$L$3)</f>
        <v>14214338.003435135</v>
      </c>
      <c r="F25">
        <f>FORECAST(F22,$R$2:$R$3,$L$2:$L$3)</f>
        <v>18952450.671247482</v>
      </c>
      <c r="G25" s="12">
        <f>R3</f>
        <v>23690563.339058191</v>
      </c>
      <c r="H25">
        <f>FORECAST(H22,$R$3:$R$4,$L$3:$L$4)</f>
        <v>42643014.010299683</v>
      </c>
      <c r="I25">
        <f>FORECAST(I22,$R$3:$R$4,$L$3:$L$4)</f>
        <v>61595464.681549072</v>
      </c>
      <c r="J25">
        <f>FORECAST(J22,$R$3:$R$4,$L$3:$L$4)</f>
        <v>80547915.352790833</v>
      </c>
      <c r="K25">
        <f>FORECAST(K22,$R$3:$R$4,$L$3:$L$4)</f>
        <v>99500366.024040222</v>
      </c>
      <c r="L25" s="12">
        <f>R4</f>
        <v>118452816.69529094</v>
      </c>
      <c r="M25">
        <f>FORECAST(M22,$R$4:$R$5,$L$4:$L$5)</f>
        <v>142143380.03434753</v>
      </c>
      <c r="N25">
        <f>FORECAST(N22,$R$4:$R$5,$L$4:$L$5)</f>
        <v>165833943.37340546</v>
      </c>
      <c r="O25">
        <f>FORECAST(O22,$R$4:$R$5,$L$4:$L$5)</f>
        <v>189524506.71246338</v>
      </c>
      <c r="P25">
        <f>FORECAST(P22,$R$4:$R$5,$L$4:$L$5)</f>
        <v>213215070.0515213</v>
      </c>
      <c r="Q25" s="12">
        <f>R5</f>
        <v>236905633.39058188</v>
      </c>
      <c r="R25">
        <f>FORECAST(R22,$R$5:$R$6,$L$5:$L$6)</f>
        <v>252699342.28328705</v>
      </c>
      <c r="S25">
        <f>FORECAST(S22,$R$5:$R$6,$L$5:$L$6)</f>
        <v>268493051.17599487</v>
      </c>
      <c r="T25">
        <f>FORECAST(T22,$R$5:$R$6,$L$5:$L$6)</f>
        <v>284286760.06869888</v>
      </c>
      <c r="U25">
        <f>FORECAST(U22,$R$5:$R$6,$L$5:$L$6)</f>
        <v>300080468.96140671</v>
      </c>
      <c r="V25" s="12">
        <f>R6</f>
        <v>315874177.85410917</v>
      </c>
      <c r="W25">
        <f>FORECAST(W22,$R$6:$R$7,$L$6:$L$7)</f>
        <v>339564741.19316101</v>
      </c>
      <c r="X25">
        <f>FORECAST(X22,$R$6:$R$7,$L$6:$L$7)</f>
        <v>363255304.53221893</v>
      </c>
      <c r="Y25">
        <f>FORECAST(Y22,$R$6:$R$7,$L$6:$L$7)</f>
        <v>386945867.87128448</v>
      </c>
      <c r="Z25">
        <f>FORECAST(Z22,$R$6:$R$7,$L$6:$L$7)</f>
        <v>410636431.21034241</v>
      </c>
      <c r="AA25" s="12">
        <f>R7</f>
        <v>434326994.54940015</v>
      </c>
      <c r="AB25">
        <f>FORECAST(AB22,$R$7:$R$8,$L$7:$L$8)</f>
        <v>458017557.88846588</v>
      </c>
      <c r="AC25">
        <f>FORECAST(AC22,$R$7:$R$8,$L$7:$L$8)</f>
        <v>481708121.2275238</v>
      </c>
      <c r="AD25">
        <f>FORECAST(AD22,$R$7:$R$8,$L$7:$L$8)</f>
        <v>505398684.56658173</v>
      </c>
      <c r="AE25">
        <f>FORECAST(AE22,$R$7:$R$8,$L$7:$L$8)</f>
        <v>529089247.90563965</v>
      </c>
      <c r="AF25" s="12">
        <f>R8</f>
        <v>552779811.24469101</v>
      </c>
      <c r="AG25">
        <f>FORECAST(AG22,$R$8:$R$9,$L$8:$L$9)</f>
        <v>568573520.13739777</v>
      </c>
      <c r="AH25">
        <f>FORECAST(AH22,$R$8:$R$9,$L$8:$L$9)</f>
        <v>584367229.03010178</v>
      </c>
      <c r="AI25">
        <f>FORECAST(AI22,$R$8:$R$9,$L$8:$L$9)</f>
        <v>600160937.9228096</v>
      </c>
      <c r="AJ25">
        <f>FORECAST(AJ22,$R$8:$R$9,$L$8:$L$9)</f>
        <v>615954646.81551361</v>
      </c>
      <c r="AK25" s="12">
        <f>R9</f>
        <v>631748355.70821834</v>
      </c>
      <c r="AL25">
        <f t="shared" si="9"/>
        <v>631748355.70821834</v>
      </c>
      <c r="AM25">
        <f t="shared" si="9"/>
        <v>631748355.70821834</v>
      </c>
      <c r="AN25">
        <f t="shared" si="9"/>
        <v>631748355.70821834</v>
      </c>
    </row>
    <row r="26" spans="1:40" x14ac:dyDescent="0.45">
      <c r="A26" t="s">
        <v>132</v>
      </c>
      <c r="B26" s="12">
        <f>T2</f>
        <v>0</v>
      </c>
      <c r="C26">
        <f>FORECAST(C22,$T$2:$T$3,$L$2:$L$3)</f>
        <v>7896854.446352005</v>
      </c>
      <c r="D26">
        <f>FORECAST(D22,$T$2:$T$3,$L$2:$L$3)</f>
        <v>15793708.89270401</v>
      </c>
      <c r="E26">
        <f>FORECAST(E22,$T$2:$T$3,$L$2:$L$3)</f>
        <v>23690563.339056015</v>
      </c>
      <c r="F26">
        <f>FORECAST(F22,$T$2:$T$3,$L$2:$L$3)</f>
        <v>31587417.785409927</v>
      </c>
      <c r="G26" s="12">
        <f>T3</f>
        <v>39484272.231763646</v>
      </c>
      <c r="H26">
        <f>FORECAST(H22,$T$3:$T$4,$L$3:$L$4)</f>
        <v>78968544.463531494</v>
      </c>
      <c r="I26">
        <f>FORECAST(I22,$T$3:$T$4,$L$3:$L$4)</f>
        <v>118452816.69529724</v>
      </c>
      <c r="J26">
        <f>FORECAST(J22,$T$3:$T$4,$L$3:$L$4)</f>
        <v>157937088.92706299</v>
      </c>
      <c r="K26">
        <f>FORECAST(K22,$T$3:$T$4,$L$3:$L$4)</f>
        <v>197421361.15882874</v>
      </c>
      <c r="L26" s="12">
        <f>T4</f>
        <v>236905633.39058188</v>
      </c>
      <c r="M26">
        <f>FORECAST(M22,$T$4:$T$5,$L$4:$L$5)</f>
        <v>260596196.72963715</v>
      </c>
      <c r="N26">
        <f>FORECAST(N22,$T$4:$T$5,$L$4:$L$5)</f>
        <v>284286760.06869507</v>
      </c>
      <c r="O26">
        <f>FORECAST(O22,$T$4:$T$5,$L$4:$L$5)</f>
        <v>307977323.40775299</v>
      </c>
      <c r="P26">
        <f>FORECAST(P22,$T$4:$T$5,$L$4:$L$5)</f>
        <v>331667886.74681091</v>
      </c>
      <c r="Q26" s="12">
        <f>T5</f>
        <v>355358450.08587283</v>
      </c>
      <c r="R26">
        <f>FORECAST(R22,$T$5:$T$6,$L$5:$L$6)</f>
        <v>379049013.42492676</v>
      </c>
      <c r="S26">
        <f>FORECAST(S22,$T$5:$T$6,$L$5:$L$6)</f>
        <v>402739576.76398468</v>
      </c>
      <c r="T26">
        <f>FORECAST(T22,$T$5:$T$6,$L$5:$L$6)</f>
        <v>426430140.1030426</v>
      </c>
      <c r="U26">
        <f>FORECAST(U22,$T$5:$T$6,$L$5:$L$6)</f>
        <v>450120703.44210052</v>
      </c>
      <c r="V26" s="12">
        <f>T6</f>
        <v>473811266.78116375</v>
      </c>
      <c r="W26">
        <f>FORECAST(W22,$T$6:$T$7,$L$6:$L$7)</f>
        <v>489604975.67387009</v>
      </c>
      <c r="X26">
        <f>FORECAST(X22,$T$6:$T$7,$L$6:$L$7)</f>
        <v>505398684.56657791</v>
      </c>
      <c r="Y26">
        <f>FORECAST(Y22,$T$6:$T$7,$L$6:$L$7)</f>
        <v>521192393.45928192</v>
      </c>
      <c r="Z26">
        <f>FORECAST(Z22,$T$6:$T$7,$L$6:$L$7)</f>
        <v>536986102.35198593</v>
      </c>
      <c r="AA26" s="12">
        <f>T7</f>
        <v>552779811.24469101</v>
      </c>
      <c r="AB26">
        <f>FORECAST(AB22,$T$7:$T$8,$L$7:$L$8)</f>
        <v>576470374.58375549</v>
      </c>
      <c r="AC26">
        <f>FORECAST(AC22,$T$7:$T$8,$L$7:$L$8)</f>
        <v>600160937.92281342</v>
      </c>
      <c r="AD26">
        <f>FORECAST(AD22,$T$7:$T$8,$L$7:$L$8)</f>
        <v>623851501.26187134</v>
      </c>
      <c r="AE26">
        <f>FORECAST(AE22,$T$7:$T$8,$L$7:$L$8)</f>
        <v>647542064.60092926</v>
      </c>
      <c r="AF26" s="12">
        <f>T8</f>
        <v>671232627.93998206</v>
      </c>
      <c r="AG26">
        <f>FORECAST(AG22,$T$8:$T$9,$L$8:$L$9)</f>
        <v>679129482.38633537</v>
      </c>
      <c r="AH26">
        <f>FORECAST(AH22,$T$8:$T$9,$L$8:$L$9)</f>
        <v>687026336.83268738</v>
      </c>
      <c r="AI26">
        <f>FORECAST(AI22,$T$8:$T$9,$L$8:$L$9)</f>
        <v>694923191.27904129</v>
      </c>
      <c r="AJ26">
        <f>FORECAST(AJ22,$T$8:$T$9,$L$8:$L$9)</f>
        <v>702820045.7253933</v>
      </c>
      <c r="AK26" s="12">
        <f>T9</f>
        <v>710716900.17174566</v>
      </c>
      <c r="AL26">
        <f t="shared" si="9"/>
        <v>710716900.17174566</v>
      </c>
      <c r="AM26">
        <f t="shared" si="9"/>
        <v>710716900.17174566</v>
      </c>
      <c r="AN26">
        <f t="shared" si="9"/>
        <v>710716900.17174566</v>
      </c>
    </row>
    <row r="27" spans="1:40" x14ac:dyDescent="0.45">
      <c r="A27" s="9" t="s">
        <v>131</v>
      </c>
      <c r="E27">
        <f t="shared" ref="E27:AN27" si="11">E24</f>
        <v>0</v>
      </c>
      <c r="F27">
        <f t="shared" si="11"/>
        <v>0</v>
      </c>
      <c r="G27">
        <f t="shared" si="11"/>
        <v>0</v>
      </c>
      <c r="H27">
        <f t="shared" si="11"/>
        <v>0</v>
      </c>
      <c r="I27">
        <f t="shared" si="11"/>
        <v>0</v>
      </c>
      <c r="J27">
        <f t="shared" si="11"/>
        <v>0</v>
      </c>
      <c r="K27">
        <f t="shared" si="11"/>
        <v>0</v>
      </c>
      <c r="L27">
        <f t="shared" si="11"/>
        <v>0</v>
      </c>
      <c r="M27">
        <f t="shared" si="11"/>
        <v>1579370.8892703056</v>
      </c>
      <c r="N27">
        <f t="shared" si="11"/>
        <v>3158741.7785410881</v>
      </c>
      <c r="O27">
        <f t="shared" si="11"/>
        <v>4738112.6678113937</v>
      </c>
      <c r="P27">
        <f t="shared" si="11"/>
        <v>6317483.5570821762</v>
      </c>
      <c r="Q27">
        <f t="shared" si="11"/>
        <v>7896854.4463527296</v>
      </c>
      <c r="R27">
        <f t="shared" si="11"/>
        <v>9476225.3356232643</v>
      </c>
      <c r="S27">
        <f t="shared" si="11"/>
        <v>11055596.22489357</v>
      </c>
      <c r="T27">
        <f t="shared" si="11"/>
        <v>12634967.114164352</v>
      </c>
      <c r="U27">
        <f t="shared" si="11"/>
        <v>14214338.003434658</v>
      </c>
      <c r="V27">
        <f t="shared" si="11"/>
        <v>15793708.892705459</v>
      </c>
      <c r="W27">
        <f t="shared" si="11"/>
        <v>20531821.560518265</v>
      </c>
      <c r="X27">
        <f t="shared" si="11"/>
        <v>25269934.228328705</v>
      </c>
      <c r="Y27">
        <f t="shared" si="11"/>
        <v>30008046.896141052</v>
      </c>
      <c r="Z27">
        <f t="shared" si="11"/>
        <v>34746159.563951492</v>
      </c>
      <c r="AA27">
        <f t="shared" si="11"/>
        <v>39484272.231763646</v>
      </c>
      <c r="AB27">
        <f t="shared" si="11"/>
        <v>42643014.010305405</v>
      </c>
      <c r="AC27">
        <f t="shared" si="11"/>
        <v>45801755.788846016</v>
      </c>
      <c r="AD27">
        <f t="shared" si="11"/>
        <v>48960497.567387581</v>
      </c>
      <c r="AE27">
        <f t="shared" si="11"/>
        <v>52119239.345928192</v>
      </c>
      <c r="AF27">
        <f t="shared" si="11"/>
        <v>55277981.124469109</v>
      </c>
      <c r="AG27">
        <f t="shared" si="11"/>
        <v>56857352.013739109</v>
      </c>
      <c r="AH27">
        <f t="shared" si="11"/>
        <v>58436722.903009892</v>
      </c>
      <c r="AI27">
        <f t="shared" si="11"/>
        <v>60016093.792280197</v>
      </c>
      <c r="AJ27">
        <f t="shared" si="11"/>
        <v>61595464.68155098</v>
      </c>
      <c r="AK27">
        <f t="shared" si="11"/>
        <v>63174835.570821837</v>
      </c>
      <c r="AL27">
        <f t="shared" si="11"/>
        <v>63174835.570821837</v>
      </c>
      <c r="AM27">
        <f t="shared" si="11"/>
        <v>63174835.570821837</v>
      </c>
      <c r="AN27">
        <f t="shared" si="11"/>
        <v>63174835.570821837</v>
      </c>
    </row>
    <row r="28" spans="1:40" x14ac:dyDescent="0.45">
      <c r="A28" t="s">
        <v>130</v>
      </c>
      <c r="E28" s="23">
        <f>'[2]CSA-ACP Calculations'!A15</f>
        <v>0</v>
      </c>
      <c r="F28" s="23">
        <f>'[2]CSA-ACP Calculations'!B15</f>
        <v>1000000</v>
      </c>
      <c r="G28" s="23">
        <f>'[2]CSA-ACP Calculations'!C15</f>
        <v>2000000</v>
      </c>
      <c r="H28" s="23">
        <f>'[2]CSA-ACP Calculations'!D15</f>
        <v>3000000</v>
      </c>
      <c r="I28" s="23">
        <f>'[2]CSA-ACP Calculations'!E15</f>
        <v>4000000</v>
      </c>
      <c r="J28" s="23">
        <f>'[2]CSA-ACP Calculations'!F15</f>
        <v>5000000</v>
      </c>
      <c r="K28" s="23">
        <f>'[2]CSA-ACP Calculations'!G15</f>
        <v>6000000</v>
      </c>
      <c r="L28" s="23">
        <f>'[2]CSA-ACP Calculations'!H15</f>
        <v>7000000</v>
      </c>
      <c r="M28" s="23">
        <f>'[2]CSA-ACP Calculations'!I15</f>
        <v>8000000</v>
      </c>
      <c r="N28" s="23">
        <f>'[2]CSA-ACP Calculations'!J15</f>
        <v>9000000</v>
      </c>
      <c r="O28" s="23">
        <f>'[2]CSA-ACP Calculations'!K15</f>
        <v>10000000</v>
      </c>
      <c r="P28" s="23">
        <f>'[2]CSA-ACP Calculations'!L15</f>
        <v>50000000</v>
      </c>
      <c r="Q28" s="23">
        <f>'[2]CSA-ACP Calculations'!M15</f>
        <v>90000000</v>
      </c>
      <c r="R28" s="23">
        <f>'[2]CSA-ACP Calculations'!N15</f>
        <v>130000000</v>
      </c>
      <c r="S28" s="23">
        <f>'[2]CSA-ACP Calculations'!O15</f>
        <v>170000000</v>
      </c>
      <c r="T28" s="23">
        <f>'[2]CSA-ACP Calculations'!P15</f>
        <v>210000000.00000003</v>
      </c>
      <c r="U28" s="23">
        <f>'[2]CSA-ACP Calculations'!Q15</f>
        <v>272000000</v>
      </c>
      <c r="V28" s="23">
        <f>'[2]CSA-ACP Calculations'!R15</f>
        <v>334000000</v>
      </c>
      <c r="W28" s="23">
        <f>'[2]CSA-ACP Calculations'!S15</f>
        <v>396000000</v>
      </c>
      <c r="X28" s="23">
        <f>'[2]CSA-ACP Calculations'!T15</f>
        <v>458000000</v>
      </c>
      <c r="Y28" s="23">
        <f>'[2]CSA-ACP Calculations'!U15</f>
        <v>520000000</v>
      </c>
      <c r="Z28" s="23">
        <f>'[2]CSA-ACP Calculations'!V15</f>
        <v>552000000</v>
      </c>
      <c r="AA28" s="23">
        <f>'[2]CSA-ACP Calculations'!W15</f>
        <v>584000000</v>
      </c>
      <c r="AB28" s="23">
        <f>'[2]CSA-ACP Calculations'!X15</f>
        <v>616000000</v>
      </c>
      <c r="AC28" s="23">
        <f>'[2]CSA-ACP Calculations'!Y15</f>
        <v>648000000</v>
      </c>
      <c r="AD28" s="23">
        <f>'[2]CSA-ACP Calculations'!Z15</f>
        <v>679999999.99999988</v>
      </c>
      <c r="AE28" s="23">
        <f>'[2]CSA-ACP Calculations'!AA15</f>
        <v>710000000</v>
      </c>
      <c r="AF28" s="23">
        <f>'[2]CSA-ACP Calculations'!AB15</f>
        <v>740000000</v>
      </c>
      <c r="AG28" s="23">
        <f>'[2]CSA-ACP Calculations'!AC15</f>
        <v>770000000</v>
      </c>
      <c r="AH28" s="23">
        <f>'[2]CSA-ACP Calculations'!AD15</f>
        <v>800000000</v>
      </c>
      <c r="AI28" s="23">
        <f>'[2]CSA-ACP Calculations'!AE15</f>
        <v>830000000.00000012</v>
      </c>
      <c r="AJ28" s="23">
        <f>'[2]CSA-ACP Calculations'!AF15</f>
        <v>778000000</v>
      </c>
      <c r="AK28" s="23">
        <f>'[2]CSA-ACP Calculations'!AG15</f>
        <v>726000000</v>
      </c>
      <c r="AL28" s="23">
        <f>'[2]CSA-ACP Calculations'!AH15</f>
        <v>674000000</v>
      </c>
      <c r="AM28" s="23">
        <f>'[2]CSA-ACP Calculations'!AI15</f>
        <v>622000000</v>
      </c>
      <c r="AN28" s="23">
        <f>'[2]CSA-ACP Calculations'!AJ15</f>
        <v>570000000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28" workbookViewId="0"/>
  </sheetViews>
  <sheetFormatPr defaultRowHeight="14.25" x14ac:dyDescent="0.45"/>
  <cols>
    <col min="1" max="1" width="35.796875" customWidth="1"/>
    <col min="2" max="2" width="16.19921875" customWidth="1"/>
    <col min="3" max="3" width="13.46484375" customWidth="1"/>
    <col min="4" max="4" width="8.9296875" customWidth="1"/>
    <col min="5" max="5" width="9.46484375" customWidth="1"/>
    <col min="6" max="6" width="13" customWidth="1"/>
    <col min="7" max="7" width="86.46484375" customWidth="1"/>
  </cols>
  <sheetData>
    <row r="1" spans="1:9" x14ac:dyDescent="0.45">
      <c r="A1" s="1" t="s">
        <v>105</v>
      </c>
    </row>
    <row r="2" spans="1:9" x14ac:dyDescent="0.45">
      <c r="A2" s="1" t="s">
        <v>26</v>
      </c>
    </row>
    <row r="3" spans="1:9" x14ac:dyDescent="0.45">
      <c r="A3" s="22" t="s">
        <v>27</v>
      </c>
    </row>
    <row r="4" spans="1:9" x14ac:dyDescent="0.45">
      <c r="A4" s="22" t="s">
        <v>28</v>
      </c>
    </row>
    <row r="5" spans="1:9" x14ac:dyDescent="0.45">
      <c r="A5" s="22" t="s">
        <v>29</v>
      </c>
    </row>
    <row r="7" spans="1:9" x14ac:dyDescent="0.45">
      <c r="A7" s="1" t="s">
        <v>16</v>
      </c>
      <c r="B7" s="1" t="s">
        <v>17</v>
      </c>
      <c r="C7" s="1" t="s">
        <v>18</v>
      </c>
      <c r="D7" s="1" t="s">
        <v>19</v>
      </c>
      <c r="E7" s="1" t="s">
        <v>20</v>
      </c>
      <c r="F7" s="1" t="s">
        <v>21</v>
      </c>
      <c r="G7" s="1" t="s">
        <v>22</v>
      </c>
      <c r="H7" s="11" t="s">
        <v>106</v>
      </c>
      <c r="I7" s="11" t="s">
        <v>107</v>
      </c>
    </row>
    <row r="8" spans="1:9" ht="71.25" x14ac:dyDescent="0.45">
      <c r="A8" s="9" t="s">
        <v>30</v>
      </c>
      <c r="B8" s="9" t="s">
        <v>31</v>
      </c>
      <c r="C8" s="9" t="s">
        <v>32</v>
      </c>
      <c r="D8" s="9" t="s">
        <v>27</v>
      </c>
      <c r="E8" s="9">
        <v>2013</v>
      </c>
      <c r="F8" s="9" t="s">
        <v>33</v>
      </c>
      <c r="G8" s="9" t="s">
        <v>34</v>
      </c>
      <c r="H8" s="12">
        <v>1000000</v>
      </c>
      <c r="I8" s="12">
        <f t="shared" ref="I8:I13" si="0">E8</f>
        <v>2013</v>
      </c>
    </row>
    <row r="9" spans="1:9" ht="57" x14ac:dyDescent="0.45">
      <c r="A9" s="9" t="s">
        <v>35</v>
      </c>
      <c r="B9" s="9" t="s">
        <v>23</v>
      </c>
      <c r="C9" s="9" t="s">
        <v>20</v>
      </c>
      <c r="D9" s="9" t="s">
        <v>27</v>
      </c>
      <c r="E9" s="9">
        <v>2009</v>
      </c>
      <c r="F9" s="9" t="s">
        <v>36</v>
      </c>
      <c r="G9" s="9" t="s">
        <v>37</v>
      </c>
      <c r="H9" s="12">
        <v>190000</v>
      </c>
      <c r="I9" s="12">
        <f t="shared" si="0"/>
        <v>2009</v>
      </c>
    </row>
    <row r="10" spans="1:9" ht="71.25" x14ac:dyDescent="0.45">
      <c r="A10" s="9" t="s">
        <v>38</v>
      </c>
      <c r="B10" s="9" t="s">
        <v>23</v>
      </c>
      <c r="C10" s="9" t="s">
        <v>20</v>
      </c>
      <c r="D10" s="9" t="s">
        <v>27</v>
      </c>
      <c r="E10" s="9">
        <v>2003</v>
      </c>
      <c r="F10" s="9" t="s">
        <v>24</v>
      </c>
      <c r="G10" s="9" t="s">
        <v>39</v>
      </c>
      <c r="H10" s="12">
        <v>350000</v>
      </c>
      <c r="I10" s="12">
        <f t="shared" si="0"/>
        <v>2003</v>
      </c>
    </row>
    <row r="11" spans="1:9" ht="42.75" x14ac:dyDescent="0.45">
      <c r="A11" s="9" t="s">
        <v>40</v>
      </c>
      <c r="B11" s="9" t="s">
        <v>23</v>
      </c>
      <c r="C11" s="9" t="s">
        <v>20</v>
      </c>
      <c r="D11" s="9" t="s">
        <v>27</v>
      </c>
      <c r="E11" s="9">
        <v>2013</v>
      </c>
      <c r="F11" s="9" t="s">
        <v>41</v>
      </c>
      <c r="G11" s="9" t="s">
        <v>42</v>
      </c>
      <c r="H11" s="12">
        <v>250000</v>
      </c>
      <c r="I11" s="12">
        <f t="shared" si="0"/>
        <v>2013</v>
      </c>
    </row>
    <row r="12" spans="1:9" ht="71.25" x14ac:dyDescent="0.45">
      <c r="A12" s="9" t="s">
        <v>43</v>
      </c>
      <c r="B12" s="9" t="s">
        <v>31</v>
      </c>
      <c r="C12" s="9" t="s">
        <v>32</v>
      </c>
      <c r="D12" s="9" t="s">
        <v>27</v>
      </c>
      <c r="E12" s="9">
        <v>2017</v>
      </c>
      <c r="F12" s="9" t="s">
        <v>36</v>
      </c>
      <c r="G12" s="9" t="s">
        <v>44</v>
      </c>
      <c r="H12" s="12">
        <v>1000000</v>
      </c>
      <c r="I12" s="12">
        <f t="shared" si="0"/>
        <v>2017</v>
      </c>
    </row>
    <row r="13" spans="1:9" ht="71.25" x14ac:dyDescent="0.45">
      <c r="A13" s="9" t="s">
        <v>45</v>
      </c>
      <c r="B13" s="9" t="s">
        <v>23</v>
      </c>
      <c r="C13" s="9" t="s">
        <v>20</v>
      </c>
      <c r="D13" s="9" t="s">
        <v>27</v>
      </c>
      <c r="E13" s="9">
        <v>2018</v>
      </c>
      <c r="F13" s="9" t="s">
        <v>25</v>
      </c>
      <c r="G13" s="9" t="s">
        <v>46</v>
      </c>
      <c r="H13" s="12">
        <v>0</v>
      </c>
      <c r="I13" s="12">
        <f t="shared" si="0"/>
        <v>2018</v>
      </c>
    </row>
    <row r="14" spans="1:9" ht="71.25" x14ac:dyDescent="0.45">
      <c r="A14" s="9" t="s">
        <v>47</v>
      </c>
      <c r="B14" s="9" t="s">
        <v>31</v>
      </c>
      <c r="C14" s="9" t="s">
        <v>48</v>
      </c>
      <c r="D14" s="9" t="s">
        <v>27</v>
      </c>
      <c r="E14" s="9" t="s">
        <v>49</v>
      </c>
      <c r="F14" s="9" t="s">
        <v>50</v>
      </c>
      <c r="G14" s="9" t="s">
        <v>51</v>
      </c>
      <c r="H14" s="12">
        <v>4000000</v>
      </c>
      <c r="I14" s="12">
        <v>2022</v>
      </c>
    </row>
    <row r="15" spans="1:9" ht="42.75" x14ac:dyDescent="0.45">
      <c r="A15" s="9" t="s">
        <v>52</v>
      </c>
      <c r="B15" s="9" t="s">
        <v>31</v>
      </c>
      <c r="C15" s="9" t="s">
        <v>53</v>
      </c>
      <c r="D15" s="9" t="s">
        <v>27</v>
      </c>
      <c r="E15" s="9">
        <v>2021</v>
      </c>
      <c r="F15" s="9" t="s">
        <v>36</v>
      </c>
      <c r="G15" s="9" t="s">
        <v>54</v>
      </c>
      <c r="H15" s="12">
        <v>0</v>
      </c>
      <c r="I15" s="12">
        <f>E15</f>
        <v>2021</v>
      </c>
    </row>
    <row r="16" spans="1:9" ht="42.75" x14ac:dyDescent="0.45">
      <c r="A16" s="9" t="s">
        <v>55</v>
      </c>
      <c r="B16" s="9" t="s">
        <v>31</v>
      </c>
      <c r="C16" s="9" t="s">
        <v>53</v>
      </c>
      <c r="D16" s="9" t="s">
        <v>27</v>
      </c>
      <c r="E16" s="9" t="s">
        <v>56</v>
      </c>
      <c r="F16" s="9" t="s">
        <v>57</v>
      </c>
      <c r="G16" s="9" t="s">
        <v>58</v>
      </c>
      <c r="H16" s="12">
        <v>500000</v>
      </c>
      <c r="I16" s="12">
        <v>2025</v>
      </c>
    </row>
    <row r="17" spans="1:9" ht="57" x14ac:dyDescent="0.45">
      <c r="A17" s="9" t="s">
        <v>59</v>
      </c>
      <c r="B17" s="9" t="s">
        <v>31</v>
      </c>
      <c r="C17" s="9" t="s">
        <v>32</v>
      </c>
      <c r="D17" s="9" t="s">
        <v>27</v>
      </c>
      <c r="E17" s="9">
        <v>2017</v>
      </c>
      <c r="F17" s="9" t="s">
        <v>25</v>
      </c>
      <c r="G17" s="9" t="s">
        <v>60</v>
      </c>
      <c r="H17" s="12">
        <v>1400000</v>
      </c>
      <c r="I17" s="12">
        <f t="shared" ref="I17:I25" si="1">E17</f>
        <v>2017</v>
      </c>
    </row>
    <row r="18" spans="1:9" ht="57" x14ac:dyDescent="0.45">
      <c r="A18" s="9" t="s">
        <v>61</v>
      </c>
      <c r="B18" s="9" t="s">
        <v>23</v>
      </c>
      <c r="C18" s="9" t="s">
        <v>20</v>
      </c>
      <c r="D18" s="9" t="s">
        <v>27</v>
      </c>
      <c r="E18" s="9">
        <v>2012</v>
      </c>
      <c r="F18" s="9" t="s">
        <v>36</v>
      </c>
      <c r="G18" s="9" t="s">
        <v>62</v>
      </c>
      <c r="H18" s="12">
        <v>100000</v>
      </c>
      <c r="I18" s="12">
        <f t="shared" si="1"/>
        <v>2012</v>
      </c>
    </row>
    <row r="19" spans="1:9" ht="57" x14ac:dyDescent="0.45">
      <c r="A19" s="9" t="s">
        <v>63</v>
      </c>
      <c r="B19" s="9" t="s">
        <v>31</v>
      </c>
      <c r="C19" s="9" t="s">
        <v>53</v>
      </c>
      <c r="D19" s="9" t="s">
        <v>27</v>
      </c>
      <c r="E19" s="9">
        <v>2026</v>
      </c>
      <c r="F19" s="9" t="s">
        <v>64</v>
      </c>
      <c r="G19" s="9" t="s">
        <v>65</v>
      </c>
      <c r="H19" s="12">
        <v>0</v>
      </c>
      <c r="I19" s="12">
        <f t="shared" si="1"/>
        <v>2026</v>
      </c>
    </row>
    <row r="20" spans="1:9" ht="57" x14ac:dyDescent="0.45">
      <c r="A20" s="9" t="s">
        <v>66</v>
      </c>
      <c r="B20" s="9" t="s">
        <v>31</v>
      </c>
      <c r="C20" s="9" t="s">
        <v>48</v>
      </c>
      <c r="D20" s="9" t="s">
        <v>27</v>
      </c>
      <c r="E20" s="9">
        <v>2025</v>
      </c>
      <c r="F20" s="9" t="s">
        <v>25</v>
      </c>
      <c r="G20" s="9" t="s">
        <v>67</v>
      </c>
      <c r="H20" s="12">
        <v>3000000</v>
      </c>
      <c r="I20" s="12">
        <f t="shared" si="1"/>
        <v>2025</v>
      </c>
    </row>
    <row r="21" spans="1:9" ht="99.75" x14ac:dyDescent="0.45">
      <c r="A21" s="9" t="s">
        <v>68</v>
      </c>
      <c r="B21" s="9" t="s">
        <v>23</v>
      </c>
      <c r="C21" s="9" t="s">
        <v>20</v>
      </c>
      <c r="D21" s="9" t="s">
        <v>27</v>
      </c>
      <c r="E21" s="9">
        <v>2010</v>
      </c>
      <c r="F21" s="9" t="s">
        <v>24</v>
      </c>
      <c r="G21" s="9" t="s">
        <v>69</v>
      </c>
      <c r="H21" s="13">
        <f>4000000/7</f>
        <v>571428.57142857148</v>
      </c>
      <c r="I21" s="12">
        <f t="shared" si="1"/>
        <v>2010</v>
      </c>
    </row>
    <row r="22" spans="1:9" ht="42.75" x14ac:dyDescent="0.45">
      <c r="A22" s="9" t="s">
        <v>70</v>
      </c>
      <c r="B22" s="9" t="s">
        <v>31</v>
      </c>
      <c r="C22" s="9" t="s">
        <v>32</v>
      </c>
      <c r="D22" s="9" t="s">
        <v>27</v>
      </c>
      <c r="E22" s="9">
        <v>2010</v>
      </c>
      <c r="F22" s="9" t="s">
        <v>24</v>
      </c>
      <c r="G22" s="9" t="s">
        <v>71</v>
      </c>
      <c r="H22" s="12">
        <v>8400000</v>
      </c>
      <c r="I22" s="12">
        <f t="shared" si="1"/>
        <v>2010</v>
      </c>
    </row>
    <row r="23" spans="1:9" ht="57" x14ac:dyDescent="0.45">
      <c r="A23" s="9" t="s">
        <v>72</v>
      </c>
      <c r="B23" s="9" t="s">
        <v>31</v>
      </c>
      <c r="C23" s="9" t="s">
        <v>32</v>
      </c>
      <c r="D23" s="9" t="s">
        <v>27</v>
      </c>
      <c r="E23" s="9">
        <v>2013</v>
      </c>
      <c r="F23" s="9" t="s">
        <v>41</v>
      </c>
      <c r="G23" s="9" t="s">
        <v>73</v>
      </c>
      <c r="H23" s="12">
        <v>1000000</v>
      </c>
      <c r="I23" s="12">
        <f t="shared" si="1"/>
        <v>2013</v>
      </c>
    </row>
    <row r="24" spans="1:9" ht="57" x14ac:dyDescent="0.45">
      <c r="A24" s="9" t="s">
        <v>74</v>
      </c>
      <c r="B24" s="9" t="s">
        <v>23</v>
      </c>
      <c r="C24" s="9" t="s">
        <v>20</v>
      </c>
      <c r="D24" s="9" t="s">
        <v>27</v>
      </c>
      <c r="E24" s="9">
        <v>2009</v>
      </c>
      <c r="F24" s="9" t="s">
        <v>57</v>
      </c>
      <c r="G24" s="9" t="s">
        <v>75</v>
      </c>
      <c r="H24" s="13">
        <f>4700000/6</f>
        <v>783333.33333333337</v>
      </c>
      <c r="I24" s="12">
        <f t="shared" si="1"/>
        <v>2009</v>
      </c>
    </row>
    <row r="25" spans="1:9" ht="71.25" x14ac:dyDescent="0.45">
      <c r="A25" s="9" t="s">
        <v>76</v>
      </c>
      <c r="B25" s="9" t="s">
        <v>31</v>
      </c>
      <c r="C25" s="9" t="s">
        <v>32</v>
      </c>
      <c r="D25" s="9" t="s">
        <v>27</v>
      </c>
      <c r="E25" s="9">
        <v>2000</v>
      </c>
      <c r="F25" s="9" t="s">
        <v>77</v>
      </c>
      <c r="G25" s="9" t="s">
        <v>78</v>
      </c>
      <c r="H25" s="12">
        <v>3000000</v>
      </c>
      <c r="I25" s="12">
        <f t="shared" si="1"/>
        <v>2000</v>
      </c>
    </row>
    <row r="26" spans="1:9" ht="57" x14ac:dyDescent="0.45">
      <c r="A26" s="9" t="s">
        <v>79</v>
      </c>
      <c r="B26" s="9" t="s">
        <v>31</v>
      </c>
      <c r="C26" s="9" t="s">
        <v>48</v>
      </c>
      <c r="D26" s="9" t="s">
        <v>27</v>
      </c>
      <c r="E26" s="9" t="s">
        <v>80</v>
      </c>
      <c r="F26" s="9" t="s">
        <v>81</v>
      </c>
      <c r="G26" s="9" t="s">
        <v>82</v>
      </c>
      <c r="H26" s="12">
        <v>0</v>
      </c>
      <c r="I26" s="12">
        <v>2030</v>
      </c>
    </row>
    <row r="27" spans="1:9" ht="57" x14ac:dyDescent="0.45">
      <c r="A27" s="9" t="s">
        <v>83</v>
      </c>
      <c r="B27" s="9" t="s">
        <v>31</v>
      </c>
      <c r="C27" s="9" t="s">
        <v>32</v>
      </c>
      <c r="D27" s="9" t="s">
        <v>27</v>
      </c>
      <c r="E27" s="9">
        <v>1982</v>
      </c>
      <c r="F27" s="9" t="s">
        <v>41</v>
      </c>
      <c r="G27" s="9" t="s">
        <v>84</v>
      </c>
      <c r="H27" s="12">
        <v>700000</v>
      </c>
      <c r="I27" s="12">
        <f>E27</f>
        <v>1982</v>
      </c>
    </row>
    <row r="28" spans="1:9" ht="57" x14ac:dyDescent="0.45">
      <c r="A28" s="9" t="s">
        <v>85</v>
      </c>
      <c r="B28" s="9" t="s">
        <v>31</v>
      </c>
      <c r="C28" s="9" t="s">
        <v>32</v>
      </c>
      <c r="D28" s="9" t="s">
        <v>27</v>
      </c>
      <c r="E28" s="9">
        <v>2013</v>
      </c>
      <c r="F28" s="9" t="s">
        <v>24</v>
      </c>
      <c r="G28" s="9" t="s">
        <v>86</v>
      </c>
      <c r="H28" s="12">
        <v>900000</v>
      </c>
      <c r="I28" s="12">
        <f>E28</f>
        <v>2013</v>
      </c>
    </row>
    <row r="29" spans="1:9" ht="71.25" x14ac:dyDescent="0.45">
      <c r="A29" s="9" t="s">
        <v>87</v>
      </c>
      <c r="B29" s="9" t="s">
        <v>31</v>
      </c>
      <c r="C29" s="9" t="s">
        <v>48</v>
      </c>
      <c r="D29" s="9" t="s">
        <v>27</v>
      </c>
      <c r="E29" s="9" t="s">
        <v>88</v>
      </c>
      <c r="F29" s="9" t="s">
        <v>25</v>
      </c>
      <c r="G29" s="9" t="s">
        <v>89</v>
      </c>
      <c r="H29" s="12">
        <v>3400000</v>
      </c>
      <c r="I29" s="12">
        <v>2026</v>
      </c>
    </row>
    <row r="30" spans="1:9" ht="57" x14ac:dyDescent="0.45">
      <c r="A30" s="9" t="s">
        <v>90</v>
      </c>
      <c r="B30" s="9" t="s">
        <v>23</v>
      </c>
      <c r="C30" s="9" t="s">
        <v>20</v>
      </c>
      <c r="D30" s="9" t="s">
        <v>27</v>
      </c>
      <c r="E30" s="9">
        <v>2013</v>
      </c>
      <c r="F30" s="9" t="s">
        <v>24</v>
      </c>
      <c r="G30" s="9" t="s">
        <v>91</v>
      </c>
      <c r="H30" s="13">
        <f>1100000/6</f>
        <v>183333.33333333334</v>
      </c>
      <c r="I30" s="12">
        <f t="shared" ref="I30:I36" si="2">E30</f>
        <v>2013</v>
      </c>
    </row>
    <row r="31" spans="1:9" ht="57" x14ac:dyDescent="0.45">
      <c r="A31" s="9" t="s">
        <v>92</v>
      </c>
      <c r="B31" s="9" t="s">
        <v>31</v>
      </c>
      <c r="C31" s="9" t="s">
        <v>32</v>
      </c>
      <c r="D31" s="9" t="s">
        <v>27</v>
      </c>
      <c r="E31" s="9">
        <v>1986</v>
      </c>
      <c r="F31" s="9" t="s">
        <v>24</v>
      </c>
      <c r="G31" s="9" t="s">
        <v>93</v>
      </c>
      <c r="H31" s="12">
        <v>7000000</v>
      </c>
      <c r="I31" s="12">
        <f t="shared" si="2"/>
        <v>1986</v>
      </c>
    </row>
    <row r="32" spans="1:9" ht="57" x14ac:dyDescent="0.45">
      <c r="A32" s="9" t="s">
        <v>94</v>
      </c>
      <c r="B32" s="9" t="s">
        <v>23</v>
      </c>
      <c r="C32" s="9" t="s">
        <v>20</v>
      </c>
      <c r="D32" s="9" t="s">
        <v>27</v>
      </c>
      <c r="E32" s="9">
        <v>2013</v>
      </c>
      <c r="F32" s="9" t="s">
        <v>95</v>
      </c>
      <c r="G32" s="9" t="s">
        <v>96</v>
      </c>
      <c r="H32" s="12">
        <v>200000</v>
      </c>
      <c r="I32" s="12">
        <f t="shared" si="2"/>
        <v>2013</v>
      </c>
    </row>
    <row r="33" spans="1:9" ht="71.25" x14ac:dyDescent="0.45">
      <c r="A33" s="9" t="s">
        <v>97</v>
      </c>
      <c r="B33" s="9" t="s">
        <v>31</v>
      </c>
      <c r="C33" s="9" t="s">
        <v>32</v>
      </c>
      <c r="D33" s="9" t="s">
        <v>27</v>
      </c>
      <c r="E33" s="9">
        <v>1972</v>
      </c>
      <c r="F33" s="9" t="s">
        <v>24</v>
      </c>
      <c r="G33" s="9" t="s">
        <v>98</v>
      </c>
      <c r="H33" s="12">
        <v>450000</v>
      </c>
      <c r="I33" s="12">
        <f t="shared" si="2"/>
        <v>1972</v>
      </c>
    </row>
    <row r="34" spans="1:9" ht="42.75" x14ac:dyDescent="0.45">
      <c r="A34" s="9" t="s">
        <v>99</v>
      </c>
      <c r="B34" s="9" t="s">
        <v>23</v>
      </c>
      <c r="C34" s="9" t="s">
        <v>48</v>
      </c>
      <c r="D34" s="9" t="s">
        <v>27</v>
      </c>
      <c r="E34" s="9"/>
      <c r="F34" s="9" t="s">
        <v>25</v>
      </c>
      <c r="G34" s="9" t="s">
        <v>100</v>
      </c>
      <c r="H34" s="12">
        <v>0</v>
      </c>
      <c r="I34" s="12">
        <f t="shared" si="2"/>
        <v>0</v>
      </c>
    </row>
    <row r="35" spans="1:9" ht="42.75" x14ac:dyDescent="0.45">
      <c r="A35" s="9" t="s">
        <v>101</v>
      </c>
      <c r="B35" s="9" t="s">
        <v>31</v>
      </c>
      <c r="C35" s="9" t="s">
        <v>48</v>
      </c>
      <c r="D35" s="9" t="s">
        <v>27</v>
      </c>
      <c r="E35" s="9">
        <v>2025</v>
      </c>
      <c r="F35" s="9" t="s">
        <v>81</v>
      </c>
      <c r="G35" s="9" t="s">
        <v>102</v>
      </c>
      <c r="H35" s="12">
        <v>0</v>
      </c>
      <c r="I35" s="12">
        <f t="shared" si="2"/>
        <v>2025</v>
      </c>
    </row>
    <row r="36" spans="1:9" ht="42.75" x14ac:dyDescent="0.45">
      <c r="A36" s="9" t="s">
        <v>103</v>
      </c>
      <c r="B36" s="9" t="s">
        <v>31</v>
      </c>
      <c r="C36" s="9" t="s">
        <v>48</v>
      </c>
      <c r="D36" s="9" t="s">
        <v>27</v>
      </c>
      <c r="E36" s="9">
        <v>2022</v>
      </c>
      <c r="F36" s="9" t="s">
        <v>41</v>
      </c>
      <c r="G36" s="9" t="s">
        <v>104</v>
      </c>
      <c r="H36" s="12">
        <v>1625000</v>
      </c>
      <c r="I36" s="12">
        <f t="shared" si="2"/>
        <v>2022</v>
      </c>
    </row>
  </sheetData>
  <autoFilter ref="A7:H36"/>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topLeftCell="A43" workbookViewId="0">
      <selection activeCell="C79" sqref="C79"/>
    </sheetView>
  </sheetViews>
  <sheetFormatPr defaultRowHeight="14.25" x14ac:dyDescent="0.45"/>
  <cols>
    <col min="1" max="1" width="52.9296875" customWidth="1"/>
    <col min="2" max="2" width="9" bestFit="1" customWidth="1"/>
  </cols>
  <sheetData>
    <row r="1" spans="1:35" ht="14.65" thickBot="1" x14ac:dyDescent="0.5">
      <c r="A1" s="1" t="s">
        <v>164</v>
      </c>
    </row>
    <row r="2" spans="1:35" ht="14.65" thickBot="1" x14ac:dyDescent="0.5">
      <c r="A2" s="1" t="s">
        <v>161</v>
      </c>
      <c r="B2" s="31" t="s">
        <v>162</v>
      </c>
      <c r="C2" s="32"/>
    </row>
    <row r="3" spans="1:35" x14ac:dyDescent="0.45">
      <c r="A3" s="1"/>
      <c r="C3" s="32"/>
    </row>
    <row r="4" spans="1:35" x14ac:dyDescent="0.45">
      <c r="A4" s="1" t="s">
        <v>192</v>
      </c>
      <c r="C4" s="32"/>
    </row>
    <row r="5" spans="1:35" x14ac:dyDescent="0.45">
      <c r="A5" s="1"/>
      <c r="B5">
        <v>2018</v>
      </c>
      <c r="C5" s="32">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5" x14ac:dyDescent="0.45">
      <c r="A6" s="1" t="s">
        <v>122</v>
      </c>
      <c r="B6" s="14">
        <f t="shared" ref="B6" si="0">C6</f>
        <v>4.4936433006002231E-2</v>
      </c>
      <c r="C6" s="14">
        <f t="shared" ref="C6" si="1">D6</f>
        <v>4.4936433006002231E-2</v>
      </c>
      <c r="D6" s="14">
        <f t="shared" ref="D6" si="2">E6</f>
        <v>4.4936433006002231E-2</v>
      </c>
      <c r="E6" s="14">
        <f t="shared" ref="E6" si="3">F6</f>
        <v>4.4936433006002231E-2</v>
      </c>
      <c r="F6" s="14">
        <f t="shared" ref="F6" si="4">G6</f>
        <v>4.4936433006002231E-2</v>
      </c>
      <c r="G6" s="14">
        <f t="shared" ref="G6" si="5">H6</f>
        <v>4.4936433006002231E-2</v>
      </c>
      <c r="H6" s="14">
        <f>I6</f>
        <v>4.4936433006002231E-2</v>
      </c>
      <c r="I6" s="14">
        <f>IF(Region="OECD",'Data OECD'!B3,'Data NonOECD'!B3)</f>
        <v>4.4936433006002231E-2</v>
      </c>
      <c r="J6" s="14">
        <f>$N6+($S6-$N6)/(COLUMN($S$1)-COLUMN($N$1))*(COLUMN(J$1)-COLUMN($N$1))</f>
        <v>6.1076639015393328E-2</v>
      </c>
      <c r="K6" s="14">
        <f t="shared" ref="K6:M6" si="6">$N6+($S6-$N6)/(COLUMN($S$1)-COLUMN($N$1))*(COLUMN(K$1)-COLUMN($N$1))</f>
        <v>9.1582323244539438E-2</v>
      </c>
      <c r="L6" s="14">
        <f t="shared" si="6"/>
        <v>0.12208800747368553</v>
      </c>
      <c r="M6" s="14">
        <f t="shared" si="6"/>
        <v>0.15259369170283166</v>
      </c>
      <c r="N6" s="14">
        <f>IF(Region="OECD",'Data OECD'!C3,'Data NonOECD'!C3)</f>
        <v>0.18309937593197775</v>
      </c>
      <c r="O6" s="14">
        <f>$S6+($X6-$S6)/(COLUMN($X$1)-COLUMN($S$1))*(COLUMN(O$1)-COLUMN($S$1))</f>
        <v>0.27589435198665535</v>
      </c>
      <c r="P6" s="14">
        <f t="shared" ref="P6:R6" si="7">$S6+($X6-$S6)/(COLUMN($X$1)-COLUMN($S$1))*(COLUMN(P$1)-COLUMN($S$1))</f>
        <v>0.29082771325941859</v>
      </c>
      <c r="Q6" s="14">
        <f t="shared" si="7"/>
        <v>0.30576107453218182</v>
      </c>
      <c r="R6" s="14">
        <f t="shared" si="7"/>
        <v>0.32069443580494505</v>
      </c>
      <c r="S6" s="14">
        <f>IF(Region="OECD",'Data OECD'!D3,'Data NonOECD'!D3)</f>
        <v>0.33562779707770829</v>
      </c>
      <c r="T6" s="14">
        <f>$X6+($AC6-$X6)/(COLUMN($AC$1)-COLUMN($X$1))*(COLUMN(T$1)-COLUMN($X$1))</f>
        <v>0.39002821170546692</v>
      </c>
      <c r="U6" s="14">
        <f t="shared" ref="U6:W6" si="8">$X6+($AC6-$X6)/(COLUMN($AC$1)-COLUMN($X$1))*(COLUMN(U$1)-COLUMN($X$1))</f>
        <v>0.39509480963948129</v>
      </c>
      <c r="V6" s="14">
        <f t="shared" si="8"/>
        <v>0.40016140757349572</v>
      </c>
      <c r="W6" s="14">
        <f t="shared" si="8"/>
        <v>0.40522800550751009</v>
      </c>
      <c r="X6" s="14">
        <f>IF(Region="OECD",'Data OECD'!E3,'Data NonOECD'!E3)</f>
        <v>0.41029460344152446</v>
      </c>
      <c r="Y6" s="14">
        <f>$AC6+($AH6-$AC6)/(COLUMN($AH$1)-COLUMN($AC$1))*(COLUMN(Y$1)-COLUMN($AC$1))</f>
        <v>0.48228556510224652</v>
      </c>
      <c r="Z6" s="14">
        <f t="shared" ref="Z6:AB6" si="9">$AC6+($AH6-$AC6)/(COLUMN($AH$1)-COLUMN($AC$1))*(COLUMN(Z$1)-COLUMN($AC$1))</f>
        <v>0.47062107210458398</v>
      </c>
      <c r="AA6" s="14">
        <f t="shared" si="9"/>
        <v>0.45895657910692145</v>
      </c>
      <c r="AB6" s="14">
        <f t="shared" si="9"/>
        <v>0.44729208610925891</v>
      </c>
      <c r="AC6" s="14">
        <f>IF(Region="OECD",'Data OECD'!F3,'Data NonOECD'!F3)</f>
        <v>0.43562759311159638</v>
      </c>
      <c r="AD6" s="14">
        <f>($AH$6-$AC$6)/5+AC6</f>
        <v>0.42396310011393384</v>
      </c>
      <c r="AE6" s="14">
        <f t="shared" ref="AE6:AG6" si="10">($AH$6-$AC$6)/5+AD6</f>
        <v>0.41229860711627131</v>
      </c>
      <c r="AF6" s="14">
        <f t="shared" si="10"/>
        <v>0.40063411411860878</v>
      </c>
      <c r="AG6" s="14">
        <f t="shared" si="10"/>
        <v>0.38896962112094624</v>
      </c>
      <c r="AH6" s="14">
        <f>IF(Region="OECD",'Data OECD'!G3,'Data NonOECD'!G3)</f>
        <v>0.37730512812328371</v>
      </c>
    </row>
    <row r="7" spans="1:35" x14ac:dyDescent="0.45">
      <c r="A7" s="1" t="s">
        <v>123</v>
      </c>
      <c r="B7" s="14">
        <f>1-B6</f>
        <v>0.95506356699399775</v>
      </c>
      <c r="C7" s="14">
        <f t="shared" ref="C7:AH7" si="11">1-C6</f>
        <v>0.95506356699399775</v>
      </c>
      <c r="D7" s="14">
        <f t="shared" si="11"/>
        <v>0.95506356699399775</v>
      </c>
      <c r="E7" s="14">
        <f t="shared" si="11"/>
        <v>0.95506356699399775</v>
      </c>
      <c r="F7" s="14">
        <f t="shared" si="11"/>
        <v>0.95506356699399775</v>
      </c>
      <c r="G7" s="14">
        <f t="shared" si="11"/>
        <v>0.95506356699399775</v>
      </c>
      <c r="H7" s="14">
        <f t="shared" si="11"/>
        <v>0.95506356699399775</v>
      </c>
      <c r="I7" s="14">
        <f t="shared" si="11"/>
        <v>0.95506356699399775</v>
      </c>
      <c r="J7" s="14">
        <f t="shared" si="11"/>
        <v>0.93892336098460671</v>
      </c>
      <c r="K7" s="14">
        <f t="shared" si="11"/>
        <v>0.90841767675546059</v>
      </c>
      <c r="L7" s="14">
        <f t="shared" si="11"/>
        <v>0.87791199252631447</v>
      </c>
      <c r="M7" s="14">
        <f t="shared" si="11"/>
        <v>0.84740630829716834</v>
      </c>
      <c r="N7" s="14">
        <f t="shared" si="11"/>
        <v>0.81690062406802222</v>
      </c>
      <c r="O7" s="14">
        <f t="shared" si="11"/>
        <v>0.72410564801334465</v>
      </c>
      <c r="P7" s="14">
        <f t="shared" si="11"/>
        <v>0.70917228674058141</v>
      </c>
      <c r="Q7" s="14">
        <f t="shared" si="11"/>
        <v>0.69423892546781818</v>
      </c>
      <c r="R7" s="14">
        <f t="shared" si="11"/>
        <v>0.67930556419505495</v>
      </c>
      <c r="S7" s="14">
        <f t="shared" si="11"/>
        <v>0.66437220292229171</v>
      </c>
      <c r="T7" s="14">
        <f t="shared" si="11"/>
        <v>0.60997178829453302</v>
      </c>
      <c r="U7" s="14">
        <f t="shared" si="11"/>
        <v>0.60490519036051871</v>
      </c>
      <c r="V7" s="14">
        <f t="shared" si="11"/>
        <v>0.59983859242650428</v>
      </c>
      <c r="W7" s="14">
        <f t="shared" si="11"/>
        <v>0.59477199449248985</v>
      </c>
      <c r="X7" s="14">
        <f t="shared" si="11"/>
        <v>0.58970539655847554</v>
      </c>
      <c r="Y7" s="14">
        <f t="shared" si="11"/>
        <v>0.51771443489775348</v>
      </c>
      <c r="Z7" s="14">
        <f t="shared" si="11"/>
        <v>0.52937892789541596</v>
      </c>
      <c r="AA7" s="14">
        <f t="shared" si="11"/>
        <v>0.54104342089307855</v>
      </c>
      <c r="AB7" s="14">
        <f t="shared" si="11"/>
        <v>0.55270791389074114</v>
      </c>
      <c r="AC7" s="14">
        <f t="shared" si="11"/>
        <v>0.56437240688840362</v>
      </c>
      <c r="AD7" s="14">
        <f t="shared" si="11"/>
        <v>0.5760368998860661</v>
      </c>
      <c r="AE7" s="14">
        <f t="shared" si="11"/>
        <v>0.58770139288372869</v>
      </c>
      <c r="AF7" s="14">
        <f t="shared" si="11"/>
        <v>0.59936588588139128</v>
      </c>
      <c r="AG7" s="14">
        <f t="shared" si="11"/>
        <v>0.61103037887905376</v>
      </c>
      <c r="AH7" s="14">
        <f t="shared" si="11"/>
        <v>0.62269487187671624</v>
      </c>
    </row>
    <row r="8" spans="1:35" x14ac:dyDescent="0.45">
      <c r="A8" s="1"/>
      <c r="C8" s="32"/>
    </row>
    <row r="9" spans="1:35" x14ac:dyDescent="0.45">
      <c r="A9" s="1"/>
      <c r="C9" s="32"/>
    </row>
    <row r="10" spans="1:35" x14ac:dyDescent="0.45">
      <c r="A10" s="1"/>
      <c r="C10" s="32"/>
    </row>
    <row r="11" spans="1:35" x14ac:dyDescent="0.45">
      <c r="A11" s="15" t="s">
        <v>120</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5" x14ac:dyDescent="0.45">
      <c r="B12">
        <v>2018</v>
      </c>
      <c r="C12">
        <v>2019</v>
      </c>
      <c r="D12">
        <v>2020</v>
      </c>
      <c r="E12">
        <v>2021</v>
      </c>
      <c r="F12">
        <v>2022</v>
      </c>
      <c r="G12">
        <v>2023</v>
      </c>
      <c r="H12">
        <v>2024</v>
      </c>
      <c r="I12">
        <v>2025</v>
      </c>
      <c r="J12">
        <v>2026</v>
      </c>
      <c r="K12">
        <v>2027</v>
      </c>
      <c r="L12">
        <v>2028</v>
      </c>
      <c r="M12">
        <v>2029</v>
      </c>
      <c r="N12">
        <v>2030</v>
      </c>
      <c r="O12">
        <v>2031</v>
      </c>
      <c r="P12">
        <v>2032</v>
      </c>
      <c r="Q12">
        <v>2033</v>
      </c>
      <c r="R12">
        <v>2034</v>
      </c>
      <c r="S12">
        <v>2035</v>
      </c>
      <c r="T12">
        <v>2036</v>
      </c>
      <c r="U12">
        <v>2037</v>
      </c>
      <c r="V12">
        <v>2038</v>
      </c>
      <c r="W12">
        <v>2039</v>
      </c>
      <c r="X12">
        <v>2040</v>
      </c>
      <c r="Y12">
        <v>2041</v>
      </c>
      <c r="Z12">
        <v>2042</v>
      </c>
      <c r="AA12">
        <v>2043</v>
      </c>
      <c r="AB12">
        <v>2044</v>
      </c>
      <c r="AC12">
        <v>2045</v>
      </c>
      <c r="AD12">
        <v>2046</v>
      </c>
      <c r="AE12">
        <v>2047</v>
      </c>
      <c r="AF12">
        <v>2048</v>
      </c>
      <c r="AG12">
        <v>2049</v>
      </c>
      <c r="AH12">
        <v>2050</v>
      </c>
    </row>
    <row r="13" spans="1:35" x14ac:dyDescent="0.45">
      <c r="A13" t="s">
        <v>109</v>
      </c>
      <c r="B13" s="14">
        <f>B6*'IESS data'!H$24</f>
        <v>0</v>
      </c>
      <c r="C13" s="14">
        <f>C6*'IESS data'!I$24</f>
        <v>0</v>
      </c>
      <c r="D13" s="14">
        <f>D6*'IESS data'!J$24</f>
        <v>0</v>
      </c>
      <c r="E13" s="14">
        <f>E6*'IESS data'!K$24</f>
        <v>0</v>
      </c>
      <c r="F13" s="14">
        <f>F6*'IESS data'!L$24</f>
        <v>0</v>
      </c>
      <c r="G13" s="14">
        <f>G6*'IESS data'!M$24</f>
        <v>70971.294157325261</v>
      </c>
      <c r="H13" s="14">
        <f>H6*'IESS data'!N$24</f>
        <v>141942.58831467194</v>
      </c>
      <c r="I13" s="14">
        <f>I6*'IESS data'!O$24</f>
        <v>212913.8824719972</v>
      </c>
      <c r="J13" s="14">
        <f>J6*'IESS data'!P$24</f>
        <v>385850.66270159103</v>
      </c>
      <c r="K13" s="14">
        <f>K6*'IESS data'!Q$24</f>
        <v>723212.27652095421</v>
      </c>
      <c r="L13" s="14">
        <f>L6*'IESS data'!R$24</f>
        <v>1156933.4695979012</v>
      </c>
      <c r="M13" s="14">
        <f>M6*'IESS data'!S$24</f>
        <v>1687014.2419323989</v>
      </c>
      <c r="N13" s="14">
        <f>N6*'IESS data'!T$24</f>
        <v>2313454.5935245547</v>
      </c>
      <c r="O13" s="14">
        <f>O6*'IESS data'!U$24</f>
        <v>3921655.5723768934</v>
      </c>
      <c r="P13" s="14">
        <f>P6*'IESS data'!V$24</f>
        <v>4593248.2411504723</v>
      </c>
      <c r="Q13" s="14">
        <f>Q6*'IESS data'!W$24</f>
        <v>6277831.822447083</v>
      </c>
      <c r="R13" s="14">
        <f>R6*'IESS data'!X$24</f>
        <v>8103927.3001819439</v>
      </c>
      <c r="S13" s="14">
        <f>S6*'IESS data'!Y$24</f>
        <v>10071534.674356382</v>
      </c>
      <c r="T13" s="14">
        <f>T6*'IESS data'!Z$24</f>
        <v>13551982.478360808</v>
      </c>
      <c r="U13" s="14">
        <f>U6*'IESS data'!AA$24</f>
        <v>15600031.021162115</v>
      </c>
      <c r="V13" s="14">
        <f>V6*'IESS data'!AB$24</f>
        <v>17064088.509540111</v>
      </c>
      <c r="W13" s="14">
        <f>W6*'IESS data'!AC$24</f>
        <v>18560154.147056125</v>
      </c>
      <c r="X13" s="14">
        <f>X6*'IESS data'!AD$24</f>
        <v>20088227.933711011</v>
      </c>
      <c r="Y13" s="14">
        <f>Y6*'IESS data'!AE$24</f>
        <v>25136356.80065022</v>
      </c>
      <c r="Z13" s="14">
        <f>Z6*'IESS data'!AF$24</f>
        <v>26014982.740574609</v>
      </c>
      <c r="AA13" s="14">
        <f>AA6*'IESS data'!AG$24</f>
        <v>26095055.777303733</v>
      </c>
      <c r="AB13" s="14">
        <f>AB6*'IESS data'!AH$24</f>
        <v>26138283.692676004</v>
      </c>
      <c r="AC13" s="14">
        <f>AC6*'IESS data'!AI$24</f>
        <v>26144666.486690842</v>
      </c>
      <c r="AD13" s="14">
        <f>AD6*'IESS data'!AJ$24</f>
        <v>26114204.159348674</v>
      </c>
      <c r="AE13" s="14">
        <f>AE6*'IESS data'!AK$24</f>
        <v>26046896.710649315</v>
      </c>
      <c r="AF13" s="14">
        <f>AF6*'IESS data'!AL$24</f>
        <v>25309994.283504982</v>
      </c>
      <c r="AG13" s="14">
        <f>AG6*'IESS data'!AM$24</f>
        <v>24573091.856360648</v>
      </c>
      <c r="AH13" s="14">
        <f>AH6*'IESS data'!AN$24</f>
        <v>23836189.429216314</v>
      </c>
      <c r="AI13" s="10"/>
    </row>
    <row r="14" spans="1:35" x14ac:dyDescent="0.45">
      <c r="A14" t="s">
        <v>108</v>
      </c>
      <c r="B14" s="14">
        <f>B7*'IESS data'!H$24</f>
        <v>0</v>
      </c>
      <c r="C14" s="14">
        <f>C7*'IESS data'!I$24</f>
        <v>0</v>
      </c>
      <c r="D14" s="14">
        <f>D7*'IESS data'!J$24</f>
        <v>0</v>
      </c>
      <c r="E14" s="14">
        <f>E7*'IESS data'!K$24</f>
        <v>0</v>
      </c>
      <c r="F14" s="14">
        <f>F7*'IESS data'!L$24</f>
        <v>0</v>
      </c>
      <c r="G14" s="14">
        <f>G7*'IESS data'!M$24</f>
        <v>1508399.5951129803</v>
      </c>
      <c r="H14" s="14">
        <f>H7*'IESS data'!N$24</f>
        <v>3016799.1902264161</v>
      </c>
      <c r="I14" s="14">
        <f>I7*'IESS data'!O$24</f>
        <v>4525198.7853393964</v>
      </c>
      <c r="J14" s="14">
        <f>J7*'IESS data'!P$24</f>
        <v>5931632.8943805853</v>
      </c>
      <c r="K14" s="14">
        <f>K7*'IESS data'!Q$24</f>
        <v>7173642.1698317761</v>
      </c>
      <c r="L14" s="14">
        <f>L7*'IESS data'!R$24</f>
        <v>8319291.8660253631</v>
      </c>
      <c r="M14" s="14">
        <f>M7*'IESS data'!S$24</f>
        <v>9368581.9829611704</v>
      </c>
      <c r="N14" s="14">
        <f>N7*'IESS data'!T$24</f>
        <v>10321512.520639798</v>
      </c>
      <c r="O14" s="14">
        <f>O7*'IESS data'!U$24</f>
        <v>10292682.431057764</v>
      </c>
      <c r="P14" s="14">
        <f>P7*'IESS data'!V$24</f>
        <v>11200460.651554987</v>
      </c>
      <c r="Q14" s="14">
        <f>Q7*'IESS data'!W$24</f>
        <v>14253989.738071183</v>
      </c>
      <c r="R14" s="14">
        <f>R7*'IESS data'!X$24</f>
        <v>17166006.928146761</v>
      </c>
      <c r="S14" s="14">
        <f>S7*'IESS data'!Y$24</f>
        <v>19936512.22178467</v>
      </c>
      <c r="T14" s="14">
        <f>T7*'IESS data'!Z$24</f>
        <v>21194177.085590683</v>
      </c>
      <c r="U14" s="14">
        <f>U7*'IESS data'!AA$24</f>
        <v>23884241.210601531</v>
      </c>
      <c r="V14" s="14">
        <f>V7*'IESS data'!AB$24</f>
        <v>25578925.500765294</v>
      </c>
      <c r="W14" s="14">
        <f>W7*'IESS data'!AC$24</f>
        <v>27241601.641789887</v>
      </c>
      <c r="X14" s="14">
        <f>X7*'IESS data'!AD$24</f>
        <v>28872269.63367657</v>
      </c>
      <c r="Y14" s="14">
        <f>Y7*'IESS data'!AE$24</f>
        <v>26982882.545277972</v>
      </c>
      <c r="Z14" s="14">
        <f>Z7*'IESS data'!AF$24</f>
        <v>29262998.383894496</v>
      </c>
      <c r="AA14" s="14">
        <f>AA7*'IESS data'!AG$24</f>
        <v>30762296.236435376</v>
      </c>
      <c r="AB14" s="14">
        <f>AB7*'IESS data'!AH$24</f>
        <v>32298439.210333891</v>
      </c>
      <c r="AC14" s="14">
        <f>AC7*'IESS data'!AI$24</f>
        <v>33871427.305589356</v>
      </c>
      <c r="AD14" s="14">
        <f>AD7*'IESS data'!AJ$24</f>
        <v>35481260.522202305</v>
      </c>
      <c r="AE14" s="14">
        <f>AE7*'IESS data'!AK$24</f>
        <v>37127938.860172525</v>
      </c>
      <c r="AF14" s="14">
        <f>AF7*'IESS data'!AL$24</f>
        <v>37864841.287316859</v>
      </c>
      <c r="AG14" s="14">
        <f>AG7*'IESS data'!AM$24</f>
        <v>38601743.714461192</v>
      </c>
      <c r="AH14" s="14">
        <f>AH7*'IESS data'!AN$24</f>
        <v>39338646.141605519</v>
      </c>
    </row>
    <row r="15" spans="1:35" x14ac:dyDescent="0.45">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spans="1:35" x14ac:dyDescent="0.45">
      <c r="A16" t="s">
        <v>193</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spans="1:34" x14ac:dyDescent="0.45">
      <c r="A17" t="s">
        <v>124</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x14ac:dyDescent="0.45">
      <c r="A18" t="s">
        <v>125</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45">
      <c r="A19" t="s">
        <v>126</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4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45">
      <c r="A21" s="1" t="s">
        <v>127</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45">
      <c r="B22">
        <v>2018</v>
      </c>
      <c r="C22">
        <v>2019</v>
      </c>
      <c r="D22">
        <v>2020</v>
      </c>
      <c r="E22">
        <v>2021</v>
      </c>
      <c r="F22">
        <v>2022</v>
      </c>
      <c r="G22">
        <v>2023</v>
      </c>
      <c r="H22">
        <v>2024</v>
      </c>
      <c r="I22">
        <v>2025</v>
      </c>
      <c r="J22">
        <v>2026</v>
      </c>
      <c r="K22">
        <v>2027</v>
      </c>
      <c r="L22">
        <v>2028</v>
      </c>
      <c r="M22">
        <v>2029</v>
      </c>
      <c r="N22">
        <v>2030</v>
      </c>
      <c r="O22">
        <v>2031</v>
      </c>
      <c r="P22">
        <v>2032</v>
      </c>
      <c r="Q22">
        <v>2033</v>
      </c>
      <c r="R22">
        <v>2034</v>
      </c>
      <c r="S22">
        <v>2035</v>
      </c>
      <c r="T22">
        <v>2036</v>
      </c>
      <c r="U22">
        <v>2037</v>
      </c>
      <c r="V22">
        <v>2038</v>
      </c>
      <c r="W22">
        <v>2039</v>
      </c>
      <c r="X22">
        <v>2040</v>
      </c>
      <c r="Y22">
        <v>2041</v>
      </c>
      <c r="Z22">
        <v>2042</v>
      </c>
      <c r="AA22">
        <v>2043</v>
      </c>
      <c r="AB22">
        <v>2044</v>
      </c>
      <c r="AC22">
        <v>2045</v>
      </c>
      <c r="AD22">
        <v>2046</v>
      </c>
      <c r="AE22">
        <v>2047</v>
      </c>
      <c r="AF22">
        <v>2048</v>
      </c>
      <c r="AG22">
        <v>2049</v>
      </c>
      <c r="AH22">
        <v>2050</v>
      </c>
    </row>
    <row r="23" spans="1:34" x14ac:dyDescent="0.45">
      <c r="A23" t="s">
        <v>122</v>
      </c>
      <c r="B23" s="14">
        <v>0</v>
      </c>
      <c r="C23" s="14">
        <v>0</v>
      </c>
      <c r="D23" s="14">
        <v>0</v>
      </c>
      <c r="E23" s="14">
        <v>0</v>
      </c>
      <c r="F23" s="14">
        <v>0</v>
      </c>
      <c r="G23" s="14">
        <v>0</v>
      </c>
      <c r="H23" s="14">
        <v>0</v>
      </c>
      <c r="I23" s="14">
        <v>0</v>
      </c>
      <c r="J23" s="14">
        <f t="shared" ref="J23:AH23" si="12">TREND($G13:$AH13,$G$12:$AH$12,J$22)</f>
        <v>489789.42736721039</v>
      </c>
      <c r="K23" s="14">
        <f t="shared" si="12"/>
        <v>1735437.701789856</v>
      </c>
      <c r="L23" s="14">
        <f t="shared" si="12"/>
        <v>2981085.9762125015</v>
      </c>
      <c r="M23" s="14">
        <f t="shared" si="12"/>
        <v>4226734.2506351471</v>
      </c>
      <c r="N23" s="14">
        <f t="shared" si="12"/>
        <v>5472382.5250577927</v>
      </c>
      <c r="O23" s="14">
        <f t="shared" si="12"/>
        <v>6718030.7994804382</v>
      </c>
      <c r="P23" s="14">
        <f t="shared" si="12"/>
        <v>7963679.0739030838</v>
      </c>
      <c r="Q23" s="14">
        <f t="shared" si="12"/>
        <v>9209327.3483257294</v>
      </c>
      <c r="R23" s="14">
        <f t="shared" si="12"/>
        <v>10454975.622748375</v>
      </c>
      <c r="S23" s="14">
        <f t="shared" si="12"/>
        <v>11700623.897171021</v>
      </c>
      <c r="T23" s="14">
        <f t="shared" si="12"/>
        <v>12946272.171593666</v>
      </c>
      <c r="U23" s="14">
        <f t="shared" si="12"/>
        <v>14191920.446016312</v>
      </c>
      <c r="V23" s="14">
        <f t="shared" si="12"/>
        <v>15437568.720438957</v>
      </c>
      <c r="W23" s="14">
        <f t="shared" si="12"/>
        <v>16683216.994861603</v>
      </c>
      <c r="X23" s="14">
        <f t="shared" si="12"/>
        <v>17928865.269284248</v>
      </c>
      <c r="Y23" s="14">
        <f t="shared" si="12"/>
        <v>19174513.543706417</v>
      </c>
      <c r="Z23" s="14">
        <f t="shared" si="12"/>
        <v>20420161.818129063</v>
      </c>
      <c r="AA23" s="14">
        <f t="shared" si="12"/>
        <v>21665810.092551708</v>
      </c>
      <c r="AB23" s="14">
        <f t="shared" si="12"/>
        <v>22911458.366974354</v>
      </c>
      <c r="AC23" s="14">
        <f t="shared" si="12"/>
        <v>24157106.641396999</v>
      </c>
      <c r="AD23" s="14">
        <f t="shared" si="12"/>
        <v>25402754.915819645</v>
      </c>
      <c r="AE23" s="14">
        <f t="shared" si="12"/>
        <v>26648403.19024229</v>
      </c>
      <c r="AF23" s="14">
        <f t="shared" si="12"/>
        <v>27894051.464664936</v>
      </c>
      <c r="AG23" s="14">
        <f t="shared" si="12"/>
        <v>29139699.739087582</v>
      </c>
      <c r="AH23" s="14">
        <f t="shared" si="12"/>
        <v>30385348.013510227</v>
      </c>
    </row>
    <row r="24" spans="1:34" x14ac:dyDescent="0.45">
      <c r="A24" t="s">
        <v>123</v>
      </c>
      <c r="B24" s="14">
        <v>0</v>
      </c>
      <c r="C24" s="14">
        <v>0</v>
      </c>
      <c r="D24" s="14">
        <v>0</v>
      </c>
      <c r="E24" s="14">
        <v>0</v>
      </c>
      <c r="F24" s="14">
        <v>0</v>
      </c>
      <c r="G24" s="14">
        <f>TREND($G14:$AH14,$G$12:$AH$12,G$22)</f>
        <v>1029812.0291905403</v>
      </c>
      <c r="H24" s="14">
        <f t="shared" ref="H24:AH24" si="13">TREND($G14:$AH14,$G$12:$AH$12,H$22)</f>
        <v>2518022.7790250778</v>
      </c>
      <c r="I24" s="14">
        <f t="shared" si="13"/>
        <v>4006233.5288600922</v>
      </c>
      <c r="J24" s="14">
        <f t="shared" si="13"/>
        <v>5494444.2786946297</v>
      </c>
      <c r="K24" s="14">
        <f t="shared" si="13"/>
        <v>6982655.0285291672</v>
      </c>
      <c r="L24" s="14">
        <f t="shared" si="13"/>
        <v>8470865.7783641815</v>
      </c>
      <c r="M24" s="14">
        <f t="shared" si="13"/>
        <v>9959076.528198719</v>
      </c>
      <c r="N24" s="14">
        <f t="shared" si="13"/>
        <v>11447287.278033257</v>
      </c>
      <c r="O24" s="14">
        <f t="shared" si="13"/>
        <v>12935498.027868271</v>
      </c>
      <c r="P24" s="14">
        <f t="shared" si="13"/>
        <v>14423708.777702808</v>
      </c>
      <c r="Q24" s="14">
        <f t="shared" si="13"/>
        <v>15911919.527537346</v>
      </c>
      <c r="R24" s="14">
        <f t="shared" si="13"/>
        <v>17400130.27737236</v>
      </c>
      <c r="S24" s="14">
        <f t="shared" si="13"/>
        <v>18888341.027206898</v>
      </c>
      <c r="T24" s="14">
        <f t="shared" si="13"/>
        <v>20376551.777041435</v>
      </c>
      <c r="U24" s="14">
        <f t="shared" si="13"/>
        <v>21864762.526875973</v>
      </c>
      <c r="V24" s="14">
        <f t="shared" si="13"/>
        <v>23352973.276710987</v>
      </c>
      <c r="W24" s="14">
        <f t="shared" si="13"/>
        <v>24841184.026545525</v>
      </c>
      <c r="X24" s="14">
        <f t="shared" si="13"/>
        <v>26329394.776380062</v>
      </c>
      <c r="Y24" s="14">
        <f t="shared" si="13"/>
        <v>27817605.526215076</v>
      </c>
      <c r="Z24" s="14">
        <f t="shared" si="13"/>
        <v>29305816.276049614</v>
      </c>
      <c r="AA24" s="14">
        <f t="shared" si="13"/>
        <v>30794027.025884151</v>
      </c>
      <c r="AB24" s="14">
        <f t="shared" si="13"/>
        <v>32282237.775719166</v>
      </c>
      <c r="AC24" s="14">
        <f t="shared" si="13"/>
        <v>33770448.525553703</v>
      </c>
      <c r="AD24" s="14">
        <f t="shared" si="13"/>
        <v>35258659.275388241</v>
      </c>
      <c r="AE24" s="14">
        <f t="shared" si="13"/>
        <v>36746870.025223255</v>
      </c>
      <c r="AF24" s="14">
        <f t="shared" si="13"/>
        <v>38235080.775057793</v>
      </c>
      <c r="AG24" s="14">
        <f t="shared" si="13"/>
        <v>39723291.52489233</v>
      </c>
      <c r="AH24" s="14">
        <f t="shared" si="13"/>
        <v>41211502.274727345</v>
      </c>
    </row>
    <row r="25" spans="1:34" x14ac:dyDescent="0.4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4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4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4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4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4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4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4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4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4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5" spans="1:34" x14ac:dyDescent="0.45">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row>
    <row r="36" spans="1:34" x14ac:dyDescent="0.45">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row>
    <row r="37" spans="1:34" x14ac:dyDescent="0.45">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row>
    <row r="38" spans="1:34" x14ac:dyDescent="0.45">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x14ac:dyDescent="0.45">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row>
    <row r="40" spans="1:34" x14ac:dyDescent="0.45">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x14ac:dyDescent="0.45">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3" spans="1:34" x14ac:dyDescent="0.45">
      <c r="A43" s="16" t="s">
        <v>119</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spans="1:34" x14ac:dyDescent="0.45">
      <c r="A44" t="s">
        <v>110</v>
      </c>
      <c r="B44">
        <v>2018</v>
      </c>
      <c r="C44">
        <v>2019</v>
      </c>
      <c r="D44">
        <v>2020</v>
      </c>
      <c r="E44">
        <v>2021</v>
      </c>
      <c r="F44">
        <v>2022</v>
      </c>
      <c r="G44">
        <v>2023</v>
      </c>
      <c r="H44">
        <v>2024</v>
      </c>
      <c r="I44">
        <v>2025</v>
      </c>
      <c r="J44">
        <v>2026</v>
      </c>
      <c r="K44">
        <v>2027</v>
      </c>
      <c r="L44">
        <v>2028</v>
      </c>
      <c r="M44">
        <v>2029</v>
      </c>
      <c r="N44">
        <v>2030</v>
      </c>
      <c r="O44">
        <v>2031</v>
      </c>
      <c r="P44">
        <v>2032</v>
      </c>
      <c r="Q44">
        <v>2033</v>
      </c>
      <c r="R44">
        <v>2034</v>
      </c>
      <c r="S44">
        <v>2035</v>
      </c>
      <c r="T44">
        <v>2036</v>
      </c>
      <c r="U44">
        <v>2037</v>
      </c>
      <c r="V44">
        <v>2038</v>
      </c>
      <c r="W44">
        <v>2039</v>
      </c>
      <c r="X44">
        <v>2040</v>
      </c>
      <c r="Y44">
        <v>2041</v>
      </c>
      <c r="Z44">
        <v>2042</v>
      </c>
      <c r="AA44">
        <v>2043</v>
      </c>
      <c r="AB44">
        <v>2044</v>
      </c>
      <c r="AC44">
        <v>2045</v>
      </c>
      <c r="AD44">
        <v>2046</v>
      </c>
      <c r="AE44">
        <v>2047</v>
      </c>
      <c r="AF44">
        <v>2048</v>
      </c>
      <c r="AG44">
        <v>2049</v>
      </c>
      <c r="AH44">
        <v>2050</v>
      </c>
    </row>
    <row r="45" spans="1:34" x14ac:dyDescent="0.45">
      <c r="A45" t="s">
        <v>111</v>
      </c>
      <c r="B45" s="14">
        <v>378452000000000</v>
      </c>
      <c r="C45" s="14">
        <v>395780000000000</v>
      </c>
      <c r="D45" s="14">
        <v>361708000000000</v>
      </c>
      <c r="E45" s="14">
        <v>404767000000000</v>
      </c>
      <c r="F45" s="14">
        <v>433227000000000</v>
      </c>
      <c r="G45" s="14">
        <v>454315000000000</v>
      </c>
      <c r="H45" s="14">
        <v>472172000000000</v>
      </c>
      <c r="I45" s="14">
        <v>488578000000000</v>
      </c>
      <c r="J45" s="14">
        <v>504203000000000</v>
      </c>
      <c r="K45" s="14">
        <v>525003000000000</v>
      </c>
      <c r="L45" s="14">
        <v>544172000000000</v>
      </c>
      <c r="M45" s="14">
        <v>562284000000000</v>
      </c>
      <c r="N45" s="14">
        <v>581193000000000</v>
      </c>
      <c r="O45" s="14">
        <v>600044000000000</v>
      </c>
      <c r="P45" s="14">
        <v>624320000000000</v>
      </c>
      <c r="Q45" s="14">
        <v>647373000000000</v>
      </c>
      <c r="R45" s="14">
        <v>670252000000000</v>
      </c>
      <c r="S45" s="14">
        <v>692210000000000</v>
      </c>
      <c r="T45" s="14">
        <v>713530000000000</v>
      </c>
      <c r="U45" s="14">
        <v>740912000000000</v>
      </c>
      <c r="V45" s="14">
        <v>767901000000000</v>
      </c>
      <c r="W45" s="14">
        <v>794835000000000</v>
      </c>
      <c r="X45" s="14">
        <v>821995000000000</v>
      </c>
      <c r="Y45" s="14">
        <v>849667000000000</v>
      </c>
      <c r="Z45" s="14">
        <v>884656000000000</v>
      </c>
      <c r="AA45" s="14">
        <v>920281000000000</v>
      </c>
      <c r="AB45" s="14">
        <v>956637000000000</v>
      </c>
      <c r="AC45" s="14">
        <v>993738000000000</v>
      </c>
      <c r="AD45" s="14">
        <v>1031550000000000</v>
      </c>
      <c r="AE45" s="14">
        <v>1077640000000000</v>
      </c>
      <c r="AF45" s="14">
        <v>1124280000000000</v>
      </c>
      <c r="AG45" s="14">
        <v>1171380000000000</v>
      </c>
      <c r="AH45" s="14">
        <v>1218880000000000</v>
      </c>
    </row>
    <row r="46" spans="1:34" x14ac:dyDescent="0.45">
      <c r="A46" s="12" t="s">
        <v>112</v>
      </c>
      <c r="B46" s="14">
        <v>1204390000000000</v>
      </c>
      <c r="C46" s="14">
        <v>1207600000000000</v>
      </c>
      <c r="D46" s="14">
        <v>1133200000000000</v>
      </c>
      <c r="E46" s="14">
        <v>1213040000000000</v>
      </c>
      <c r="F46" s="14">
        <v>1255580000000000</v>
      </c>
      <c r="G46" s="14">
        <v>1273550000000000</v>
      </c>
      <c r="H46" s="14">
        <v>1296710000000000</v>
      </c>
      <c r="I46" s="14">
        <v>1307740000000000</v>
      </c>
      <c r="J46" s="14">
        <v>1307470000000000</v>
      </c>
      <c r="K46" s="14">
        <v>1306610000000000</v>
      </c>
      <c r="L46" s="14">
        <v>1323400000000000</v>
      </c>
      <c r="M46" s="14">
        <v>1358980000000000</v>
      </c>
      <c r="N46" s="14">
        <v>1392580000000000</v>
      </c>
      <c r="O46" s="14">
        <v>1429020000000000</v>
      </c>
      <c r="P46" s="14">
        <v>1465320000000000</v>
      </c>
      <c r="Q46" s="14">
        <v>1507770000000000</v>
      </c>
      <c r="R46" s="14">
        <v>1524440000000000</v>
      </c>
      <c r="S46" s="14">
        <v>1541210000000000</v>
      </c>
      <c r="T46" s="14">
        <v>1556420000000000</v>
      </c>
      <c r="U46" s="14">
        <v>1572910000000000</v>
      </c>
      <c r="V46" s="14">
        <v>1591040000000000</v>
      </c>
      <c r="W46" s="14">
        <v>1605140000000000</v>
      </c>
      <c r="X46" s="14">
        <v>1616660000000000</v>
      </c>
      <c r="Y46" s="14">
        <v>1627290000000000</v>
      </c>
      <c r="Z46" s="14">
        <v>1637340000000000</v>
      </c>
      <c r="AA46" s="14">
        <v>1639770000000000</v>
      </c>
      <c r="AB46" s="14">
        <v>1642610000000000</v>
      </c>
      <c r="AC46" s="14">
        <v>1645810000000000</v>
      </c>
      <c r="AD46" s="14">
        <v>1648600000000000</v>
      </c>
      <c r="AE46" s="14">
        <v>1651600000000000</v>
      </c>
      <c r="AF46" s="14">
        <v>1655440000000000</v>
      </c>
      <c r="AG46" s="14">
        <v>1658990000000000</v>
      </c>
      <c r="AH46" s="14">
        <v>1662420000000000</v>
      </c>
    </row>
    <row r="47" spans="1:34" x14ac:dyDescent="0.45">
      <c r="A47" t="s">
        <v>113</v>
      </c>
      <c r="B47" s="14">
        <v>200189000000000</v>
      </c>
      <c r="C47" s="14">
        <v>209359000000000</v>
      </c>
      <c r="D47" s="14">
        <v>209301000000000</v>
      </c>
      <c r="E47" s="14">
        <v>224093000000000</v>
      </c>
      <c r="F47" s="14">
        <v>235979000000000</v>
      </c>
      <c r="G47" s="14">
        <v>243110000000000</v>
      </c>
      <c r="H47" s="14">
        <v>249732000000000</v>
      </c>
      <c r="I47" s="14">
        <v>256169000000000</v>
      </c>
      <c r="J47" s="14">
        <v>262563000000000</v>
      </c>
      <c r="K47" s="14">
        <v>268969000000000</v>
      </c>
      <c r="L47" s="14">
        <v>272124000000000</v>
      </c>
      <c r="M47" s="14">
        <v>275262000000000</v>
      </c>
      <c r="N47" s="14">
        <v>278381000000000</v>
      </c>
      <c r="O47" s="14">
        <v>281484000000000</v>
      </c>
      <c r="P47" s="14">
        <v>284576000000000</v>
      </c>
      <c r="Q47" s="14">
        <v>288948000000000</v>
      </c>
      <c r="R47" s="14">
        <v>293324000000000</v>
      </c>
      <c r="S47" s="14">
        <v>297697000000000</v>
      </c>
      <c r="T47" s="14">
        <v>302068000000000</v>
      </c>
      <c r="U47" s="14">
        <v>306439000000000</v>
      </c>
      <c r="V47" s="14">
        <v>310759000000000</v>
      </c>
      <c r="W47" s="14">
        <v>315086000000000</v>
      </c>
      <c r="X47" s="14">
        <v>319425000000000</v>
      </c>
      <c r="Y47" s="14">
        <v>323774000000000</v>
      </c>
      <c r="Z47" s="14">
        <v>328138000000000</v>
      </c>
      <c r="AA47" s="14">
        <v>331514000000000</v>
      </c>
      <c r="AB47" s="14">
        <v>334896000000000</v>
      </c>
      <c r="AC47" s="14">
        <v>338286000000000</v>
      </c>
      <c r="AD47" s="14">
        <v>341683000000000</v>
      </c>
      <c r="AE47" s="14">
        <v>345090000000000</v>
      </c>
      <c r="AF47" s="14">
        <v>348508000000000</v>
      </c>
      <c r="AG47" s="14">
        <v>351938000000000</v>
      </c>
      <c r="AH47" s="14">
        <v>355381000000000</v>
      </c>
    </row>
    <row r="48" spans="1:34" x14ac:dyDescent="0.45">
      <c r="A48" t="s">
        <v>114</v>
      </c>
      <c r="B48" s="14">
        <v>39219700000000</v>
      </c>
      <c r="C48" s="14">
        <v>41270200000000</v>
      </c>
      <c r="D48" s="14">
        <v>40575500000000</v>
      </c>
      <c r="E48" s="14">
        <v>44351400000000</v>
      </c>
      <c r="F48" s="14">
        <v>47288900000000</v>
      </c>
      <c r="G48" s="14">
        <v>49901500000000</v>
      </c>
      <c r="H48" s="14">
        <v>52412500000000</v>
      </c>
      <c r="I48" s="14">
        <v>54918700000000</v>
      </c>
      <c r="J48" s="14">
        <v>57462400000000</v>
      </c>
      <c r="K48" s="14">
        <v>60062500000000</v>
      </c>
      <c r="L48" s="14">
        <v>63935300000000</v>
      </c>
      <c r="M48" s="14">
        <v>67955400000000</v>
      </c>
      <c r="N48" s="14">
        <v>72122500000000</v>
      </c>
      <c r="O48" s="14">
        <v>76441900000000</v>
      </c>
      <c r="P48" s="14">
        <v>80915300000000</v>
      </c>
      <c r="Q48" s="14">
        <v>85545000000000</v>
      </c>
      <c r="R48" s="14">
        <v>90332600000000</v>
      </c>
      <c r="S48" s="14">
        <v>95280300000000</v>
      </c>
      <c r="T48" s="14">
        <v>100390000000000</v>
      </c>
      <c r="U48" s="14">
        <v>105663000000000</v>
      </c>
      <c r="V48" s="14">
        <v>110938000000000</v>
      </c>
      <c r="W48" s="14">
        <v>116361000000000</v>
      </c>
      <c r="X48" s="14">
        <v>121932000000000</v>
      </c>
      <c r="Y48" s="14">
        <v>127655000000000</v>
      </c>
      <c r="Z48" s="14">
        <v>133529000000000</v>
      </c>
      <c r="AA48" s="14">
        <v>139555000000000</v>
      </c>
      <c r="AB48" s="14">
        <v>145735000000000</v>
      </c>
      <c r="AC48" s="14">
        <v>152072000000000</v>
      </c>
      <c r="AD48" s="14">
        <v>158563000000000</v>
      </c>
      <c r="AE48" s="14">
        <v>165212000000000</v>
      </c>
      <c r="AF48" s="14">
        <v>172020000000000</v>
      </c>
      <c r="AG48" s="14">
        <v>178988000000000</v>
      </c>
      <c r="AH48" s="14">
        <v>186117000000000</v>
      </c>
    </row>
    <row r="49" spans="1:35" x14ac:dyDescent="0.45">
      <c r="A49" s="12" t="s">
        <v>115</v>
      </c>
      <c r="B49" s="14">
        <v>1025250000000000</v>
      </c>
      <c r="C49" s="14">
        <v>1071830000000000</v>
      </c>
      <c r="D49" s="14">
        <v>1051140000000000</v>
      </c>
      <c r="E49" s="14">
        <v>1141180000000000</v>
      </c>
      <c r="F49" s="14">
        <v>1209920000000000</v>
      </c>
      <c r="G49" s="14">
        <v>1276700000000000</v>
      </c>
      <c r="H49" s="14">
        <v>1339460000000000</v>
      </c>
      <c r="I49" s="14">
        <v>1400530000000000</v>
      </c>
      <c r="J49" s="14">
        <v>1463430000000000</v>
      </c>
      <c r="K49" s="14">
        <v>1526160000000000</v>
      </c>
      <c r="L49" s="14">
        <v>1592520000000000</v>
      </c>
      <c r="M49" s="14">
        <v>1658960000000000</v>
      </c>
      <c r="N49" s="14">
        <v>1725200000000000</v>
      </c>
      <c r="O49" s="14">
        <v>1778450000000000</v>
      </c>
      <c r="P49" s="14">
        <v>1831510000000000</v>
      </c>
      <c r="Q49" s="14">
        <v>1890190000000000</v>
      </c>
      <c r="R49" s="14">
        <v>1948650000000000</v>
      </c>
      <c r="S49" s="14">
        <v>2007350000000000</v>
      </c>
      <c r="T49" s="14">
        <v>2081920000000000</v>
      </c>
      <c r="U49" s="14">
        <v>2156430000000000</v>
      </c>
      <c r="V49" s="14">
        <v>2240650000000000</v>
      </c>
      <c r="W49" s="14">
        <v>2324710000000000</v>
      </c>
      <c r="X49" s="14">
        <v>2408890000000000</v>
      </c>
      <c r="Y49" s="14">
        <v>2482570000000000</v>
      </c>
      <c r="Z49" s="14">
        <v>2556470000000000</v>
      </c>
      <c r="AA49" s="14">
        <v>2620080000000000</v>
      </c>
      <c r="AB49" s="14">
        <v>2683510000000000</v>
      </c>
      <c r="AC49" s="14">
        <v>2747080000000000</v>
      </c>
      <c r="AD49" s="14">
        <v>2814270000000000</v>
      </c>
      <c r="AE49" s="14">
        <v>2881610000000000</v>
      </c>
      <c r="AF49" s="14">
        <v>2948570000000000</v>
      </c>
      <c r="AG49" s="14">
        <v>3015710000000000</v>
      </c>
      <c r="AH49" s="14">
        <v>3082660000000000</v>
      </c>
    </row>
    <row r="50" spans="1:35" x14ac:dyDescent="0.45">
      <c r="A50" t="s">
        <v>116</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row>
    <row r="51" spans="1:35" x14ac:dyDescent="0.45">
      <c r="A51" t="s">
        <v>117</v>
      </c>
      <c r="B51" s="14">
        <v>-302644000000000</v>
      </c>
      <c r="C51" s="14">
        <v>-302644000000000</v>
      </c>
      <c r="D51" s="14">
        <v>-302644000000000</v>
      </c>
      <c r="E51" s="14">
        <v>-302644000000000</v>
      </c>
      <c r="F51" s="14">
        <v>-302644000000000</v>
      </c>
      <c r="G51" s="14">
        <v>-302644000000000</v>
      </c>
      <c r="H51" s="14">
        <v>-302644000000000</v>
      </c>
      <c r="I51" s="14">
        <v>-302644000000000</v>
      </c>
      <c r="J51" s="14">
        <v>-302644000000000</v>
      </c>
      <c r="K51" s="14">
        <v>-302644000000000</v>
      </c>
      <c r="L51" s="14">
        <v>-302644000000000</v>
      </c>
      <c r="M51" s="14">
        <v>-302644000000000</v>
      </c>
      <c r="N51" s="14">
        <v>-302644000000000</v>
      </c>
      <c r="O51" s="14">
        <v>-302644000000000</v>
      </c>
      <c r="P51" s="14">
        <v>-302644000000000</v>
      </c>
      <c r="Q51" s="14">
        <v>-302644000000000</v>
      </c>
      <c r="R51" s="14">
        <v>-302644000000000</v>
      </c>
      <c r="S51" s="14">
        <v>-302644000000000</v>
      </c>
      <c r="T51" s="14">
        <v>-302644000000000</v>
      </c>
      <c r="U51" s="14">
        <v>-302644000000000</v>
      </c>
      <c r="V51" s="14">
        <v>-302644000000000</v>
      </c>
      <c r="W51" s="14">
        <v>-302644000000000</v>
      </c>
      <c r="X51" s="14">
        <v>-302644000000000</v>
      </c>
      <c r="Y51" s="14">
        <v>-302644000000000</v>
      </c>
      <c r="Z51" s="14">
        <v>-302644000000000</v>
      </c>
      <c r="AA51" s="14">
        <v>-302644000000000</v>
      </c>
      <c r="AB51" s="14">
        <v>-302644000000000</v>
      </c>
      <c r="AC51" s="14">
        <v>-302644000000000</v>
      </c>
      <c r="AD51" s="14">
        <v>-302644000000000</v>
      </c>
      <c r="AE51" s="14">
        <v>-302644000000000</v>
      </c>
      <c r="AF51" s="14">
        <v>-302644000000000</v>
      </c>
      <c r="AG51" s="14">
        <v>-302644000000000</v>
      </c>
      <c r="AH51" s="14">
        <v>-302644000000000</v>
      </c>
    </row>
    <row r="52" spans="1:35" x14ac:dyDescent="0.45">
      <c r="A52" t="s">
        <v>118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4" spans="1:35" x14ac:dyDescent="0.45">
      <c r="A54" s="15" t="s">
        <v>121</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row>
    <row r="55" spans="1:35" x14ac:dyDescent="0.45">
      <c r="B55">
        <v>2018</v>
      </c>
      <c r="C55">
        <v>2019</v>
      </c>
      <c r="D55">
        <v>2020</v>
      </c>
      <c r="E55">
        <v>2021</v>
      </c>
      <c r="F55">
        <v>2022</v>
      </c>
      <c r="G55">
        <v>2023</v>
      </c>
      <c r="H55">
        <v>2024</v>
      </c>
      <c r="I55">
        <v>2025</v>
      </c>
      <c r="J55">
        <v>2026</v>
      </c>
      <c r="K55">
        <v>2027</v>
      </c>
      <c r="L55">
        <v>2028</v>
      </c>
      <c r="M55">
        <v>2029</v>
      </c>
      <c r="N55">
        <v>2030</v>
      </c>
      <c r="O55">
        <v>2031</v>
      </c>
      <c r="P55">
        <v>2032</v>
      </c>
      <c r="Q55">
        <v>2033</v>
      </c>
      <c r="R55">
        <v>2034</v>
      </c>
      <c r="S55">
        <v>2035</v>
      </c>
      <c r="T55">
        <v>2036</v>
      </c>
      <c r="U55">
        <v>2037</v>
      </c>
      <c r="V55">
        <v>2038</v>
      </c>
      <c r="W55">
        <v>2039</v>
      </c>
      <c r="X55">
        <v>2040</v>
      </c>
      <c r="Y55">
        <v>2041</v>
      </c>
      <c r="Z55">
        <v>2042</v>
      </c>
      <c r="AA55">
        <v>2043</v>
      </c>
      <c r="AB55">
        <v>2044</v>
      </c>
      <c r="AC55">
        <v>2045</v>
      </c>
      <c r="AD55">
        <v>2046</v>
      </c>
      <c r="AE55">
        <v>2047</v>
      </c>
      <c r="AF55">
        <v>2048</v>
      </c>
      <c r="AG55">
        <v>2049</v>
      </c>
      <c r="AH55">
        <v>2050</v>
      </c>
    </row>
    <row r="56" spans="1:35" x14ac:dyDescent="0.45">
      <c r="A56" t="s">
        <v>109</v>
      </c>
      <c r="B56" s="17">
        <f>B23*10^6/B46</f>
        <v>0</v>
      </c>
      <c r="C56" s="17">
        <f t="shared" ref="C56:AH56" si="14">C23*10^6/C46</f>
        <v>0</v>
      </c>
      <c r="D56" s="17">
        <f t="shared" si="14"/>
        <v>0</v>
      </c>
      <c r="E56" s="17">
        <f t="shared" si="14"/>
        <v>0</v>
      </c>
      <c r="F56" s="17">
        <f t="shared" si="14"/>
        <v>0</v>
      </c>
      <c r="G56" s="17">
        <f t="shared" si="14"/>
        <v>0</v>
      </c>
      <c r="H56" s="17">
        <f t="shared" si="14"/>
        <v>0</v>
      </c>
      <c r="I56" s="17">
        <f t="shared" si="14"/>
        <v>0</v>
      </c>
      <c r="J56" s="17">
        <f t="shared" si="14"/>
        <v>3.7460853967372895E-4</v>
      </c>
      <c r="K56" s="17">
        <f t="shared" si="14"/>
        <v>1.328198698762336E-3</v>
      </c>
      <c r="L56" s="17">
        <f t="shared" si="14"/>
        <v>2.2525963247789797E-3</v>
      </c>
      <c r="M56" s="17">
        <f t="shared" si="14"/>
        <v>3.1102255004747288E-3</v>
      </c>
      <c r="N56" s="17">
        <f t="shared" si="14"/>
        <v>3.929671921941858E-3</v>
      </c>
      <c r="O56" s="17">
        <f t="shared" si="14"/>
        <v>4.7011453999807129E-3</v>
      </c>
      <c r="P56" s="17">
        <f t="shared" si="14"/>
        <v>5.4347712949410938E-3</v>
      </c>
      <c r="Q56" s="17">
        <f t="shared" si="14"/>
        <v>6.1079125783944027E-3</v>
      </c>
      <c r="R56" s="17">
        <f t="shared" si="14"/>
        <v>6.8582401555642566E-3</v>
      </c>
      <c r="S56" s="17">
        <f t="shared" si="14"/>
        <v>7.5918427061665962E-3</v>
      </c>
      <c r="T56" s="17">
        <f t="shared" si="14"/>
        <v>8.3179811179460977E-3</v>
      </c>
      <c r="U56" s="17">
        <f t="shared" si="14"/>
        <v>9.0227161414297777E-3</v>
      </c>
      <c r="V56" s="17">
        <f t="shared" si="14"/>
        <v>9.7028162211125792E-3</v>
      </c>
      <c r="W56" s="17">
        <f t="shared" si="14"/>
        <v>1.0393621113959906E-2</v>
      </c>
      <c r="X56" s="17">
        <f t="shared" si="14"/>
        <v>1.1090065486425254E-2</v>
      </c>
      <c r="Y56" s="17">
        <f t="shared" si="14"/>
        <v>1.1783095541487024E-2</v>
      </c>
      <c r="Z56" s="17">
        <f t="shared" si="14"/>
        <v>1.2471546421713916E-2</v>
      </c>
      <c r="AA56" s="17">
        <f t="shared" si="14"/>
        <v>1.3212712814938502E-2</v>
      </c>
      <c r="AB56" s="17">
        <f t="shared" si="14"/>
        <v>1.394820338788535E-2</v>
      </c>
      <c r="AC56" s="17">
        <f t="shared" si="14"/>
        <v>1.4677943773216228E-2</v>
      </c>
      <c r="AD56" s="17">
        <f t="shared" si="14"/>
        <v>1.54086830740141E-2</v>
      </c>
      <c r="AE56" s="17">
        <f t="shared" si="14"/>
        <v>1.6134901423009378E-2</v>
      </c>
      <c r="AF56" s="17">
        <f t="shared" si="14"/>
        <v>1.6849932020891689E-2</v>
      </c>
      <c r="AG56" s="17">
        <f t="shared" si="14"/>
        <v>1.7564722957394308E-2</v>
      </c>
      <c r="AH56" s="17">
        <f t="shared" si="14"/>
        <v>1.8277780593057246E-2</v>
      </c>
      <c r="AI56" s="10"/>
    </row>
    <row r="57" spans="1:35" x14ac:dyDescent="0.45">
      <c r="A57" t="s">
        <v>108</v>
      </c>
      <c r="B57" s="18">
        <f>B24*10^6/B49</f>
        <v>0</v>
      </c>
      <c r="C57" s="18">
        <f t="shared" ref="C57:AH57" si="15">C24*10^6/C49</f>
        <v>0</v>
      </c>
      <c r="D57" s="18">
        <f t="shared" si="15"/>
        <v>0</v>
      </c>
      <c r="E57" s="18">
        <f t="shared" si="15"/>
        <v>0</v>
      </c>
      <c r="F57" s="18">
        <f t="shared" si="15"/>
        <v>0</v>
      </c>
      <c r="G57" s="18">
        <f t="shared" si="15"/>
        <v>8.0662021554832016E-4</v>
      </c>
      <c r="H57" s="18">
        <f t="shared" si="15"/>
        <v>1.8798790400796422E-3</v>
      </c>
      <c r="I57" s="18">
        <f t="shared" si="15"/>
        <v>2.8605124694651971E-3</v>
      </c>
      <c r="J57" s="18">
        <f t="shared" si="15"/>
        <v>3.7544975015508975E-3</v>
      </c>
      <c r="K57" s="18">
        <f t="shared" si="15"/>
        <v>4.5753099468792049E-3</v>
      </c>
      <c r="L57" s="18">
        <f t="shared" si="15"/>
        <v>5.3191581759501807E-3</v>
      </c>
      <c r="M57" s="18">
        <f t="shared" si="15"/>
        <v>6.0032047356167227E-3</v>
      </c>
      <c r="N57" s="18">
        <f t="shared" si="15"/>
        <v>6.6353392522798841E-3</v>
      </c>
      <c r="O57" s="18">
        <f t="shared" si="15"/>
        <v>7.2734673608300885E-3</v>
      </c>
      <c r="P57" s="18">
        <f t="shared" si="15"/>
        <v>7.8753098687437181E-3</v>
      </c>
      <c r="Q57" s="18">
        <f t="shared" si="15"/>
        <v>8.4181587710956806E-3</v>
      </c>
      <c r="R57" s="18">
        <f t="shared" si="15"/>
        <v>8.9293255727669711E-3</v>
      </c>
      <c r="S57" s="18">
        <f t="shared" si="15"/>
        <v>9.4095902693635391E-3</v>
      </c>
      <c r="T57" s="18">
        <f t="shared" si="15"/>
        <v>9.7873846147025021E-3</v>
      </c>
      <c r="U57" s="18">
        <f t="shared" si="15"/>
        <v>1.0139333308698159E-2</v>
      </c>
      <c r="V57" s="18">
        <f t="shared" si="15"/>
        <v>1.0422410138446874E-2</v>
      </c>
      <c r="W57" s="18">
        <f t="shared" si="15"/>
        <v>1.0685713068101193E-2</v>
      </c>
      <c r="X57" s="18">
        <f t="shared" si="15"/>
        <v>1.0930094265981453E-2</v>
      </c>
      <c r="Y57" s="18">
        <f t="shared" si="15"/>
        <v>1.1205164618204151E-2</v>
      </c>
      <c r="Z57" s="18">
        <f t="shared" si="15"/>
        <v>1.146339142491389E-2</v>
      </c>
      <c r="AA57" s="18">
        <f t="shared" si="15"/>
        <v>1.175308655685481E-2</v>
      </c>
      <c r="AB57" s="18">
        <f t="shared" si="15"/>
        <v>1.2029855590521058E-2</v>
      </c>
      <c r="AC57" s="18">
        <f t="shared" si="15"/>
        <v>1.2293216260740022E-2</v>
      </c>
      <c r="AD57" s="18">
        <f t="shared" si="15"/>
        <v>1.2528527566789342E-2</v>
      </c>
      <c r="AE57" s="18">
        <f t="shared" si="15"/>
        <v>1.2752201035262669E-2</v>
      </c>
      <c r="AF57" s="18">
        <f t="shared" si="15"/>
        <v>1.2967330188890815E-2</v>
      </c>
      <c r="AG57" s="18">
        <f t="shared" si="15"/>
        <v>1.3172119177537737E-2</v>
      </c>
      <c r="AH57" s="18">
        <f t="shared" si="15"/>
        <v>1.3368812089146174E-2</v>
      </c>
    </row>
    <row r="75" spans="1:3" x14ac:dyDescent="0.45">
      <c r="A75" s="16" t="s">
        <v>128</v>
      </c>
      <c r="B75" s="7"/>
      <c r="C75" s="7"/>
    </row>
    <row r="76" spans="1:3" x14ac:dyDescent="0.45">
      <c r="A76" s="19"/>
      <c r="B76" s="19">
        <v>2018</v>
      </c>
      <c r="C76" s="19">
        <v>2050</v>
      </c>
    </row>
    <row r="77" spans="1:3" x14ac:dyDescent="0.45">
      <c r="A77" s="19" t="s">
        <v>109</v>
      </c>
      <c r="B77" s="20">
        <v>0</v>
      </c>
      <c r="C77" s="21">
        <f>AH56</f>
        <v>1.8277780593057246E-2</v>
      </c>
    </row>
    <row r="78" spans="1:3" x14ac:dyDescent="0.45">
      <c r="A78" s="19" t="s">
        <v>129</v>
      </c>
      <c r="B78" s="21">
        <v>0</v>
      </c>
      <c r="C78" s="21">
        <f>AH57</f>
        <v>1.3368812089146174E-2</v>
      </c>
    </row>
  </sheetData>
  <dataValidations count="1">
    <dataValidation type="list" allowBlank="1" showInputMessage="1" showErrorMessage="1" sqref="B2">
      <formula1>#REF!</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9"/>
  <sheetViews>
    <sheetView workbookViewId="0">
      <selection activeCell="H6" sqref="H6"/>
    </sheetView>
  </sheetViews>
  <sheetFormatPr defaultRowHeight="14.25" x14ac:dyDescent="0.45"/>
  <cols>
    <col min="1" max="1" width="44.796875" customWidth="1"/>
  </cols>
  <sheetData>
    <row r="1" spans="1:34" x14ac:dyDescent="0.45">
      <c r="A1" s="6" t="s">
        <v>15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7" t="s">
        <v>3</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row>
    <row r="3" spans="1:34" x14ac:dyDescent="0.45">
      <c r="A3" s="1" t="s">
        <v>1</v>
      </c>
      <c r="B3" cm="1">
        <f t="array" ref="B3">TREND('BAU Calculations'!$B77:$C77,'BAU Calculations'!$B76:$C76,B1)</f>
        <v>0</v>
      </c>
      <c r="C3" cm="1">
        <f t="array" ref="C3">TREND('BAU Calculations'!$B77:$C77,'BAU Calculations'!$B76:$C76,C1)</f>
        <v>5.7118064353312015E-4</v>
      </c>
      <c r="D3" cm="1">
        <f t="array" ref="D3">TREND('BAU Calculations'!$B77:$C77,'BAU Calculations'!$B76:$C76,D1)</f>
        <v>1.1423612870660182E-3</v>
      </c>
      <c r="E3" cm="1">
        <f t="array" ref="E3">TREND('BAU Calculations'!$B77:$C77,'BAU Calculations'!$B76:$C76,E1)</f>
        <v>1.7135419305991384E-3</v>
      </c>
      <c r="F3" cm="1">
        <f t="array" ref="F3">TREND('BAU Calculations'!$B77:$C77,'BAU Calculations'!$B76:$C76,F1)</f>
        <v>2.2847225741322585E-3</v>
      </c>
      <c r="G3" cm="1">
        <f t="array" ref="G3">TREND('BAU Calculations'!$B77:$C77,'BAU Calculations'!$B76:$C76,G1)</f>
        <v>2.8559032176651566E-3</v>
      </c>
      <c r="H3" cm="1">
        <f t="array" ref="H3">TREND('BAU Calculations'!$B77:$C77,'BAU Calculations'!$B76:$C76,H1)</f>
        <v>3.4270838611982768E-3</v>
      </c>
      <c r="I3" cm="1">
        <f t="array" ref="I3">TREND('BAU Calculations'!$B77:$C77,'BAU Calculations'!$B76:$C76,I1)</f>
        <v>3.9982645047311749E-3</v>
      </c>
      <c r="J3" cm="1">
        <f t="array" ref="J3">TREND('BAU Calculations'!$B77:$C77,'BAU Calculations'!$B76:$C76,J1)</f>
        <v>4.569445148264295E-3</v>
      </c>
      <c r="K3" cm="1">
        <f t="array" ref="K3">TREND('BAU Calculations'!$B77:$C77,'BAU Calculations'!$B76:$C76,K1)</f>
        <v>5.1406257917974152E-3</v>
      </c>
      <c r="L3" cm="1">
        <f t="array" ref="L3">TREND('BAU Calculations'!$B77:$C77,'BAU Calculations'!$B76:$C76,L1)</f>
        <v>5.7118064353303133E-3</v>
      </c>
      <c r="M3" cm="1">
        <f t="array" ref="M3">TREND('BAU Calculations'!$B77:$C77,'BAU Calculations'!$B76:$C76,M1)</f>
        <v>6.2829870788634334E-3</v>
      </c>
      <c r="N3" cm="1">
        <f t="array" ref="N3">TREND('BAU Calculations'!$B77:$C77,'BAU Calculations'!$B76:$C76,N1)</f>
        <v>6.8541677223965536E-3</v>
      </c>
      <c r="O3" cm="1">
        <f t="array" ref="O3">TREND('BAU Calculations'!$B77:$C77,'BAU Calculations'!$B76:$C76,O1)</f>
        <v>7.4253483659294517E-3</v>
      </c>
      <c r="P3" cm="1">
        <f t="array" ref="P3">TREND('BAU Calculations'!$B77:$C77,'BAU Calculations'!$B76:$C76,P1)</f>
        <v>7.9965290094625718E-3</v>
      </c>
      <c r="Q3" cm="1">
        <f t="array" ref="Q3">TREND('BAU Calculations'!$B77:$C77,'BAU Calculations'!$B76:$C76,Q1)</f>
        <v>8.5677096529954699E-3</v>
      </c>
      <c r="R3" cm="1">
        <f t="array" ref="R3">TREND('BAU Calculations'!$B77:$C77,'BAU Calculations'!$B76:$C76,R1)</f>
        <v>9.1388902965285901E-3</v>
      </c>
      <c r="S3" cm="1">
        <f t="array" ref="S3">TREND('BAU Calculations'!$B77:$C77,'BAU Calculations'!$B76:$C76,S1)</f>
        <v>9.7100709400617102E-3</v>
      </c>
      <c r="T3" cm="1">
        <f t="array" ref="T3">TREND('BAU Calculations'!$B77:$C77,'BAU Calculations'!$B76:$C76,T1)</f>
        <v>1.0281251583594608E-2</v>
      </c>
      <c r="U3" cm="1">
        <f t="array" ref="U3">TREND('BAU Calculations'!$B77:$C77,'BAU Calculations'!$B76:$C76,U1)</f>
        <v>1.0852432227127728E-2</v>
      </c>
      <c r="V3" cm="1">
        <f t="array" ref="V3">TREND('BAU Calculations'!$B77:$C77,'BAU Calculations'!$B76:$C76,V1)</f>
        <v>1.1423612870660849E-2</v>
      </c>
      <c r="W3" cm="1">
        <f t="array" ref="W3">TREND('BAU Calculations'!$B77:$C77,'BAU Calculations'!$B76:$C76,W1)</f>
        <v>1.1994793514193747E-2</v>
      </c>
      <c r="X3" cm="1">
        <f t="array" ref="X3">TREND('BAU Calculations'!$B77:$C77,'BAU Calculations'!$B76:$C76,X1)</f>
        <v>1.2565974157726867E-2</v>
      </c>
      <c r="Y3" cm="1">
        <f t="array" ref="Y3">TREND('BAU Calculations'!$B77:$C77,'BAU Calculations'!$B76:$C76,Y1)</f>
        <v>1.3137154801259987E-2</v>
      </c>
      <c r="Z3" cm="1">
        <f t="array" ref="Z3">TREND('BAU Calculations'!$B77:$C77,'BAU Calculations'!$B76:$C76,Z1)</f>
        <v>1.3708335444792885E-2</v>
      </c>
      <c r="AA3" cm="1">
        <f t="array" ref="AA3">TREND('BAU Calculations'!$B77:$C77,'BAU Calculations'!$B76:$C76,AA1)</f>
        <v>1.4279516088326005E-2</v>
      </c>
      <c r="AB3" cm="1">
        <f t="array" ref="AB3">TREND('BAU Calculations'!$B77:$C77,'BAU Calculations'!$B76:$C76,AB1)</f>
        <v>1.4850696731858903E-2</v>
      </c>
      <c r="AC3" cm="1">
        <f t="array" ref="AC3">TREND('BAU Calculations'!$B77:$C77,'BAU Calculations'!$B76:$C76,AC1)</f>
        <v>1.5421877375392024E-2</v>
      </c>
      <c r="AD3" cm="1">
        <f t="array" ref="AD3">TREND('BAU Calculations'!$B77:$C77,'BAU Calculations'!$B76:$C76,AD1)</f>
        <v>1.5993058018925144E-2</v>
      </c>
      <c r="AE3" cm="1">
        <f t="array" ref="AE3">TREND('BAU Calculations'!$B77:$C77,'BAU Calculations'!$B76:$C76,AE1)</f>
        <v>1.6564238662458042E-2</v>
      </c>
      <c r="AF3" cm="1">
        <f t="array" ref="AF3">TREND('BAU Calculations'!$B77:$C77,'BAU Calculations'!$B76:$C76,AF1)</f>
        <v>1.7135419305991162E-2</v>
      </c>
      <c r="AG3" cm="1">
        <f t="array" ref="AG3">TREND('BAU Calculations'!$B77:$C77,'BAU Calculations'!$B76:$C76,AG1)</f>
        <v>1.7706599949524282E-2</v>
      </c>
      <c r="AH3" cm="1">
        <f t="array" ref="AH3">TREND('BAU Calculations'!$B77:$C77,'BAU Calculations'!$B76:$C76,AH1)</f>
        <v>1.827778059305718E-2</v>
      </c>
    </row>
    <row r="4" spans="1:34" x14ac:dyDescent="0.45">
      <c r="A4" s="7" t="s">
        <v>4</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row>
    <row r="5" spans="1:34" x14ac:dyDescent="0.45">
      <c r="A5" s="7" t="s">
        <v>5</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row>
    <row r="6" spans="1:34" x14ac:dyDescent="0.45">
      <c r="A6" s="1" t="s">
        <v>2</v>
      </c>
      <c r="B6" cm="1">
        <f t="array" ref="B6">TREND('BAU Calculations'!$B78:$C78,'BAU Calculations'!$B76:$C76,B1)</f>
        <v>0</v>
      </c>
      <c r="C6" cm="1">
        <f t="array" ref="C6">TREND('BAU Calculations'!$B78:$C78,'BAU Calculations'!$B76:$C76,C1)</f>
        <v>4.1777537778586726E-4</v>
      </c>
      <c r="D6" cm="1">
        <f t="array" ref="D6">TREND('BAU Calculations'!$B78:$C78,'BAU Calculations'!$B76:$C76,D1)</f>
        <v>8.355507555716235E-4</v>
      </c>
      <c r="E6" cm="1">
        <f t="array" ref="E6">TREND('BAU Calculations'!$B78:$C78,'BAU Calculations'!$B76:$C76,E1)</f>
        <v>1.2533261333574908E-3</v>
      </c>
      <c r="F6" cm="1">
        <f t="array" ref="F6">TREND('BAU Calculations'!$B78:$C78,'BAU Calculations'!$B76:$C76,F1)</f>
        <v>1.671101511143358E-3</v>
      </c>
      <c r="G6" cm="1">
        <f t="array" ref="G6">TREND('BAU Calculations'!$B78:$C78,'BAU Calculations'!$B76:$C76,G1)</f>
        <v>2.0888768889291143E-3</v>
      </c>
      <c r="H6" cm="1">
        <f t="array" ref="H6">TREND('BAU Calculations'!$B78:$C78,'BAU Calculations'!$B76:$C76,H1)</f>
        <v>2.5066522667149815E-3</v>
      </c>
      <c r="I6" cm="1">
        <f t="array" ref="I6">TREND('BAU Calculations'!$B78:$C78,'BAU Calculations'!$B76:$C76,I1)</f>
        <v>2.9244276445007378E-3</v>
      </c>
      <c r="J6" cm="1">
        <f t="array" ref="J6">TREND('BAU Calculations'!$B78:$C78,'BAU Calculations'!$B76:$C76,J1)</f>
        <v>3.342203022286605E-3</v>
      </c>
      <c r="K6" cm="1">
        <f t="array" ref="K6">TREND('BAU Calculations'!$B78:$C78,'BAU Calculations'!$B76:$C76,K1)</f>
        <v>3.7599784000723613E-3</v>
      </c>
      <c r="L6" cm="1">
        <f t="array" ref="L6">TREND('BAU Calculations'!$B78:$C78,'BAU Calculations'!$B76:$C76,L1)</f>
        <v>4.1777537778582285E-3</v>
      </c>
      <c r="M6" cm="1">
        <f t="array" ref="M6">TREND('BAU Calculations'!$B78:$C78,'BAU Calculations'!$B76:$C76,M1)</f>
        <v>4.5955291556439848E-3</v>
      </c>
      <c r="N6" cm="1">
        <f t="array" ref="N6">TREND('BAU Calculations'!$B78:$C78,'BAU Calculations'!$B76:$C76,N1)</f>
        <v>5.0133045334298521E-3</v>
      </c>
      <c r="O6" cm="1">
        <f t="array" ref="O6">TREND('BAU Calculations'!$B78:$C78,'BAU Calculations'!$B76:$C76,O1)</f>
        <v>5.4310799112157193E-3</v>
      </c>
      <c r="P6" cm="1">
        <f t="array" ref="P6">TREND('BAU Calculations'!$B78:$C78,'BAU Calculations'!$B76:$C76,P1)</f>
        <v>5.8488552890014756E-3</v>
      </c>
      <c r="Q6" cm="1">
        <f t="array" ref="Q6">TREND('BAU Calculations'!$B78:$C78,'BAU Calculations'!$B76:$C76,Q1)</f>
        <v>6.2666306667873428E-3</v>
      </c>
      <c r="R6" cm="1">
        <f t="array" ref="R6">TREND('BAU Calculations'!$B78:$C78,'BAU Calculations'!$B76:$C76,R1)</f>
        <v>6.6844060445730991E-3</v>
      </c>
      <c r="S6" cm="1">
        <f t="array" ref="S6">TREND('BAU Calculations'!$B78:$C78,'BAU Calculations'!$B76:$C76,S1)</f>
        <v>7.1021814223589663E-3</v>
      </c>
      <c r="T6" cm="1">
        <f t="array" ref="T6">TREND('BAU Calculations'!$B78:$C78,'BAU Calculations'!$B76:$C76,T1)</f>
        <v>7.5199568001447226E-3</v>
      </c>
      <c r="U6" cm="1">
        <f t="array" ref="U6">TREND('BAU Calculations'!$B78:$C78,'BAU Calculations'!$B76:$C76,U1)</f>
        <v>7.9377321779305898E-3</v>
      </c>
      <c r="V6" cm="1">
        <f t="array" ref="V6">TREND('BAU Calculations'!$B78:$C78,'BAU Calculations'!$B76:$C76,V1)</f>
        <v>8.3555075557163461E-3</v>
      </c>
      <c r="W6" cm="1">
        <f t="array" ref="W6">TREND('BAU Calculations'!$B78:$C78,'BAU Calculations'!$B76:$C76,W1)</f>
        <v>8.7732829335022133E-3</v>
      </c>
      <c r="X6" cm="1">
        <f t="array" ref="X6">TREND('BAU Calculations'!$B78:$C78,'BAU Calculations'!$B76:$C76,X1)</f>
        <v>9.1910583112880806E-3</v>
      </c>
      <c r="Y6" cm="1">
        <f t="array" ref="Y6">TREND('BAU Calculations'!$B78:$C78,'BAU Calculations'!$B76:$C76,Y1)</f>
        <v>9.6088336890738368E-3</v>
      </c>
      <c r="Z6" cm="1">
        <f t="array" ref="Z6">TREND('BAU Calculations'!$B78:$C78,'BAU Calculations'!$B76:$C76,Z1)</f>
        <v>1.0026609066859704E-2</v>
      </c>
      <c r="AA6" cm="1">
        <f t="array" ref="AA6">TREND('BAU Calculations'!$B78:$C78,'BAU Calculations'!$B76:$C76,AA1)</f>
        <v>1.044438444464546E-2</v>
      </c>
      <c r="AB6" cm="1">
        <f t="array" ref="AB6">TREND('BAU Calculations'!$B78:$C78,'BAU Calculations'!$B76:$C76,AB1)</f>
        <v>1.0862159822431328E-2</v>
      </c>
      <c r="AC6" cm="1">
        <f t="array" ref="AC6">TREND('BAU Calculations'!$B78:$C78,'BAU Calculations'!$B76:$C76,AC1)</f>
        <v>1.1279935200217084E-2</v>
      </c>
      <c r="AD6" cm="1">
        <f t="array" ref="AD6">TREND('BAU Calculations'!$B78:$C78,'BAU Calculations'!$B76:$C76,AD1)</f>
        <v>1.1697710578002951E-2</v>
      </c>
      <c r="AE6" cm="1">
        <f t="array" ref="AE6">TREND('BAU Calculations'!$B78:$C78,'BAU Calculations'!$B76:$C76,AE1)</f>
        <v>1.2115485955788707E-2</v>
      </c>
      <c r="AF6" cm="1">
        <f t="array" ref="AF6">TREND('BAU Calculations'!$B78:$C78,'BAU Calculations'!$B76:$C76,AF1)</f>
        <v>1.2533261333574575E-2</v>
      </c>
      <c r="AG6" cm="1">
        <f t="array" ref="AG6">TREND('BAU Calculations'!$B78:$C78,'BAU Calculations'!$B76:$C76,AG1)</f>
        <v>1.2951036711360442E-2</v>
      </c>
      <c r="AH6" cm="1">
        <f t="array" ref="AH6">TREND('BAU Calculations'!$B78:$C78,'BAU Calculations'!$B76:$C76,AH1)</f>
        <v>1.3368812089146198E-2</v>
      </c>
    </row>
    <row r="7" spans="1:34" x14ac:dyDescent="0.45">
      <c r="A7" s="7" t="s">
        <v>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row>
    <row r="8" spans="1:34" x14ac:dyDescent="0.45">
      <c r="A8" s="7" t="s">
        <v>7</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row>
    <row r="9" spans="1:34" x14ac:dyDescent="0.45">
      <c r="A9" s="7" t="s">
        <v>8</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About</vt:lpstr>
      <vt:lpstr>Data OECD</vt:lpstr>
      <vt:lpstr>Data NonOECD</vt:lpstr>
      <vt:lpstr>IESS data</vt:lpstr>
      <vt:lpstr>Global CCS Database</vt:lpstr>
      <vt:lpstr>BAU Calculations</vt:lpstr>
      <vt:lpstr>BFoCPAbS</vt:lpstr>
      <vt:lpstr>Region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2014-08-19T22:24:38Z</dcterms:created>
  <dcterms:modified xsi:type="dcterms:W3CDTF">2020-05-06T18:11:25Z</dcterms:modified>
</cp:coreProperties>
</file>