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ccs\CC\"/>
    </mc:Choice>
  </mc:AlternateContent>
  <bookViews>
    <workbookView xWindow="-120" yWindow="-120" windowWidth="20730" windowHeight="11160"/>
  </bookViews>
  <sheets>
    <sheet name="About" sheetId="1" r:id="rId1"/>
    <sheet name="Table 2" sheetId="2" r:id="rId2"/>
    <sheet name="Calculations" sheetId="3" r:id="rId3"/>
    <sheet name="Conversion Factors" sheetId="9" r:id="rId4"/>
    <sheet name="India Estimates" sheetId="8" r:id="rId5"/>
    <sheet name="Calcs" sheetId="7" r:id="rId6"/>
    <sheet name="CC-CCoEtSOToCpY" sheetId="4" r:id="rId7"/>
    <sheet name="CC-TOMCpTS" sheetId="5" r:id="rId8"/>
    <sheet name="CC-EUpTCS" sheetId="6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5" l="1"/>
  <c r="B2" i="4"/>
  <c r="B3" i="6" l="1"/>
  <c r="B2" i="6"/>
  <c r="B3" i="5"/>
  <c r="B3" i="4"/>
  <c r="B21" i="7"/>
  <c r="B20" i="7"/>
  <c r="G3" i="7" l="1"/>
  <c r="G7" i="7" s="1"/>
  <c r="G10" i="7" s="1"/>
  <c r="C5" i="7"/>
  <c r="B5" i="7"/>
  <c r="B10" i="7" s="1"/>
  <c r="C4" i="7"/>
  <c r="B4" i="7"/>
  <c r="B11" i="7"/>
  <c r="B9" i="7" l="1"/>
  <c r="B13" i="7" s="1"/>
  <c r="B14" i="7" s="1"/>
  <c r="C19" i="3"/>
  <c r="C22" i="3" s="1"/>
  <c r="B19" i="3"/>
  <c r="B22" i="3" s="1"/>
  <c r="C11" i="3"/>
  <c r="C14" i="3" s="1"/>
  <c r="B11" i="3"/>
  <c r="B14" i="3" s="1"/>
  <c r="C4" i="3"/>
  <c r="B4" i="3"/>
  <c r="C3" i="3"/>
  <c r="B3" i="3"/>
  <c r="B6" i="3" s="1"/>
  <c r="B15" i="7" l="1"/>
  <c r="B17" i="7"/>
  <c r="B18" i="7" s="1"/>
  <c r="C6" i="3"/>
</calcChain>
</file>

<file path=xl/sharedStrings.xml><?xml version="1.0" encoding="utf-8"?>
<sst xmlns="http://schemas.openxmlformats.org/spreadsheetml/2006/main" count="153" uniqueCount="118">
  <si>
    <t>Source:</t>
  </si>
  <si>
    <t>Input</t>
  </si>
  <si>
    <t>$/(kg/h)</t>
  </si>
  <si>
    <t>Cycle</t>
  </si>
  <si>
    <t>IGCC</t>
  </si>
  <si>
    <t>PC</t>
  </si>
  <si>
    <t>NGCC</t>
  </si>
  <si>
    <t>mills/kg</t>
  </si>
  <si>
    <t>kWh/kg</t>
  </si>
  <si>
    <t>Incremental Capital Cost, $/(kg/h)</t>
  </si>
  <si>
    <t>Data Description</t>
  </si>
  <si>
    <t>Capital Cost, $/kW</t>
  </si>
  <si>
    <t>O&amp;M, mills/kWh</t>
  </si>
  <si>
    <t>Heat Rate (LHV), Btu/kWh</t>
  </si>
  <si>
    <t>Incremental O&amp;M, mills/kg</t>
  </si>
  <si>
    <t>Energy Requirements, kWh/kg</t>
  </si>
  <si>
    <t xml:space="preserve">Basis  </t>
  </si>
  <si>
    <t>Yearly Operating Hours, hrs/yr</t>
  </si>
  <si>
    <t>Capital Charge Rate, %/yr</t>
  </si>
  <si>
    <t>Fuel Cost (LHV), $/MMBtu</t>
  </si>
  <si>
    <t>Capture Efficiency, %</t>
  </si>
  <si>
    <t xml:space="preserve">Reference Plant </t>
  </si>
  <si>
    <t>CO2 Emitted, kg/kWh</t>
  </si>
  <si>
    <t>coe: CAPITAL, mills/kWh</t>
  </si>
  <si>
    <t>coe: FUEL, mills/kWh</t>
  </si>
  <si>
    <t>coe: O&amp;M, mills/kWh</t>
  </si>
  <si>
    <t>Cost of Electricity, ¢/kWh</t>
  </si>
  <si>
    <t>Thermal Efficiency (LHV), %</t>
  </si>
  <si>
    <t xml:space="preserve">Capture Plant </t>
  </si>
  <si>
    <t>Relative Power Output, %</t>
  </si>
  <si>
    <t xml:space="preserve">Comparison  </t>
  </si>
  <si>
    <t>Incremental coe, ¢/kWh</t>
  </si>
  <si>
    <t>Energy Penalty, %</t>
  </si>
  <si>
    <t>Mitigation Cost, Capture vs. Ref., $/tonne of CO2 avoided</t>
  </si>
  <si>
    <t>This is a copy of Table 2 from Herzog and David, "The Cost of Carbon Capture"</t>
  </si>
  <si>
    <t>Industry (NGCC)</t>
  </si>
  <si>
    <t>Electricity (IGCC)</t>
  </si>
  <si>
    <t>Operating hrs/yr</t>
  </si>
  <si>
    <t>kg/ton</t>
  </si>
  <si>
    <t>RESULT ($/ton*yr)</t>
  </si>
  <si>
    <t>CCS Total O&amp;M Cost per Ton Sequestered</t>
  </si>
  <si>
    <t>$/mill</t>
  </si>
  <si>
    <t>Energy Use per Ton CO2 Sequestered</t>
  </si>
  <si>
    <t>BTU/kWh</t>
  </si>
  <si>
    <t>RESULT (BTU/ton)</t>
  </si>
  <si>
    <t>CC CCS Total O&amp;M Cost per Ton Sequestered</t>
  </si>
  <si>
    <t>CC Energy Use per Ton CO2 Sequestered</t>
  </si>
  <si>
    <t>Notes:</t>
  </si>
  <si>
    <t>electricity sector</t>
  </si>
  <si>
    <t>industry sector</t>
  </si>
  <si>
    <t>CC Capital Cost of Eqpt to Sequester One Ton of CO2 per Year</t>
  </si>
  <si>
    <t>Capital cost ($/(ton*yr))</t>
  </si>
  <si>
    <t>Capital Cost of Eqpt to Sequester One Ton of CO2 per Year</t>
  </si>
  <si>
    <t>O&amp;M Cost per Ton ($/ton)</t>
  </si>
  <si>
    <t>RESULT ($/ton)</t>
  </si>
  <si>
    <t>Energy Use per Ton Sequestered (BTU/ton)</t>
  </si>
  <si>
    <t xml:space="preserve">This variable captures the capital and O&amp;M costs and energy use of </t>
  </si>
  <si>
    <t>carbon capture and sequestration, for both the power and industry</t>
  </si>
  <si>
    <t>sectors.</t>
  </si>
  <si>
    <t>https://www.irade.org/website%20documents/CCS_IRAde_DST.pdf</t>
  </si>
  <si>
    <t>Page 25</t>
  </si>
  <si>
    <t>Analysis of Carbon Capture and Storage (CCS) Technology in the Context of Indian Power Sector</t>
  </si>
  <si>
    <t>Jyoti Parikh (IRADe)</t>
  </si>
  <si>
    <t>Cost Implications of Carbon Capture and Storage for the Coal Power Plants in India</t>
  </si>
  <si>
    <t>https://www.sciencedirect.com/science/article/pii/S187661021401162X</t>
  </si>
  <si>
    <t>Rao and Kumar</t>
  </si>
  <si>
    <t>Energy Procedia   54  ( 2014 )  431 – 438, Page 436, Table 2</t>
  </si>
  <si>
    <t xml:space="preserve">generation costs for 4 plant cases. However this study does not mention the underlying capital </t>
  </si>
  <si>
    <t>and O&amp;M costs for the incremental retrofit of the coal plants. Hence we use the existing US source</t>
  </si>
  <si>
    <t xml:space="preserve">The only India source with plant-specific analysis is a 2014 study (Rao, Kumar) which estimates incremental </t>
  </si>
  <si>
    <t>An older Indian study (IRADe) estimates the capital and O&amp;M costs based on esimates</t>
  </si>
  <si>
    <t>Supercritical PC with
MEA based CCS</t>
  </si>
  <si>
    <t>Supercritical PC with
CCS+OFC</t>
  </si>
  <si>
    <t>Cost in 2016 INR</t>
  </si>
  <si>
    <t>CO2 avoidance cost ₹/tonne</t>
  </si>
  <si>
    <t>Averages</t>
  </si>
  <si>
    <t>Table 6.1 Selected Clean Coal Technologies used in the IRADe’s India Technology Assessment Model</t>
  </si>
  <si>
    <t>capital cost (₹/MW)</t>
  </si>
  <si>
    <t xml:space="preserve">O&amp;M ₹/MW </t>
  </si>
  <si>
    <t>O&amp;M ₹/MW</t>
  </si>
  <si>
    <t>% of CO2 avoidance cost from O&amp;M</t>
  </si>
  <si>
    <t>O&amp;M cost per ton CO2 avoided</t>
  </si>
  <si>
    <t>Cap cost per ton CO2 avoided</t>
  </si>
  <si>
    <t>2016 INR</t>
  </si>
  <si>
    <t>(from Table 5.13)</t>
  </si>
  <si>
    <t>Specific fuel consumption
(kg/kWh)</t>
  </si>
  <si>
    <t>Electricity</t>
  </si>
  <si>
    <t>India sources - Public</t>
  </si>
  <si>
    <t>of global demonstration plants. Both sources are listed above</t>
  </si>
  <si>
    <t>In the absence of India-specific, publicly available costs, we consulted with modellers at IRADe,</t>
  </si>
  <si>
    <t>which is a member of the "Global Technology Watch Group on Advanced Clean Coal Technologies".</t>
  </si>
  <si>
    <t>This group was constituted to develop a "Coal Road Map for India", by the Dept. of Science &amp;</t>
  </si>
  <si>
    <t>Technology (DST) of the Govt. of India (Sanction No. DST/SPLICE/CCP/GTWG-02/2013(G) dated 01/09/2014).</t>
  </si>
  <si>
    <t>In this study, coal-based technologies are assessed for India-specific conditions. Even though</t>
  </si>
  <si>
    <t>the study is not available in the public domain, we refer to the India-specific estimates here</t>
  </si>
  <si>
    <t xml:space="preserve">In India-specific CCS literature, natural gas based technologies rarely find mention. </t>
  </si>
  <si>
    <t>Further, India's natural gas consumption has been largely reliant on imports, and we</t>
  </si>
  <si>
    <t>don't think it would be feasible to use NGCC technologies. Hence, we retain the estimates</t>
  </si>
  <si>
    <t xml:space="preserve">as the specific consumption of coal and heat rates for India can be very different from US values. </t>
  </si>
  <si>
    <r>
      <t>The tables that are referred to in the study are provided in the</t>
    </r>
    <r>
      <rPr>
        <i/>
        <sz val="11"/>
        <color theme="1"/>
        <rFont val="Calibri"/>
        <family val="2"/>
        <scheme val="minor"/>
      </rPr>
      <t xml:space="preserve"> 'India Estimates'</t>
    </r>
    <r>
      <rPr>
        <sz val="11"/>
        <color theme="1"/>
        <rFont val="Calibri"/>
        <family val="2"/>
        <scheme val="minor"/>
      </rPr>
      <t xml:space="preserve"> tab.</t>
    </r>
  </si>
  <si>
    <t>from coal-based CCS technologies from the electricity sector for industry as well.</t>
  </si>
  <si>
    <t>India studies - Public</t>
  </si>
  <si>
    <t>India estimates by IRADe used for the variable</t>
  </si>
  <si>
    <t>Global Technology Watch Group on Advanced Clean Coal Technologies/
Department of Science &amp; Technology</t>
  </si>
  <si>
    <t>Coal Road Map for India</t>
  </si>
  <si>
    <t>IRADe, IIT Delhi, IIT Bombay, IIT Madras</t>
  </si>
  <si>
    <t>Source tables in 'India Estimates' tab</t>
  </si>
  <si>
    <t>Ruppees per dollar</t>
  </si>
  <si>
    <t>See scaling-factors.xlsx for source info</t>
  </si>
  <si>
    <t>Year</t>
  </si>
  <si>
    <t>Multiply by to get 2012 Dollars</t>
  </si>
  <si>
    <t xml:space="preserve">USD CPI </t>
  </si>
  <si>
    <t>See cpi.xlsx for source info</t>
  </si>
  <si>
    <t>2016 USD</t>
  </si>
  <si>
    <t>2012 USD</t>
  </si>
  <si>
    <t>(Table 6.1)</t>
  </si>
  <si>
    <t>India:US cost adjustment</t>
  </si>
  <si>
    <t>see "scaling-factors.xlsx in the InputData folder for source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</si>
</sst>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2" borderId="0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5" fontId="0" fillId="0" borderId="0" xfId="0" applyNumberFormat="1"/>
    <xf numFmtId="1" fontId="0" fillId="0" borderId="0" xfId="0" applyNumberFormat="1"/>
    <xf numFmtId="0" fontId="0" fillId="0" borderId="9" xfId="0" applyBorder="1" applyAlignment="1">
      <alignment wrapText="1"/>
    </xf>
    <xf numFmtId="0" fontId="0" fillId="0" borderId="9" xfId="0" applyBorder="1"/>
    <xf numFmtId="2" fontId="0" fillId="0" borderId="9" xfId="0" applyNumberFormat="1" applyBorder="1"/>
    <xf numFmtId="0" fontId="5" fillId="0" borderId="0" xfId="0" applyFont="1"/>
    <xf numFmtId="0" fontId="2" fillId="0" borderId="9" xfId="0" applyFont="1" applyBorder="1" applyAlignment="1">
      <alignment wrapText="1"/>
    </xf>
    <xf numFmtId="0" fontId="0" fillId="3" borderId="0" xfId="0" applyFill="1"/>
    <xf numFmtId="0" fontId="2" fillId="3" borderId="0" xfId="0" applyFont="1" applyFill="1"/>
    <xf numFmtId="0" fontId="5" fillId="3" borderId="0" xfId="0" applyFont="1" applyFill="1"/>
    <xf numFmtId="0" fontId="2" fillId="0" borderId="0" xfId="0" applyFont="1" applyAlignment="1">
      <alignment horizontal="right"/>
    </xf>
    <xf numFmtId="2" fontId="0" fillId="4" borderId="0" xfId="0" applyNumberFormat="1" applyFill="1"/>
    <xf numFmtId="1" fontId="0" fillId="4" borderId="0" xfId="0" applyNumberFormat="1" applyFill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66675</xdr:rowOff>
    </xdr:from>
    <xdr:to>
      <xdr:col>8</xdr:col>
      <xdr:colOff>67365</xdr:colOff>
      <xdr:row>42</xdr:row>
      <xdr:rowOff>143630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0AF3EA-3BEC-469E-BCD9-E92CCD6B6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33675"/>
          <a:ext cx="4944165" cy="5410955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142875</xdr:colOff>
      <xdr:row>0</xdr:row>
      <xdr:rowOff>0</xdr:rowOff>
    </xdr:from>
    <xdr:to>
      <xdr:col>22</xdr:col>
      <xdr:colOff>172645</xdr:colOff>
      <xdr:row>21</xdr:row>
      <xdr:rowOff>19611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5B064F-DD9D-483C-AB00-49B8592E2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9675" y="0"/>
          <a:ext cx="8564170" cy="402011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0</xdr:row>
      <xdr:rowOff>47625</xdr:rowOff>
    </xdr:from>
    <xdr:to>
      <xdr:col>6</xdr:col>
      <xdr:colOff>291811</xdr:colOff>
      <xdr:row>13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998E3F-F074-44C9-B0DF-431AF8C1D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" y="47625"/>
          <a:ext cx="3882736" cy="2533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rade.org/website%20documents/CCS_IRAde_DST.pdf" TargetMode="External"/><Relationship Id="rId1" Type="http://schemas.openxmlformats.org/officeDocument/2006/relationships/hyperlink" Target="https://www.sciencedirect.com/science/article/pii/S187661021401162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topLeftCell="A13" workbookViewId="0">
      <selection activeCell="A44" sqref="A44:A46"/>
    </sheetView>
  </sheetViews>
  <sheetFormatPr defaultRowHeight="14.25" x14ac:dyDescent="0.45"/>
  <cols>
    <col min="2" max="2" width="64.3984375" customWidth="1"/>
    <col min="3" max="3" width="16.73046875" customWidth="1"/>
    <col min="4" max="4" width="84.3984375" customWidth="1"/>
  </cols>
  <sheetData>
    <row r="1" spans="1:4" x14ac:dyDescent="0.45">
      <c r="A1" s="27" t="s">
        <v>50</v>
      </c>
    </row>
    <row r="2" spans="1:4" x14ac:dyDescent="0.45">
      <c r="A2" s="24" t="s">
        <v>45</v>
      </c>
    </row>
    <row r="3" spans="1:4" x14ac:dyDescent="0.45">
      <c r="A3" s="27" t="s">
        <v>46</v>
      </c>
    </row>
    <row r="5" spans="1:4" x14ac:dyDescent="0.45">
      <c r="A5" s="1" t="s">
        <v>0</v>
      </c>
      <c r="B5" s="3" t="s">
        <v>102</v>
      </c>
      <c r="D5" s="3" t="s">
        <v>101</v>
      </c>
    </row>
    <row r="6" spans="1:4" ht="31.5" customHeight="1" x14ac:dyDescent="0.45">
      <c r="B6" s="32" t="s">
        <v>103</v>
      </c>
      <c r="D6" t="s">
        <v>65</v>
      </c>
    </row>
    <row r="7" spans="1:4" x14ac:dyDescent="0.45">
      <c r="B7" s="31">
        <v>2018</v>
      </c>
      <c r="D7" s="31">
        <v>2014</v>
      </c>
    </row>
    <row r="8" spans="1:4" x14ac:dyDescent="0.45">
      <c r="B8" t="s">
        <v>104</v>
      </c>
      <c r="D8" t="s">
        <v>63</v>
      </c>
    </row>
    <row r="9" spans="1:4" x14ac:dyDescent="0.45">
      <c r="B9" t="s">
        <v>105</v>
      </c>
      <c r="D9" s="2" t="s">
        <v>64</v>
      </c>
    </row>
    <row r="10" spans="1:4" x14ac:dyDescent="0.45">
      <c r="B10" t="s">
        <v>106</v>
      </c>
      <c r="D10" t="s">
        <v>66</v>
      </c>
    </row>
    <row r="12" spans="1:4" x14ac:dyDescent="0.45">
      <c r="D12" t="s">
        <v>62</v>
      </c>
    </row>
    <row r="13" spans="1:4" x14ac:dyDescent="0.45">
      <c r="D13" s="31">
        <v>2010</v>
      </c>
    </row>
    <row r="14" spans="1:4" x14ac:dyDescent="0.45">
      <c r="D14" t="s">
        <v>61</v>
      </c>
    </row>
    <row r="15" spans="1:4" x14ac:dyDescent="0.45">
      <c r="D15" s="2" t="s">
        <v>59</v>
      </c>
    </row>
    <row r="16" spans="1:4" x14ac:dyDescent="0.45">
      <c r="D16" t="s">
        <v>60</v>
      </c>
    </row>
    <row r="17" spans="1:1" x14ac:dyDescent="0.45">
      <c r="A17" s="1" t="s">
        <v>47</v>
      </c>
    </row>
    <row r="18" spans="1:1" x14ac:dyDescent="0.45">
      <c r="A18" s="30" t="s">
        <v>56</v>
      </c>
    </row>
    <row r="19" spans="1:1" x14ac:dyDescent="0.45">
      <c r="A19" s="30" t="s">
        <v>57</v>
      </c>
    </row>
    <row r="20" spans="1:1" x14ac:dyDescent="0.45">
      <c r="A20" s="30" t="s">
        <v>58</v>
      </c>
    </row>
    <row r="21" spans="1:1" x14ac:dyDescent="0.45">
      <c r="A21" s="30"/>
    </row>
    <row r="22" spans="1:1" x14ac:dyDescent="0.45">
      <c r="A22" s="1" t="s">
        <v>87</v>
      </c>
    </row>
    <row r="23" spans="1:1" x14ac:dyDescent="0.45">
      <c r="A23" s="30" t="s">
        <v>69</v>
      </c>
    </row>
    <row r="24" spans="1:1" x14ac:dyDescent="0.45">
      <c r="A24" s="30" t="s">
        <v>67</v>
      </c>
    </row>
    <row r="25" spans="1:1" x14ac:dyDescent="0.45">
      <c r="A25" s="30" t="s">
        <v>68</v>
      </c>
    </row>
    <row r="26" spans="1:1" x14ac:dyDescent="0.45">
      <c r="A26" s="30"/>
    </row>
    <row r="27" spans="1:1" x14ac:dyDescent="0.45">
      <c r="A27" s="30" t="s">
        <v>70</v>
      </c>
    </row>
    <row r="28" spans="1:1" x14ac:dyDescent="0.45">
      <c r="A28" s="30" t="s">
        <v>88</v>
      </c>
    </row>
    <row r="29" spans="1:1" x14ac:dyDescent="0.45">
      <c r="A29" s="30"/>
    </row>
    <row r="30" spans="1:1" x14ac:dyDescent="0.45">
      <c r="A30" s="30" t="s">
        <v>89</v>
      </c>
    </row>
    <row r="31" spans="1:1" x14ac:dyDescent="0.45">
      <c r="A31" s="30" t="s">
        <v>90</v>
      </c>
    </row>
    <row r="32" spans="1:1" x14ac:dyDescent="0.45">
      <c r="A32" s="30" t="s">
        <v>91</v>
      </c>
    </row>
    <row r="33" spans="1:2" x14ac:dyDescent="0.45">
      <c r="A33" s="30" t="s">
        <v>92</v>
      </c>
    </row>
    <row r="34" spans="1:2" x14ac:dyDescent="0.45">
      <c r="A34" s="30" t="s">
        <v>93</v>
      </c>
    </row>
    <row r="35" spans="1:2" x14ac:dyDescent="0.45">
      <c r="A35" s="30" t="s">
        <v>94</v>
      </c>
    </row>
    <row r="36" spans="1:2" x14ac:dyDescent="0.45">
      <c r="A36" s="30" t="s">
        <v>98</v>
      </c>
    </row>
    <row r="37" spans="1:2" x14ac:dyDescent="0.45">
      <c r="A37" s="30" t="s">
        <v>99</v>
      </c>
    </row>
    <row r="38" spans="1:2" x14ac:dyDescent="0.45">
      <c r="A38" s="30"/>
    </row>
    <row r="39" spans="1:2" x14ac:dyDescent="0.45">
      <c r="A39" s="30" t="s">
        <v>95</v>
      </c>
    </row>
    <row r="40" spans="1:2" x14ac:dyDescent="0.45">
      <c r="A40" s="30" t="s">
        <v>96</v>
      </c>
    </row>
    <row r="41" spans="1:2" x14ac:dyDescent="0.45">
      <c r="A41" s="30" t="s">
        <v>97</v>
      </c>
    </row>
    <row r="42" spans="1:2" x14ac:dyDescent="0.45">
      <c r="A42" s="30" t="s">
        <v>100</v>
      </c>
    </row>
    <row r="43" spans="1:2" x14ac:dyDescent="0.45">
      <c r="A43" s="30"/>
    </row>
    <row r="44" spans="1:2" x14ac:dyDescent="0.45">
      <c r="A44" t="s">
        <v>116</v>
      </c>
    </row>
    <row r="45" spans="1:2" x14ac:dyDescent="0.45">
      <c r="A45" t="s">
        <v>117</v>
      </c>
    </row>
    <row r="46" spans="1:2" x14ac:dyDescent="0.45">
      <c r="A46">
        <v>0.50596615326007366</v>
      </c>
    </row>
    <row r="48" spans="1:2" x14ac:dyDescent="0.45">
      <c r="B48" s="27"/>
    </row>
  </sheetData>
  <hyperlinks>
    <hyperlink ref="D9" r:id="rId1"/>
    <hyperlink ref="D15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4.25" x14ac:dyDescent="0.45"/>
  <cols>
    <col min="1" max="1" width="31.3984375" customWidth="1"/>
    <col min="2" max="2" width="10.59765625" customWidth="1"/>
    <col min="3" max="3" width="11.3984375" customWidth="1"/>
    <col min="4" max="4" width="9.1328125" customWidth="1"/>
  </cols>
  <sheetData>
    <row r="1" spans="1:10" x14ac:dyDescent="0.45">
      <c r="A1" t="s">
        <v>34</v>
      </c>
    </row>
    <row r="2" spans="1:10" ht="14.65" thickBot="1" x14ac:dyDescent="0.5"/>
    <row r="3" spans="1:10" x14ac:dyDescent="0.45">
      <c r="A3" s="6" t="s">
        <v>3</v>
      </c>
      <c r="B3" s="7" t="s">
        <v>4</v>
      </c>
      <c r="C3" s="7" t="s">
        <v>4</v>
      </c>
      <c r="D3" s="7" t="s">
        <v>5</v>
      </c>
      <c r="E3" s="7" t="s">
        <v>5</v>
      </c>
      <c r="F3" s="7" t="s">
        <v>6</v>
      </c>
      <c r="G3" s="8" t="s">
        <v>6</v>
      </c>
    </row>
    <row r="4" spans="1:10" x14ac:dyDescent="0.45">
      <c r="A4" s="9" t="s">
        <v>10</v>
      </c>
      <c r="B4" s="10">
        <v>2000</v>
      </c>
      <c r="C4" s="10">
        <v>2012</v>
      </c>
      <c r="D4" s="10">
        <v>2000</v>
      </c>
      <c r="E4" s="10">
        <v>2012</v>
      </c>
      <c r="F4" s="10">
        <v>2000</v>
      </c>
      <c r="G4" s="11">
        <v>2012</v>
      </c>
    </row>
    <row r="5" spans="1:10" x14ac:dyDescent="0.45">
      <c r="A5" s="12" t="s">
        <v>1</v>
      </c>
      <c r="B5" s="13"/>
      <c r="C5" s="13"/>
      <c r="D5" s="13"/>
      <c r="E5" s="13"/>
      <c r="F5" s="13"/>
      <c r="G5" s="14"/>
      <c r="H5" s="5"/>
      <c r="I5" s="5"/>
      <c r="J5" s="5"/>
    </row>
    <row r="6" spans="1:10" x14ac:dyDescent="0.45">
      <c r="A6" s="15" t="s">
        <v>11</v>
      </c>
      <c r="B6" s="16">
        <v>1401</v>
      </c>
      <c r="C6" s="16">
        <v>1145</v>
      </c>
      <c r="D6" s="16">
        <v>1150</v>
      </c>
      <c r="E6" s="16">
        <v>1095</v>
      </c>
      <c r="F6" s="16">
        <v>542</v>
      </c>
      <c r="G6" s="17">
        <v>525</v>
      </c>
    </row>
    <row r="7" spans="1:10" x14ac:dyDescent="0.45">
      <c r="A7" s="15" t="s">
        <v>12</v>
      </c>
      <c r="B7" s="16">
        <v>7.9</v>
      </c>
      <c r="C7" s="16">
        <v>6.1</v>
      </c>
      <c r="D7" s="16">
        <v>7.4</v>
      </c>
      <c r="E7" s="16">
        <v>6.1</v>
      </c>
      <c r="F7" s="16">
        <v>2.5</v>
      </c>
      <c r="G7" s="17">
        <v>2.4</v>
      </c>
    </row>
    <row r="8" spans="1:10" x14ac:dyDescent="0.45">
      <c r="A8" s="15" t="s">
        <v>13</v>
      </c>
      <c r="B8" s="16">
        <v>8081</v>
      </c>
      <c r="C8" s="16">
        <v>7137</v>
      </c>
      <c r="D8" s="16">
        <v>8277</v>
      </c>
      <c r="E8" s="16">
        <v>8042</v>
      </c>
      <c r="F8" s="16">
        <v>6201</v>
      </c>
      <c r="G8" s="17">
        <v>5677</v>
      </c>
    </row>
    <row r="9" spans="1:10" x14ac:dyDescent="0.45">
      <c r="A9" s="15" t="s">
        <v>9</v>
      </c>
      <c r="B9" s="16">
        <v>305</v>
      </c>
      <c r="C9" s="16">
        <v>275</v>
      </c>
      <c r="D9" s="16">
        <v>529</v>
      </c>
      <c r="E9" s="16">
        <v>476</v>
      </c>
      <c r="F9" s="16">
        <v>921</v>
      </c>
      <c r="G9" s="17">
        <v>829</v>
      </c>
    </row>
    <row r="10" spans="1:10" x14ac:dyDescent="0.45">
      <c r="A10" s="15" t="s">
        <v>14</v>
      </c>
      <c r="B10" s="16">
        <v>2.65</v>
      </c>
      <c r="C10" s="16">
        <v>2.39</v>
      </c>
      <c r="D10" s="16">
        <v>5.56</v>
      </c>
      <c r="E10" s="16">
        <v>5</v>
      </c>
      <c r="F10" s="16">
        <v>5.2</v>
      </c>
      <c r="G10" s="17">
        <v>4.68</v>
      </c>
    </row>
    <row r="11" spans="1:10" x14ac:dyDescent="0.45">
      <c r="A11" s="15" t="s">
        <v>15</v>
      </c>
      <c r="B11" s="16">
        <v>0.19400000000000001</v>
      </c>
      <c r="C11" s="16">
        <v>0.13500000000000001</v>
      </c>
      <c r="D11" s="16">
        <v>0.317</v>
      </c>
      <c r="E11" s="16">
        <v>0.19600000000000001</v>
      </c>
      <c r="F11" s="16">
        <v>0.35399999999999998</v>
      </c>
      <c r="G11" s="17">
        <v>0.29699999999999999</v>
      </c>
    </row>
    <row r="12" spans="1:10" x14ac:dyDescent="0.45">
      <c r="A12" s="12" t="s">
        <v>16</v>
      </c>
      <c r="B12" s="18"/>
      <c r="C12" s="18"/>
      <c r="D12" s="18"/>
      <c r="E12" s="18"/>
      <c r="F12" s="18"/>
      <c r="G12" s="19"/>
    </row>
    <row r="13" spans="1:10" x14ac:dyDescent="0.45">
      <c r="A13" s="15" t="s">
        <v>17</v>
      </c>
      <c r="B13" s="16">
        <v>6570</v>
      </c>
      <c r="C13" s="16">
        <v>6570</v>
      </c>
      <c r="D13" s="16">
        <v>6570</v>
      </c>
      <c r="E13" s="16">
        <v>6570</v>
      </c>
      <c r="F13" s="16">
        <v>6570</v>
      </c>
      <c r="G13" s="17">
        <v>6570</v>
      </c>
    </row>
    <row r="14" spans="1:10" x14ac:dyDescent="0.45">
      <c r="A14" s="15" t="s">
        <v>18</v>
      </c>
      <c r="B14" s="16">
        <v>15</v>
      </c>
      <c r="C14" s="16">
        <v>15</v>
      </c>
      <c r="D14" s="16">
        <v>15</v>
      </c>
      <c r="E14" s="16">
        <v>15</v>
      </c>
      <c r="F14" s="16">
        <v>15</v>
      </c>
      <c r="G14" s="17">
        <v>15</v>
      </c>
    </row>
    <row r="15" spans="1:10" x14ac:dyDescent="0.45">
      <c r="A15" s="15" t="s">
        <v>19</v>
      </c>
      <c r="B15" s="16">
        <v>1.24</v>
      </c>
      <c r="C15" s="16">
        <v>1.24</v>
      </c>
      <c r="D15" s="16">
        <v>1.24</v>
      </c>
      <c r="E15" s="16">
        <v>1.24</v>
      </c>
      <c r="F15" s="16">
        <v>2.93</v>
      </c>
      <c r="G15" s="17">
        <v>2.93</v>
      </c>
    </row>
    <row r="16" spans="1:10" x14ac:dyDescent="0.45">
      <c r="A16" s="15" t="s">
        <v>20</v>
      </c>
      <c r="B16" s="16">
        <v>90</v>
      </c>
      <c r="C16" s="16">
        <v>90</v>
      </c>
      <c r="D16" s="16">
        <v>90</v>
      </c>
      <c r="E16" s="16">
        <v>90</v>
      </c>
      <c r="F16" s="16">
        <v>90</v>
      </c>
      <c r="G16" s="17">
        <v>90</v>
      </c>
    </row>
    <row r="17" spans="1:7" x14ac:dyDescent="0.45">
      <c r="A17" s="12" t="s">
        <v>21</v>
      </c>
      <c r="B17" s="18"/>
      <c r="C17" s="18"/>
      <c r="D17" s="18"/>
      <c r="E17" s="18"/>
      <c r="F17" s="18"/>
      <c r="G17" s="19"/>
    </row>
    <row r="18" spans="1:7" x14ac:dyDescent="0.45">
      <c r="A18" s="15" t="s">
        <v>22</v>
      </c>
      <c r="B18" s="16">
        <v>0.752</v>
      </c>
      <c r="C18" s="16">
        <v>0.66400000000000003</v>
      </c>
      <c r="D18" s="16">
        <v>0.78900000000000003</v>
      </c>
      <c r="E18" s="16">
        <v>0.76600000000000001</v>
      </c>
      <c r="F18" s="16">
        <v>0.36799999999999999</v>
      </c>
      <c r="G18" s="17">
        <v>0.33700000000000002</v>
      </c>
    </row>
    <row r="19" spans="1:7" x14ac:dyDescent="0.45">
      <c r="A19" s="15" t="s">
        <v>23</v>
      </c>
      <c r="B19" s="16">
        <v>32</v>
      </c>
      <c r="C19" s="16">
        <v>26.1</v>
      </c>
      <c r="D19" s="16">
        <v>26.3</v>
      </c>
      <c r="E19" s="16">
        <v>25</v>
      </c>
      <c r="F19" s="16">
        <v>12.4</v>
      </c>
      <c r="G19" s="17">
        <v>12</v>
      </c>
    </row>
    <row r="20" spans="1:7" x14ac:dyDescent="0.45">
      <c r="A20" s="15" t="s">
        <v>24</v>
      </c>
      <c r="B20" s="16">
        <v>10</v>
      </c>
      <c r="C20" s="16">
        <v>8.8000000000000007</v>
      </c>
      <c r="D20" s="16">
        <v>10.3</v>
      </c>
      <c r="E20" s="16">
        <v>10</v>
      </c>
      <c r="F20" s="16">
        <v>18.2</v>
      </c>
      <c r="G20" s="17">
        <v>16.600000000000001</v>
      </c>
    </row>
    <row r="21" spans="1:7" x14ac:dyDescent="0.45">
      <c r="A21" s="15" t="s">
        <v>25</v>
      </c>
      <c r="B21" s="16">
        <v>7.9</v>
      </c>
      <c r="C21" s="16">
        <v>6.1</v>
      </c>
      <c r="D21" s="16">
        <v>7.4</v>
      </c>
      <c r="E21" s="16">
        <v>6.1</v>
      </c>
      <c r="F21" s="16">
        <v>2.5</v>
      </c>
      <c r="G21" s="17">
        <v>2.4</v>
      </c>
    </row>
    <row r="22" spans="1:7" x14ac:dyDescent="0.45">
      <c r="A22" s="15" t="s">
        <v>26</v>
      </c>
      <c r="B22" s="16">
        <v>4.99</v>
      </c>
      <c r="C22" s="16">
        <v>4.0999999999999996</v>
      </c>
      <c r="D22" s="16">
        <v>4.3899999999999997</v>
      </c>
      <c r="E22" s="16">
        <v>4.0999999999999996</v>
      </c>
      <c r="F22" s="16">
        <v>3.3</v>
      </c>
      <c r="G22" s="17">
        <v>3.1</v>
      </c>
    </row>
    <row r="23" spans="1:7" x14ac:dyDescent="0.45">
      <c r="A23" s="15" t="s">
        <v>27</v>
      </c>
      <c r="B23" s="16">
        <v>42.2</v>
      </c>
      <c r="C23" s="16">
        <v>47.8</v>
      </c>
      <c r="D23" s="16">
        <v>41.2</v>
      </c>
      <c r="E23" s="16">
        <v>42.4</v>
      </c>
      <c r="F23" s="16">
        <v>55</v>
      </c>
      <c r="G23" s="17">
        <v>60.1</v>
      </c>
    </row>
    <row r="24" spans="1:7" x14ac:dyDescent="0.45">
      <c r="A24" s="12" t="s">
        <v>28</v>
      </c>
      <c r="B24" s="18"/>
      <c r="C24" s="18"/>
      <c r="D24" s="18"/>
      <c r="E24" s="18"/>
      <c r="F24" s="18"/>
      <c r="G24" s="19"/>
    </row>
    <row r="25" spans="1:7" x14ac:dyDescent="0.45">
      <c r="A25" s="15" t="s">
        <v>29</v>
      </c>
      <c r="B25" s="16">
        <v>85.4</v>
      </c>
      <c r="C25" s="16">
        <v>91</v>
      </c>
      <c r="D25" s="16">
        <v>75</v>
      </c>
      <c r="E25" s="16">
        <v>85</v>
      </c>
      <c r="F25" s="16">
        <v>87</v>
      </c>
      <c r="G25" s="17">
        <v>90</v>
      </c>
    </row>
    <row r="26" spans="1:7" x14ac:dyDescent="0.45">
      <c r="A26" s="15" t="s">
        <v>13</v>
      </c>
      <c r="B26" s="16">
        <v>9462</v>
      </c>
      <c r="C26" s="16">
        <v>7843</v>
      </c>
      <c r="D26" s="16">
        <v>11037</v>
      </c>
      <c r="E26" s="16">
        <v>9461</v>
      </c>
      <c r="F26" s="16">
        <v>7131</v>
      </c>
      <c r="G26" s="17">
        <v>6308</v>
      </c>
    </row>
    <row r="27" spans="1:7" x14ac:dyDescent="0.45">
      <c r="A27" s="15" t="s">
        <v>11</v>
      </c>
      <c r="B27" s="16">
        <v>1909</v>
      </c>
      <c r="C27" s="16">
        <v>1459</v>
      </c>
      <c r="D27" s="16">
        <v>2090</v>
      </c>
      <c r="E27" s="16">
        <v>1718</v>
      </c>
      <c r="F27" s="16">
        <v>1013</v>
      </c>
      <c r="G27" s="17">
        <v>894</v>
      </c>
    </row>
    <row r="28" spans="1:7" x14ac:dyDescent="0.45">
      <c r="A28" s="15" t="s">
        <v>22</v>
      </c>
      <c r="B28" s="16">
        <v>8.7999999999999995E-2</v>
      </c>
      <c r="C28" s="16">
        <v>7.2999999999999995E-2</v>
      </c>
      <c r="D28" s="16">
        <v>0.105</v>
      </c>
      <c r="E28" s="16">
        <v>0.09</v>
      </c>
      <c r="F28" s="16">
        <v>4.2000000000000003E-2</v>
      </c>
      <c r="G28" s="17">
        <v>3.6999999999999998E-2</v>
      </c>
    </row>
    <row r="29" spans="1:7" x14ac:dyDescent="0.45">
      <c r="A29" s="15" t="s">
        <v>23</v>
      </c>
      <c r="B29" s="16">
        <v>43.6</v>
      </c>
      <c r="C29" s="16">
        <v>33.299999999999997</v>
      </c>
      <c r="D29" s="16">
        <v>47.7</v>
      </c>
      <c r="E29" s="16">
        <v>39.200000000000003</v>
      </c>
      <c r="F29" s="16">
        <v>23.1</v>
      </c>
      <c r="G29" s="17">
        <v>20.399999999999999</v>
      </c>
    </row>
    <row r="30" spans="1:7" x14ac:dyDescent="0.45">
      <c r="A30" s="15" t="s">
        <v>24</v>
      </c>
      <c r="B30" s="16">
        <v>11.7</v>
      </c>
      <c r="C30" s="16">
        <v>9.6999999999999993</v>
      </c>
      <c r="D30" s="16">
        <v>13.7</v>
      </c>
      <c r="E30" s="16">
        <v>11.7</v>
      </c>
      <c r="F30" s="16">
        <v>20.9</v>
      </c>
      <c r="G30" s="17">
        <v>18.5</v>
      </c>
    </row>
    <row r="31" spans="1:7" x14ac:dyDescent="0.45">
      <c r="A31" s="15" t="s">
        <v>25</v>
      </c>
      <c r="B31" s="16">
        <v>11.6</v>
      </c>
      <c r="C31" s="16">
        <v>8.4</v>
      </c>
      <c r="D31" s="16">
        <v>15.7</v>
      </c>
      <c r="E31" s="16">
        <v>11.6</v>
      </c>
      <c r="F31" s="16">
        <v>5.0999999999999996</v>
      </c>
      <c r="G31" s="17">
        <v>4.4000000000000004</v>
      </c>
    </row>
    <row r="32" spans="1:7" x14ac:dyDescent="0.45">
      <c r="A32" s="15" t="s">
        <v>26</v>
      </c>
      <c r="B32" s="16">
        <v>6.69</v>
      </c>
      <c r="C32" s="16">
        <v>5.14</v>
      </c>
      <c r="D32" s="16">
        <v>7.71</v>
      </c>
      <c r="E32" s="16">
        <v>6.26</v>
      </c>
      <c r="F32" s="16">
        <v>4.91</v>
      </c>
      <c r="G32" s="17">
        <v>4.33</v>
      </c>
    </row>
    <row r="33" spans="1:7" x14ac:dyDescent="0.45">
      <c r="A33" s="15" t="s">
        <v>27</v>
      </c>
      <c r="B33" s="16">
        <v>36.1</v>
      </c>
      <c r="C33" s="16">
        <v>43.5</v>
      </c>
      <c r="D33" s="16">
        <v>30.9</v>
      </c>
      <c r="E33" s="16">
        <v>36.1</v>
      </c>
      <c r="F33" s="16">
        <v>47.8</v>
      </c>
      <c r="G33" s="17">
        <v>54.1</v>
      </c>
    </row>
    <row r="34" spans="1:7" x14ac:dyDescent="0.45">
      <c r="A34" s="12" t="s">
        <v>30</v>
      </c>
      <c r="B34" s="18"/>
      <c r="C34" s="18"/>
      <c r="D34" s="18"/>
      <c r="E34" s="18"/>
      <c r="F34" s="18"/>
      <c r="G34" s="19"/>
    </row>
    <row r="35" spans="1:7" x14ac:dyDescent="0.45">
      <c r="A35" s="15" t="s">
        <v>31</v>
      </c>
      <c r="B35" s="16">
        <v>1.7</v>
      </c>
      <c r="C35" s="16">
        <v>1.04</v>
      </c>
      <c r="D35" s="16">
        <v>3.32</v>
      </c>
      <c r="E35" s="16">
        <v>2.16</v>
      </c>
      <c r="F35" s="16">
        <v>1.61</v>
      </c>
      <c r="G35" s="17">
        <v>1.23</v>
      </c>
    </row>
    <row r="36" spans="1:7" x14ac:dyDescent="0.45">
      <c r="A36" s="15" t="s">
        <v>32</v>
      </c>
      <c r="B36" s="16">
        <v>14.6</v>
      </c>
      <c r="C36" s="16">
        <v>9</v>
      </c>
      <c r="D36" s="16">
        <v>25</v>
      </c>
      <c r="E36" s="16">
        <v>15</v>
      </c>
      <c r="F36" s="16">
        <v>13</v>
      </c>
      <c r="G36" s="17">
        <v>10</v>
      </c>
    </row>
    <row r="37" spans="1:7" ht="28.9" thickBot="1" x14ac:dyDescent="0.5">
      <c r="A37" s="20" t="s">
        <v>33</v>
      </c>
      <c r="B37" s="21">
        <v>26</v>
      </c>
      <c r="C37" s="21">
        <v>18</v>
      </c>
      <c r="D37" s="21">
        <v>49</v>
      </c>
      <c r="E37" s="21">
        <v>32</v>
      </c>
      <c r="F37" s="21">
        <v>49</v>
      </c>
      <c r="G37" s="22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17" sqref="A17:C22"/>
    </sheetView>
  </sheetViews>
  <sheetFormatPr defaultRowHeight="14.25" x14ac:dyDescent="0.45"/>
  <cols>
    <col min="1" max="1" width="17.59765625" customWidth="1"/>
    <col min="2" max="2" width="20.265625" customWidth="1"/>
    <col min="3" max="3" width="19.3984375" customWidth="1"/>
  </cols>
  <sheetData>
    <row r="1" spans="1:3" x14ac:dyDescent="0.45">
      <c r="A1" s="25" t="s">
        <v>52</v>
      </c>
      <c r="B1" s="4"/>
      <c r="C1" s="4"/>
    </row>
    <row r="2" spans="1:3" x14ac:dyDescent="0.45">
      <c r="A2" s="1"/>
      <c r="B2" s="1" t="s">
        <v>36</v>
      </c>
      <c r="C2" s="1" t="s">
        <v>35</v>
      </c>
    </row>
    <row r="3" spans="1:3" x14ac:dyDescent="0.45">
      <c r="A3" s="1" t="s">
        <v>2</v>
      </c>
      <c r="B3">
        <f>'Table 2'!C9</f>
        <v>275</v>
      </c>
      <c r="C3">
        <f>'Table 2'!G9</f>
        <v>829</v>
      </c>
    </row>
    <row r="4" spans="1:3" x14ac:dyDescent="0.45">
      <c r="A4" s="1" t="s">
        <v>37</v>
      </c>
      <c r="B4">
        <f>'Table 2'!C13</f>
        <v>6570</v>
      </c>
      <c r="C4">
        <f>'Table 2'!G13</f>
        <v>6570</v>
      </c>
    </row>
    <row r="5" spans="1:3" x14ac:dyDescent="0.45">
      <c r="A5" s="1" t="s">
        <v>38</v>
      </c>
      <c r="B5">
        <v>1000</v>
      </c>
      <c r="C5">
        <v>1000</v>
      </c>
    </row>
    <row r="6" spans="1:3" x14ac:dyDescent="0.45">
      <c r="A6" s="1" t="s">
        <v>39</v>
      </c>
      <c r="B6" s="23">
        <f>B3/B4*B5</f>
        <v>41.856925418569254</v>
      </c>
      <c r="C6" s="23">
        <f>C3/C4*C5</f>
        <v>126.17960426179603</v>
      </c>
    </row>
    <row r="7" spans="1:3" x14ac:dyDescent="0.45">
      <c r="A7" s="1"/>
      <c r="B7" s="23"/>
      <c r="C7" s="23"/>
    </row>
    <row r="9" spans="1:3" x14ac:dyDescent="0.45">
      <c r="A9" s="25" t="s">
        <v>40</v>
      </c>
      <c r="B9" s="4"/>
      <c r="C9" s="4"/>
    </row>
    <row r="10" spans="1:3" x14ac:dyDescent="0.45">
      <c r="A10" s="1"/>
      <c r="B10" s="1" t="s">
        <v>36</v>
      </c>
      <c r="C10" s="1" t="s">
        <v>35</v>
      </c>
    </row>
    <row r="11" spans="1:3" x14ac:dyDescent="0.45">
      <c r="A11" s="1" t="s">
        <v>7</v>
      </c>
      <c r="B11">
        <f>'Table 2'!C10</f>
        <v>2.39</v>
      </c>
      <c r="C11">
        <f>'Table 2'!G10</f>
        <v>4.68</v>
      </c>
    </row>
    <row r="12" spans="1:3" x14ac:dyDescent="0.45">
      <c r="A12" s="1" t="s">
        <v>41</v>
      </c>
      <c r="B12">
        <v>1E-3</v>
      </c>
      <c r="C12">
        <v>1E-3</v>
      </c>
    </row>
    <row r="13" spans="1:3" x14ac:dyDescent="0.45">
      <c r="A13" s="1" t="s">
        <v>38</v>
      </c>
      <c r="B13">
        <v>1000</v>
      </c>
      <c r="C13">
        <v>1000</v>
      </c>
    </row>
    <row r="14" spans="1:3" x14ac:dyDescent="0.45">
      <c r="A14" s="1" t="s">
        <v>54</v>
      </c>
      <c r="B14" s="26">
        <f>B11*B12*B13</f>
        <v>2.39</v>
      </c>
      <c r="C14" s="26">
        <f>C11*C12*C13</f>
        <v>4.68</v>
      </c>
    </row>
    <row r="17" spans="1:3" x14ac:dyDescent="0.45">
      <c r="A17" s="3" t="s">
        <v>42</v>
      </c>
      <c r="B17" s="4"/>
      <c r="C17" s="4"/>
    </row>
    <row r="18" spans="1:3" x14ac:dyDescent="0.45">
      <c r="B18" s="1" t="s">
        <v>36</v>
      </c>
      <c r="C18" s="1" t="s">
        <v>35</v>
      </c>
    </row>
    <row r="19" spans="1:3" x14ac:dyDescent="0.45">
      <c r="A19" s="1" t="s">
        <v>8</v>
      </c>
      <c r="B19">
        <f>'Table 2'!C11</f>
        <v>0.13500000000000001</v>
      </c>
      <c r="C19">
        <f>'Table 2'!G11</f>
        <v>0.29699999999999999</v>
      </c>
    </row>
    <row r="20" spans="1:3" x14ac:dyDescent="0.45">
      <c r="A20" s="1" t="s">
        <v>38</v>
      </c>
      <c r="B20">
        <v>1000</v>
      </c>
      <c r="C20">
        <v>1000</v>
      </c>
    </row>
    <row r="21" spans="1:3" x14ac:dyDescent="0.45">
      <c r="A21" s="1" t="s">
        <v>43</v>
      </c>
      <c r="B21">
        <v>3412</v>
      </c>
      <c r="C21">
        <v>3412</v>
      </c>
    </row>
    <row r="22" spans="1:3" x14ac:dyDescent="0.45">
      <c r="A22" s="1" t="s">
        <v>44</v>
      </c>
      <c r="B22">
        <f>B19*B20*B21</f>
        <v>460620</v>
      </c>
      <c r="C22">
        <f>C19*C20*C21</f>
        <v>1013364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8" sqref="E8"/>
    </sheetView>
  </sheetViews>
  <sheetFormatPr defaultRowHeight="14.25" x14ac:dyDescent="0.45"/>
  <cols>
    <col min="1" max="1" width="18" bestFit="1" customWidth="1"/>
    <col min="2" max="2" width="36.3984375" customWidth="1"/>
  </cols>
  <sheetData>
    <row r="1" spans="1:2" x14ac:dyDescent="0.45">
      <c r="A1" s="41" t="s">
        <v>107</v>
      </c>
      <c r="B1" s="42" t="s">
        <v>108</v>
      </c>
    </row>
    <row r="2" spans="1:2" x14ac:dyDescent="0.45">
      <c r="A2" s="40">
        <v>2016</v>
      </c>
      <c r="B2" s="40">
        <v>67.95</v>
      </c>
    </row>
    <row r="4" spans="1:2" x14ac:dyDescent="0.45">
      <c r="A4" t="s">
        <v>111</v>
      </c>
      <c r="B4" s="42" t="s">
        <v>112</v>
      </c>
    </row>
    <row r="5" spans="1:2" x14ac:dyDescent="0.45">
      <c r="A5" t="s">
        <v>109</v>
      </c>
      <c r="B5" s="1" t="s">
        <v>110</v>
      </c>
    </row>
    <row r="6" spans="1:2" x14ac:dyDescent="0.45">
      <c r="A6">
        <v>2016</v>
      </c>
      <c r="B6" s="33">
        <v>0.95661376543184151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8" sqref="H8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3" sqref="B3"/>
    </sheetView>
  </sheetViews>
  <sheetFormatPr defaultRowHeight="14.25" x14ac:dyDescent="0.45"/>
  <cols>
    <col min="1" max="1" width="36.3984375" customWidth="1"/>
    <col min="2" max="2" width="20.265625" customWidth="1"/>
    <col min="3" max="3" width="22" customWidth="1"/>
    <col min="4" max="4" width="16.73046875" customWidth="1"/>
    <col min="6" max="6" width="24.3984375" customWidth="1"/>
    <col min="7" max="7" width="11.265625" customWidth="1"/>
    <col min="8" max="8" width="11" customWidth="1"/>
  </cols>
  <sheetData>
    <row r="1" spans="1:8" x14ac:dyDescent="0.45">
      <c r="A1" s="3" t="s">
        <v>76</v>
      </c>
      <c r="B1" s="3"/>
      <c r="C1" s="3"/>
      <c r="D1" s="3"/>
    </row>
    <row r="2" spans="1:8" x14ac:dyDescent="0.45">
      <c r="B2" s="46" t="s">
        <v>73</v>
      </c>
      <c r="C2" s="47"/>
    </row>
    <row r="3" spans="1:8" ht="28.5" x14ac:dyDescent="0.45">
      <c r="B3" s="35" t="s">
        <v>71</v>
      </c>
      <c r="C3" s="35" t="s">
        <v>72</v>
      </c>
      <c r="F3" s="39" t="s">
        <v>85</v>
      </c>
      <c r="G3" s="36">
        <f>AVERAGE(1.06, 1.16)</f>
        <v>1.1099999999999999</v>
      </c>
      <c r="H3" s="38" t="s">
        <v>115</v>
      </c>
    </row>
    <row r="4" spans="1:8" x14ac:dyDescent="0.45">
      <c r="A4" s="36" t="s">
        <v>77</v>
      </c>
      <c r="B4" s="36">
        <f>19*10^7</f>
        <v>190000000</v>
      </c>
      <c r="C4" s="36">
        <f>23*10^7</f>
        <v>230000000</v>
      </c>
    </row>
    <row r="5" spans="1:8" x14ac:dyDescent="0.45">
      <c r="A5" s="36" t="s">
        <v>78</v>
      </c>
      <c r="B5" s="36">
        <f>246*10^5</f>
        <v>24600000</v>
      </c>
      <c r="C5" s="36">
        <f>221*10^5</f>
        <v>22100000</v>
      </c>
      <c r="F5" s="3" t="s">
        <v>42</v>
      </c>
      <c r="G5" s="4"/>
    </row>
    <row r="6" spans="1:8" x14ac:dyDescent="0.45">
      <c r="A6" s="36" t="s">
        <v>74</v>
      </c>
      <c r="B6" s="36">
        <v>3736.04</v>
      </c>
      <c r="C6" s="36">
        <v>3966.02</v>
      </c>
      <c r="D6" s="38" t="s">
        <v>84</v>
      </c>
      <c r="G6" s="43" t="s">
        <v>86</v>
      </c>
    </row>
    <row r="7" spans="1:8" x14ac:dyDescent="0.45">
      <c r="F7" s="1" t="s">
        <v>8</v>
      </c>
      <c r="G7">
        <f>1/G3</f>
        <v>0.90090090090090102</v>
      </c>
    </row>
    <row r="8" spans="1:8" x14ac:dyDescent="0.45">
      <c r="A8" s="1" t="s">
        <v>75</v>
      </c>
      <c r="F8" s="1" t="s">
        <v>38</v>
      </c>
      <c r="G8">
        <v>1000</v>
      </c>
      <c r="H8" s="5"/>
    </row>
    <row r="9" spans="1:8" x14ac:dyDescent="0.45">
      <c r="A9" s="36" t="s">
        <v>77</v>
      </c>
      <c r="B9" s="36">
        <f>AVERAGE(B4:C4)</f>
        <v>210000000</v>
      </c>
      <c r="F9" s="1" t="s">
        <v>43</v>
      </c>
      <c r="G9">
        <v>3412</v>
      </c>
      <c r="H9" s="1"/>
    </row>
    <row r="10" spans="1:8" x14ac:dyDescent="0.45">
      <c r="A10" s="36" t="s">
        <v>79</v>
      </c>
      <c r="B10" s="36">
        <f>AVERAGE(B5:C5)</f>
        <v>23350000</v>
      </c>
      <c r="F10" s="1" t="s">
        <v>44</v>
      </c>
      <c r="G10" s="45">
        <f>G7*G8*G9</f>
        <v>3073873.8738738741</v>
      </c>
    </row>
    <row r="11" spans="1:8" x14ac:dyDescent="0.45">
      <c r="A11" s="36" t="s">
        <v>74</v>
      </c>
      <c r="B11" s="36">
        <f t="shared" ref="B11" si="0">AVERAGE(B6:C6)</f>
        <v>3851.0299999999997</v>
      </c>
    </row>
    <row r="13" spans="1:8" x14ac:dyDescent="0.45">
      <c r="A13" s="36" t="s">
        <v>80</v>
      </c>
      <c r="B13" s="37">
        <f>B10/B9</f>
        <v>0.11119047619047619</v>
      </c>
    </row>
    <row r="14" spans="1:8" x14ac:dyDescent="0.45">
      <c r="A14" s="36" t="s">
        <v>81</v>
      </c>
      <c r="B14" s="37">
        <f>B13*B11</f>
        <v>428.19785952380948</v>
      </c>
      <c r="C14" t="s">
        <v>83</v>
      </c>
    </row>
    <row r="15" spans="1:8" x14ac:dyDescent="0.45">
      <c r="A15" s="36" t="s">
        <v>82</v>
      </c>
      <c r="B15" s="37">
        <f>B11-B14</f>
        <v>3422.83214047619</v>
      </c>
    </row>
    <row r="17" spans="1:3" x14ac:dyDescent="0.45">
      <c r="B17" s="28">
        <f>B14/'Conversion Factors'!B2</f>
        <v>6.3016609201443634</v>
      </c>
      <c r="C17" t="s">
        <v>113</v>
      </c>
    </row>
    <row r="18" spans="1:3" x14ac:dyDescent="0.45">
      <c r="A18" s="36" t="s">
        <v>81</v>
      </c>
      <c r="B18" s="44">
        <f>B17*'Conversion Factors'!B6</f>
        <v>6.0282555812939824</v>
      </c>
      <c r="C18" t="s">
        <v>114</v>
      </c>
    </row>
    <row r="20" spans="1:3" x14ac:dyDescent="0.45">
      <c r="B20" s="28">
        <f>B15/'Conversion Factors'!B2</f>
        <v>50.37280559935526</v>
      </c>
      <c r="C20" t="s">
        <v>113</v>
      </c>
    </row>
    <row r="21" spans="1:3" x14ac:dyDescent="0.45">
      <c r="A21" s="36" t="s">
        <v>82</v>
      </c>
      <c r="B21" s="44">
        <f>B20*'Conversion Factors'!B6</f>
        <v>48.187319239765387</v>
      </c>
      <c r="C21" t="s">
        <v>114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>
      <selection activeCell="B3" sqref="B3"/>
    </sheetView>
  </sheetViews>
  <sheetFormatPr defaultRowHeight="14.25" x14ac:dyDescent="0.45"/>
  <cols>
    <col min="1" max="1" width="56.1328125" bestFit="1" customWidth="1"/>
    <col min="2" max="2" width="24.59765625" customWidth="1"/>
  </cols>
  <sheetData>
    <row r="1" spans="1:2" x14ac:dyDescent="0.45">
      <c r="A1" s="27" t="s">
        <v>50</v>
      </c>
      <c r="B1" s="29" t="s">
        <v>51</v>
      </c>
    </row>
    <row r="2" spans="1:2" x14ac:dyDescent="0.45">
      <c r="A2" t="s">
        <v>48</v>
      </c>
      <c r="B2" s="28">
        <f>Calcs!B21*About!$A$46</f>
        <v>24.38115255165923</v>
      </c>
    </row>
    <row r="3" spans="1:2" x14ac:dyDescent="0.45">
      <c r="A3" t="s">
        <v>49</v>
      </c>
      <c r="B3" s="28">
        <f>B2</f>
        <v>24.38115255165923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>
      <selection activeCell="B3" sqref="B3"/>
    </sheetView>
  </sheetViews>
  <sheetFormatPr defaultRowHeight="14.25" x14ac:dyDescent="0.45"/>
  <cols>
    <col min="1" max="1" width="43.1328125" bestFit="1" customWidth="1"/>
    <col min="2" max="2" width="25.86328125" customWidth="1"/>
  </cols>
  <sheetData>
    <row r="1" spans="1:2" x14ac:dyDescent="0.45">
      <c r="A1" s="24" t="s">
        <v>45</v>
      </c>
      <c r="B1" s="29" t="s">
        <v>53</v>
      </c>
    </row>
    <row r="2" spans="1:2" x14ac:dyDescent="0.45">
      <c r="A2" t="s">
        <v>48</v>
      </c>
      <c r="B2" s="28">
        <f>Calcs!B18*About!$A$46</f>
        <v>3.0500932873358857</v>
      </c>
    </row>
    <row r="3" spans="1:2" x14ac:dyDescent="0.45">
      <c r="A3" t="s">
        <v>49</v>
      </c>
      <c r="B3" s="28">
        <f>B2</f>
        <v>3.0500932873358857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>
      <selection activeCell="B4" sqref="B4"/>
    </sheetView>
  </sheetViews>
  <sheetFormatPr defaultRowHeight="14.25" x14ac:dyDescent="0.45"/>
  <cols>
    <col min="1" max="1" width="37.265625" bestFit="1" customWidth="1"/>
    <col min="2" max="2" width="42.59765625" customWidth="1"/>
  </cols>
  <sheetData>
    <row r="1" spans="1:2" x14ac:dyDescent="0.45">
      <c r="A1" s="27" t="s">
        <v>46</v>
      </c>
      <c r="B1" s="29" t="s">
        <v>55</v>
      </c>
    </row>
    <row r="2" spans="1:2" x14ac:dyDescent="0.45">
      <c r="A2" t="s">
        <v>48</v>
      </c>
      <c r="B2" s="34">
        <f>Calcs!G10</f>
        <v>3073873.8738738741</v>
      </c>
    </row>
    <row r="3" spans="1:2" x14ac:dyDescent="0.45">
      <c r="A3" t="s">
        <v>49</v>
      </c>
      <c r="B3" s="34">
        <f>B2</f>
        <v>3073873.8738738741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Table 2</vt:lpstr>
      <vt:lpstr>Calculations</vt:lpstr>
      <vt:lpstr>Conversion Factors</vt:lpstr>
      <vt:lpstr>India Estimates</vt:lpstr>
      <vt:lpstr>Calcs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2014-08-18T23:28:12Z</dcterms:created>
  <dcterms:modified xsi:type="dcterms:W3CDTF">2020-11-25T19:06:32Z</dcterms:modified>
</cp:coreProperties>
</file>