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elec\CCaMC\"/>
    </mc:Choice>
  </mc:AlternateContent>
  <xr:revisionPtr revIDLastSave="0" documentId="13_ncr:1_{61609530-A8C9-4226-A757-8D630A136B26}" xr6:coauthVersionLast="45" xr6:coauthVersionMax="45" xr10:uidLastSave="{00000000-0000-0000-0000-000000000000}"/>
  <bookViews>
    <workbookView xWindow="10245" yWindow="690" windowWidth="18345" windowHeight="11460" firstSheet="13" activeTab="16" xr2:uid="{5CDF7D20-1013-45C3-B129-3BE176BA983B}"/>
  </bookViews>
  <sheets>
    <sheet name="About" sheetId="2" r:id="rId1"/>
    <sheet name="Conversion Factors" sheetId="17" r:id="rId2"/>
    <sheet name="IESS" sheetId="18" r:id="rId3"/>
    <sheet name="Geothermal" sheetId="19" r:id="rId4"/>
    <sheet name="Lazard" sheetId="21" r:id="rId5"/>
    <sheet name="Combined Capital Costs" sheetId="20" r:id="rId6"/>
    <sheet name="Solar Thermal Base Cost" sheetId="16" r:id="rId7"/>
    <sheet name="Coal Cost Multipliers" sheetId="12" r:id="rId8"/>
    <sheet name="CEA NEP" sheetId="22" r:id="rId9"/>
    <sheet name="IESS Annual Cap Costs" sheetId="23" r:id="rId10"/>
    <sheet name="Waste to Energy" sheetId="24" r:id="rId11"/>
    <sheet name="Start Year Soft Cost Data" sheetId="28" r:id="rId12"/>
    <sheet name="CCaMC-BCCpUC_old" sheetId="6" r:id="rId13"/>
    <sheet name="CCaMC-AFOaMCpUC" sheetId="7" r:id="rId14"/>
    <sheet name="CCaMC-VOaMCpUC" sheetId="8" r:id="rId15"/>
    <sheet name="CCaMC-BCCpUC" sheetId="25" r:id="rId16"/>
    <sheet name="CCaMC-BSCpUC" sheetId="26" r:id="rId17"/>
  </sheets>
  <externalReferences>
    <externalReference r:id="rId1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4" i="26" l="1"/>
  <c r="AA14" i="26"/>
  <c r="AB14" i="26"/>
  <c r="AC14" i="26"/>
  <c r="AD14" i="26"/>
  <c r="AE14" i="26"/>
  <c r="AF14" i="26"/>
  <c r="AG14" i="26"/>
  <c r="AH14" i="26"/>
  <c r="Y14" i="26"/>
  <c r="U14" i="26"/>
  <c r="V14" i="26"/>
  <c r="W14" i="26"/>
  <c r="X14" i="26"/>
  <c r="T14" i="26"/>
  <c r="P14" i="26"/>
  <c r="Q14" i="26"/>
  <c r="R14" i="26"/>
  <c r="S14" i="26"/>
  <c r="O14" i="26"/>
  <c r="K14" i="26"/>
  <c r="L14" i="26"/>
  <c r="M14" i="26"/>
  <c r="N14" i="26"/>
  <c r="J14" i="26"/>
  <c r="P7" i="26"/>
  <c r="Q7" i="26"/>
  <c r="R7" i="26"/>
  <c r="S7" i="26"/>
  <c r="T7" i="26"/>
  <c r="U7" i="26"/>
  <c r="V7" i="26"/>
  <c r="W7" i="26"/>
  <c r="X7" i="26"/>
  <c r="Y7" i="26"/>
  <c r="Z7" i="26"/>
  <c r="AA7" i="26"/>
  <c r="AB7" i="26"/>
  <c r="AC7" i="26"/>
  <c r="AD7" i="26"/>
  <c r="AE7" i="26"/>
  <c r="AF7" i="26"/>
  <c r="AG7" i="26"/>
  <c r="AH7" i="26"/>
  <c r="O7" i="26"/>
  <c r="K7" i="26"/>
  <c r="L7" i="26"/>
  <c r="M7" i="26"/>
  <c r="N7" i="26"/>
  <c r="J7" i="26"/>
  <c r="H7" i="26"/>
  <c r="I7" i="26"/>
  <c r="G7" i="26"/>
  <c r="P6" i="26"/>
  <c r="Q6" i="26"/>
  <c r="R6" i="26"/>
  <c r="S6" i="26"/>
  <c r="T6" i="26"/>
  <c r="U6" i="26"/>
  <c r="V6" i="26"/>
  <c r="W6" i="26"/>
  <c r="X6" i="26"/>
  <c r="Y6" i="26"/>
  <c r="Z6" i="26"/>
  <c r="AA6" i="26"/>
  <c r="AB6" i="26"/>
  <c r="AC6" i="26"/>
  <c r="AD6" i="26"/>
  <c r="AE6" i="26"/>
  <c r="AF6" i="26"/>
  <c r="AG6" i="26"/>
  <c r="AH6" i="26"/>
  <c r="O6" i="26"/>
  <c r="N6" i="26"/>
  <c r="K6" i="26"/>
  <c r="L6" i="26"/>
  <c r="M6" i="26"/>
  <c r="I6" i="26"/>
  <c r="J6" i="26"/>
  <c r="F4" i="6"/>
  <c r="F5" i="6"/>
  <c r="F6" i="6"/>
  <c r="F7" i="6"/>
  <c r="F8" i="6"/>
  <c r="F9" i="6"/>
  <c r="B6" i="25" s="1" a="1"/>
  <c r="C6" i="25" s="1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" i="6"/>
  <c r="G4" i="6"/>
  <c r="G5" i="6"/>
  <c r="G6" i="6"/>
  <c r="G7" i="6"/>
  <c r="G8" i="6"/>
  <c r="G9" i="6"/>
  <c r="G10" i="6"/>
  <c r="B7" i="25" s="1" a="1"/>
  <c r="C7" i="25" s="1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" i="6"/>
  <c r="N4" i="6"/>
  <c r="B14" i="25" s="1" a="1"/>
  <c r="D14" i="25" s="1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" i="6"/>
  <c r="A81" i="28"/>
  <c r="A67" i="28"/>
  <c r="A63" i="28"/>
  <c r="A46" i="28"/>
  <c r="A19" i="28"/>
  <c r="B17" i="25" a="1"/>
  <c r="B17" i="25" s="1"/>
  <c r="B16" i="25" a="1"/>
  <c r="D16" i="25" s="1"/>
  <c r="B15" i="25" a="1"/>
  <c r="D15" i="25" s="1"/>
  <c r="B13" i="25" a="1"/>
  <c r="D13" i="25" s="1"/>
  <c r="B12" i="25" a="1"/>
  <c r="C12" i="25" s="1"/>
  <c r="B11" i="25" a="1"/>
  <c r="C11" i="25" s="1"/>
  <c r="B10" i="25" a="1"/>
  <c r="D10" i="25" s="1"/>
  <c r="B9" i="25" a="1"/>
  <c r="D9" i="25" s="1"/>
  <c r="B8" i="25" a="1"/>
  <c r="D8" i="25" s="1"/>
  <c r="B5" i="25" a="1"/>
  <c r="B5" i="25" s="1"/>
  <c r="B4" i="25" a="1"/>
  <c r="C4" i="25" s="1"/>
  <c r="B3" i="25" a="1"/>
  <c r="B3" i="25" s="1"/>
  <c r="B2" i="25" a="1"/>
  <c r="B2" i="25" s="1"/>
  <c r="I17" i="25" l="1"/>
  <c r="X17" i="25"/>
  <c r="W17" i="25"/>
  <c r="AD17" i="25"/>
  <c r="V17" i="25"/>
  <c r="N17" i="25"/>
  <c r="F17" i="25"/>
  <c r="Y17" i="25"/>
  <c r="AF17" i="25"/>
  <c r="G17" i="25"/>
  <c r="AC17" i="25"/>
  <c r="U17" i="25"/>
  <c r="M17" i="25"/>
  <c r="E17" i="25"/>
  <c r="Q17" i="25"/>
  <c r="P17" i="25"/>
  <c r="O17" i="25"/>
  <c r="AB17" i="25"/>
  <c r="T17" i="25"/>
  <c r="L17" i="25"/>
  <c r="D17" i="25"/>
  <c r="AG17" i="25"/>
  <c r="H17" i="25"/>
  <c r="AE17" i="25"/>
  <c r="AA17" i="25"/>
  <c r="S17" i="25"/>
  <c r="K17" i="25"/>
  <c r="C17" i="25"/>
  <c r="AH17" i="25"/>
  <c r="Z17" i="25"/>
  <c r="R17" i="25"/>
  <c r="J17" i="25"/>
  <c r="K16" i="25"/>
  <c r="AH16" i="25"/>
  <c r="R16" i="25"/>
  <c r="J16" i="25"/>
  <c r="B16" i="25"/>
  <c r="AG16" i="25"/>
  <c r="Y16" i="25"/>
  <c r="Q16" i="25"/>
  <c r="I16" i="25"/>
  <c r="AF16" i="25"/>
  <c r="X16" i="25"/>
  <c r="P16" i="25"/>
  <c r="H16" i="25"/>
  <c r="AA16" i="25"/>
  <c r="C16" i="25"/>
  <c r="W16" i="25"/>
  <c r="G16" i="25"/>
  <c r="V16" i="25"/>
  <c r="F16" i="25"/>
  <c r="AC16" i="25"/>
  <c r="U16" i="25"/>
  <c r="M16" i="25"/>
  <c r="E16" i="25"/>
  <c r="S16" i="25"/>
  <c r="Z16" i="25"/>
  <c r="AE16" i="25"/>
  <c r="O16" i="25"/>
  <c r="AD16" i="25"/>
  <c r="N16" i="25"/>
  <c r="AB16" i="25"/>
  <c r="T16" i="25"/>
  <c r="L16" i="25"/>
  <c r="AF15" i="25"/>
  <c r="X15" i="25"/>
  <c r="P15" i="25"/>
  <c r="H15" i="25"/>
  <c r="AE15" i="25"/>
  <c r="W15" i="25"/>
  <c r="O15" i="25"/>
  <c r="G15" i="25"/>
  <c r="K15" i="25"/>
  <c r="Z15" i="25"/>
  <c r="J15" i="25"/>
  <c r="Y15" i="25"/>
  <c r="Q15" i="25"/>
  <c r="AD15" i="25"/>
  <c r="F15" i="25"/>
  <c r="AC15" i="25"/>
  <c r="U15" i="25"/>
  <c r="M15" i="25"/>
  <c r="E15" i="25"/>
  <c r="AA15" i="25"/>
  <c r="S15" i="25"/>
  <c r="C15" i="25"/>
  <c r="AH15" i="25"/>
  <c r="R15" i="25"/>
  <c r="B15" i="25"/>
  <c r="AG15" i="25"/>
  <c r="I15" i="25"/>
  <c r="V15" i="25"/>
  <c r="N15" i="25"/>
  <c r="AB15" i="25"/>
  <c r="T15" i="25"/>
  <c r="L15" i="25"/>
  <c r="S14" i="25"/>
  <c r="Z14" i="25"/>
  <c r="R14" i="25"/>
  <c r="J14" i="25"/>
  <c r="B14" i="25"/>
  <c r="AG14" i="25"/>
  <c r="Y14" i="25"/>
  <c r="Q14" i="25"/>
  <c r="I14" i="25"/>
  <c r="AF14" i="25"/>
  <c r="X14" i="25"/>
  <c r="P14" i="25"/>
  <c r="H14" i="25"/>
  <c r="AA14" i="25"/>
  <c r="C14" i="25"/>
  <c r="W14" i="25"/>
  <c r="G14" i="25"/>
  <c r="AD14" i="25"/>
  <c r="F14" i="25"/>
  <c r="AC14" i="25"/>
  <c r="U14" i="25"/>
  <c r="M14" i="25"/>
  <c r="E14" i="25"/>
  <c r="K14" i="25"/>
  <c r="AH14" i="25"/>
  <c r="AE14" i="25"/>
  <c r="O14" i="25"/>
  <c r="V14" i="25"/>
  <c r="N14" i="25"/>
  <c r="AB14" i="25"/>
  <c r="T14" i="25"/>
  <c r="L14" i="25"/>
  <c r="AF13" i="25"/>
  <c r="X13" i="25"/>
  <c r="P13" i="25"/>
  <c r="H13" i="25"/>
  <c r="AE13" i="25"/>
  <c r="W13" i="25"/>
  <c r="O13" i="25"/>
  <c r="G13" i="25"/>
  <c r="AA13" i="25"/>
  <c r="K13" i="25"/>
  <c r="Z13" i="25"/>
  <c r="J13" i="25"/>
  <c r="Q13" i="25"/>
  <c r="AD13" i="25"/>
  <c r="N13" i="25"/>
  <c r="AC13" i="25"/>
  <c r="U13" i="25"/>
  <c r="M13" i="25"/>
  <c r="E13" i="25"/>
  <c r="S13" i="25"/>
  <c r="C13" i="25"/>
  <c r="AH13" i="25"/>
  <c r="R13" i="25"/>
  <c r="B13" i="25"/>
  <c r="AG13" i="25"/>
  <c r="Y13" i="25"/>
  <c r="I13" i="25"/>
  <c r="V13" i="25"/>
  <c r="F13" i="25"/>
  <c r="AB13" i="25"/>
  <c r="T13" i="25"/>
  <c r="L13" i="25"/>
  <c r="Z12" i="25"/>
  <c r="B12" i="25"/>
  <c r="Y12" i="25"/>
  <c r="AF12" i="25"/>
  <c r="P12" i="25"/>
  <c r="H12" i="25"/>
  <c r="AE12" i="25"/>
  <c r="W12" i="25"/>
  <c r="O12" i="25"/>
  <c r="G12" i="25"/>
  <c r="AH12" i="25"/>
  <c r="R12" i="25"/>
  <c r="AG12" i="25"/>
  <c r="I12" i="25"/>
  <c r="V12" i="25"/>
  <c r="F12" i="25"/>
  <c r="U12" i="25"/>
  <c r="M12" i="25"/>
  <c r="AB12" i="25"/>
  <c r="T12" i="25"/>
  <c r="L12" i="25"/>
  <c r="D12" i="25"/>
  <c r="J12" i="25"/>
  <c r="Q12" i="25"/>
  <c r="X12" i="25"/>
  <c r="AD12" i="25"/>
  <c r="N12" i="25"/>
  <c r="AC12" i="25"/>
  <c r="E12" i="25"/>
  <c r="AA12" i="25"/>
  <c r="S12" i="25"/>
  <c r="K12" i="25"/>
  <c r="Z11" i="25"/>
  <c r="B11" i="25"/>
  <c r="H11" i="25"/>
  <c r="X11" i="25"/>
  <c r="AE11" i="25"/>
  <c r="G11" i="25"/>
  <c r="AC11" i="25"/>
  <c r="U11" i="25"/>
  <c r="M11" i="25"/>
  <c r="E11" i="25"/>
  <c r="AH11" i="25"/>
  <c r="R11" i="25"/>
  <c r="Y11" i="25"/>
  <c r="Q11" i="25"/>
  <c r="P11" i="25"/>
  <c r="W11" i="25"/>
  <c r="V11" i="25"/>
  <c r="N11" i="25"/>
  <c r="AB11" i="25"/>
  <c r="T11" i="25"/>
  <c r="L11" i="25"/>
  <c r="D11" i="25"/>
  <c r="J11" i="25"/>
  <c r="AG11" i="25"/>
  <c r="I11" i="25"/>
  <c r="AF11" i="25"/>
  <c r="O11" i="25"/>
  <c r="AD11" i="25"/>
  <c r="F11" i="25"/>
  <c r="AA11" i="25"/>
  <c r="S11" i="25"/>
  <c r="K11" i="25"/>
  <c r="AF10" i="25"/>
  <c r="X10" i="25"/>
  <c r="P10" i="25"/>
  <c r="H10" i="25"/>
  <c r="AA10" i="25"/>
  <c r="S10" i="25"/>
  <c r="K10" i="25"/>
  <c r="C10" i="25"/>
  <c r="AH10" i="25"/>
  <c r="Z10" i="25"/>
  <c r="R10" i="25"/>
  <c r="J10" i="25"/>
  <c r="B10" i="25"/>
  <c r="AG10" i="25"/>
  <c r="Y10" i="25"/>
  <c r="Q10" i="25"/>
  <c r="I10" i="25"/>
  <c r="AE10" i="25"/>
  <c r="W10" i="25"/>
  <c r="O10" i="25"/>
  <c r="G10" i="25"/>
  <c r="AD10" i="25"/>
  <c r="V10" i="25"/>
  <c r="N10" i="25"/>
  <c r="F10" i="25"/>
  <c r="AC10" i="25"/>
  <c r="U10" i="25"/>
  <c r="M10" i="25"/>
  <c r="E10" i="25"/>
  <c r="AB10" i="25"/>
  <c r="T10" i="25"/>
  <c r="L10" i="25"/>
  <c r="K9" i="25"/>
  <c r="AH9" i="25"/>
  <c r="J9" i="25"/>
  <c r="AG9" i="25"/>
  <c r="Y9" i="25"/>
  <c r="Q9" i="25"/>
  <c r="I9" i="25"/>
  <c r="AF9" i="25"/>
  <c r="X9" i="25"/>
  <c r="P9" i="25"/>
  <c r="H9" i="25"/>
  <c r="S9" i="25"/>
  <c r="Z9" i="25"/>
  <c r="W9" i="25"/>
  <c r="O9" i="25"/>
  <c r="V9" i="25"/>
  <c r="N9" i="25"/>
  <c r="AC9" i="25"/>
  <c r="U9" i="25"/>
  <c r="M9" i="25"/>
  <c r="E9" i="25"/>
  <c r="AA9" i="25"/>
  <c r="C9" i="25"/>
  <c r="R9" i="25"/>
  <c r="B9" i="25"/>
  <c r="AE9" i="25"/>
  <c r="G9" i="25"/>
  <c r="AD9" i="25"/>
  <c r="F9" i="25"/>
  <c r="AB9" i="25"/>
  <c r="T9" i="25"/>
  <c r="L9" i="25"/>
  <c r="AF8" i="25"/>
  <c r="X8" i="25"/>
  <c r="P8" i="25"/>
  <c r="H8" i="25"/>
  <c r="AA8" i="25"/>
  <c r="S8" i="25"/>
  <c r="K8" i="25"/>
  <c r="C8" i="25"/>
  <c r="AH8" i="25"/>
  <c r="Z8" i="25"/>
  <c r="R8" i="25"/>
  <c r="J8" i="25"/>
  <c r="B8" i="25"/>
  <c r="AG8" i="25"/>
  <c r="Y8" i="25"/>
  <c r="Q8" i="25"/>
  <c r="I8" i="25"/>
  <c r="AE8" i="25"/>
  <c r="W8" i="25"/>
  <c r="O8" i="25"/>
  <c r="G8" i="25"/>
  <c r="AD8" i="25"/>
  <c r="V8" i="25"/>
  <c r="N8" i="25"/>
  <c r="F8" i="25"/>
  <c r="AC8" i="25"/>
  <c r="U8" i="25"/>
  <c r="M8" i="25"/>
  <c r="E8" i="25"/>
  <c r="AB8" i="25"/>
  <c r="T8" i="25"/>
  <c r="L8" i="25"/>
  <c r="Y7" i="25"/>
  <c r="AH7" i="25"/>
  <c r="B7" i="25"/>
  <c r="E7" i="25"/>
  <c r="Z7" i="25"/>
  <c r="J7" i="25"/>
  <c r="Q7" i="25"/>
  <c r="AF7" i="25"/>
  <c r="H7" i="25"/>
  <c r="W7" i="25"/>
  <c r="O7" i="25"/>
  <c r="V7" i="25"/>
  <c r="F7" i="25"/>
  <c r="AC7" i="25"/>
  <c r="U7" i="25"/>
  <c r="AB7" i="25"/>
  <c r="T7" i="25"/>
  <c r="L7" i="25"/>
  <c r="D7" i="25"/>
  <c r="R7" i="25"/>
  <c r="AG7" i="25"/>
  <c r="I7" i="25"/>
  <c r="X7" i="25"/>
  <c r="P7" i="25"/>
  <c r="AE7" i="25"/>
  <c r="G7" i="25"/>
  <c r="AD7" i="25"/>
  <c r="N7" i="25"/>
  <c r="M7" i="25"/>
  <c r="AA7" i="25"/>
  <c r="S7" i="25"/>
  <c r="K7" i="25"/>
  <c r="R6" i="25"/>
  <c r="H6" i="25"/>
  <c r="E6" i="25"/>
  <c r="Z6" i="25"/>
  <c r="J6" i="25"/>
  <c r="Y6" i="25"/>
  <c r="I6" i="25"/>
  <c r="X6" i="25"/>
  <c r="AE6" i="25"/>
  <c r="O6" i="25"/>
  <c r="V6" i="25"/>
  <c r="F6" i="25"/>
  <c r="M6" i="25"/>
  <c r="AB6" i="25"/>
  <c r="T6" i="25"/>
  <c r="L6" i="25"/>
  <c r="D6" i="25"/>
  <c r="AH6" i="25"/>
  <c r="B6" i="25"/>
  <c r="AG6" i="25"/>
  <c r="Q6" i="25"/>
  <c r="AF6" i="25"/>
  <c r="P6" i="25"/>
  <c r="W6" i="25"/>
  <c r="G6" i="25"/>
  <c r="AD6" i="25"/>
  <c r="N6" i="25"/>
  <c r="AC6" i="25"/>
  <c r="U6" i="25"/>
  <c r="AA6" i="25"/>
  <c r="S6" i="25"/>
  <c r="K6" i="25"/>
  <c r="H5" i="25"/>
  <c r="X5" i="25"/>
  <c r="AE5" i="25"/>
  <c r="W5" i="25"/>
  <c r="O5" i="25"/>
  <c r="G5" i="25"/>
  <c r="AD5" i="25"/>
  <c r="V5" i="25"/>
  <c r="N5" i="25"/>
  <c r="F5" i="25"/>
  <c r="AB5" i="25"/>
  <c r="AG5" i="25"/>
  <c r="Y5" i="25"/>
  <c r="Q5" i="25"/>
  <c r="I5" i="25"/>
  <c r="AF5" i="25"/>
  <c r="P5" i="25"/>
  <c r="AC5" i="25"/>
  <c r="U5" i="25"/>
  <c r="M5" i="25"/>
  <c r="E5" i="25"/>
  <c r="T5" i="25"/>
  <c r="L5" i="25"/>
  <c r="D5" i="25"/>
  <c r="AA5" i="25"/>
  <c r="S5" i="25"/>
  <c r="K5" i="25"/>
  <c r="C5" i="25"/>
  <c r="AH5" i="25"/>
  <c r="Z5" i="25"/>
  <c r="R5" i="25"/>
  <c r="J5" i="25"/>
  <c r="AF4" i="25"/>
  <c r="R4" i="25"/>
  <c r="B4" i="25"/>
  <c r="X4" i="25"/>
  <c r="E4" i="25"/>
  <c r="AH4" i="25"/>
  <c r="J4" i="25"/>
  <c r="Y4" i="25"/>
  <c r="I4" i="25"/>
  <c r="P4" i="25"/>
  <c r="AE4" i="25"/>
  <c r="O4" i="25"/>
  <c r="AD4" i="25"/>
  <c r="N4" i="25"/>
  <c r="AC4" i="25"/>
  <c r="M4" i="25"/>
  <c r="AB4" i="25"/>
  <c r="T4" i="25"/>
  <c r="L4" i="25"/>
  <c r="D4" i="25"/>
  <c r="Z4" i="25"/>
  <c r="AG4" i="25"/>
  <c r="Q4" i="25"/>
  <c r="H4" i="25"/>
  <c r="W4" i="25"/>
  <c r="G4" i="25"/>
  <c r="V4" i="25"/>
  <c r="F4" i="25"/>
  <c r="U4" i="25"/>
  <c r="AA4" i="25"/>
  <c r="S4" i="25"/>
  <c r="K4" i="25"/>
  <c r="Q3" i="25"/>
  <c r="X3" i="25"/>
  <c r="W3" i="25"/>
  <c r="V3" i="25"/>
  <c r="E3" i="25"/>
  <c r="T3" i="25"/>
  <c r="AG3" i="25"/>
  <c r="I3" i="25"/>
  <c r="P3" i="25"/>
  <c r="AE3" i="25"/>
  <c r="G3" i="25"/>
  <c r="F3" i="25"/>
  <c r="U3" i="25"/>
  <c r="AB3" i="25"/>
  <c r="D3" i="25"/>
  <c r="AA3" i="25"/>
  <c r="S3" i="25"/>
  <c r="K3" i="25"/>
  <c r="C3" i="25"/>
  <c r="Y3" i="25"/>
  <c r="AF3" i="25"/>
  <c r="H3" i="25"/>
  <c r="O3" i="25"/>
  <c r="AD3" i="25"/>
  <c r="N3" i="25"/>
  <c r="AC3" i="25"/>
  <c r="M3" i="25"/>
  <c r="L3" i="25"/>
  <c r="AH3" i="25"/>
  <c r="Z3" i="25"/>
  <c r="R3" i="25"/>
  <c r="J3" i="25"/>
  <c r="Y2" i="25"/>
  <c r="X2" i="25"/>
  <c r="E2" i="25"/>
  <c r="AG2" i="25"/>
  <c r="D2" i="25"/>
  <c r="Q2" i="25"/>
  <c r="AF2" i="25"/>
  <c r="H2" i="25"/>
  <c r="AE2" i="25"/>
  <c r="O2" i="25"/>
  <c r="AD2" i="25"/>
  <c r="N2" i="25"/>
  <c r="AC2" i="25"/>
  <c r="M2" i="25"/>
  <c r="AB2" i="25"/>
  <c r="T2" i="25"/>
  <c r="C2" i="25"/>
  <c r="I2" i="25"/>
  <c r="P2" i="25"/>
  <c r="W2" i="25"/>
  <c r="G2" i="25"/>
  <c r="V2" i="25"/>
  <c r="F2" i="25"/>
  <c r="U2" i="25"/>
  <c r="L2" i="25"/>
  <c r="AA2" i="25"/>
  <c r="S2" i="25"/>
  <c r="K2" i="25"/>
  <c r="AH2" i="25"/>
  <c r="Z2" i="25"/>
  <c r="R2" i="25"/>
  <c r="J2" i="25"/>
  <c r="B12" i="6"/>
  <c r="B11" i="6"/>
  <c r="B3" i="6"/>
  <c r="B2" i="6"/>
  <c r="H6" i="26" l="1"/>
  <c r="C6" i="26"/>
  <c r="B6" i="26"/>
  <c r="D6" i="26"/>
  <c r="E6" i="26"/>
  <c r="F6" i="26"/>
  <c r="G6" i="26"/>
  <c r="B7" i="26"/>
  <c r="C7" i="26"/>
  <c r="D7" i="26"/>
  <c r="E7" i="26"/>
  <c r="F7" i="26"/>
  <c r="C14" i="26"/>
  <c r="D14" i="26"/>
  <c r="E14" i="26"/>
  <c r="F14" i="26"/>
  <c r="G14" i="26"/>
  <c r="B14" i="26"/>
  <c r="H14" i="26"/>
  <c r="I14" i="26"/>
  <c r="C20" i="21"/>
  <c r="D20" i="21"/>
  <c r="C21" i="21"/>
  <c r="D21" i="21"/>
  <c r="C22" i="21"/>
  <c r="D22" i="21"/>
  <c r="C23" i="21"/>
  <c r="D23" i="21"/>
  <c r="C24" i="21"/>
  <c r="D24" i="21"/>
  <c r="C25" i="21"/>
  <c r="D25" i="21"/>
  <c r="C26" i="21"/>
  <c r="D26" i="21"/>
  <c r="C27" i="21"/>
  <c r="D27" i="21"/>
  <c r="C29" i="21"/>
  <c r="D29" i="21"/>
  <c r="C31" i="21"/>
  <c r="D31" i="21"/>
  <c r="D19" i="21"/>
  <c r="C19" i="21"/>
  <c r="B13" i="16" l="1"/>
  <c r="C17" i="8" l="1"/>
  <c r="C16" i="8"/>
  <c r="C15" i="8"/>
  <c r="C16" i="7"/>
  <c r="C15" i="7"/>
  <c r="A12" i="24"/>
  <c r="A13" i="24" s="1"/>
  <c r="A14" i="24" s="1"/>
  <c r="A15" i="24" s="1"/>
  <c r="D4" i="24"/>
  <c r="D5" i="24" s="1"/>
  <c r="B16" i="24" s="1"/>
  <c r="Q6" i="6" s="1"/>
  <c r="E4" i="24"/>
  <c r="E5" i="24" s="1"/>
  <c r="B21" i="24" s="1"/>
  <c r="Q11" i="6" s="1"/>
  <c r="F4" i="24"/>
  <c r="F5" i="24" s="1"/>
  <c r="B26" i="24" s="1"/>
  <c r="Q16" i="6" s="1"/>
  <c r="G4" i="24"/>
  <c r="G5" i="24" s="1"/>
  <c r="B31" i="24" s="1"/>
  <c r="Q21" i="6" s="1"/>
  <c r="H4" i="24"/>
  <c r="H5" i="24" s="1"/>
  <c r="B36" i="24" s="1"/>
  <c r="Q26" i="6" s="1"/>
  <c r="I4" i="24"/>
  <c r="I5" i="24" s="1"/>
  <c r="B41" i="24" s="1"/>
  <c r="Q31" i="6" s="1"/>
  <c r="C4" i="24"/>
  <c r="C5" i="24" s="1"/>
  <c r="B12" i="24" l="1"/>
  <c r="Q2" i="6" s="1"/>
  <c r="B17" i="7" s="1"/>
  <c r="D17" i="7" s="1"/>
  <c r="B11" i="24"/>
  <c r="A16" i="24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B15" i="24"/>
  <c r="Q5" i="6" s="1"/>
  <c r="B14" i="24"/>
  <c r="Q4" i="6" s="1"/>
  <c r="B19" i="24"/>
  <c r="Q9" i="6" s="1"/>
  <c r="B24" i="24"/>
  <c r="Q14" i="6" s="1"/>
  <c r="B29" i="24"/>
  <c r="Q19" i="6" s="1"/>
  <c r="B13" i="24"/>
  <c r="Q3" i="6" s="1"/>
  <c r="B18" i="24"/>
  <c r="Q8" i="6" s="1"/>
  <c r="B17" i="24"/>
  <c r="Q7" i="6" s="1"/>
  <c r="B22" i="24"/>
  <c r="Q12" i="6" s="1"/>
  <c r="B27" i="24"/>
  <c r="Q17" i="6" s="1"/>
  <c r="B32" i="24"/>
  <c r="Q22" i="6" s="1"/>
  <c r="B40" i="24" l="1"/>
  <c r="Q30" i="6" s="1"/>
  <c r="B35" i="24"/>
  <c r="Q25" i="6" s="1"/>
  <c r="B38" i="24"/>
  <c r="Q28" i="6" s="1"/>
  <c r="B30" i="24"/>
  <c r="Q20" i="6" s="1"/>
  <c r="B20" i="24"/>
  <c r="Q10" i="6" s="1"/>
  <c r="B33" i="24"/>
  <c r="Q23" i="6" s="1"/>
  <c r="B25" i="24"/>
  <c r="Q15" i="6" s="1"/>
  <c r="B28" i="24"/>
  <c r="Q18" i="6" s="1"/>
  <c r="B39" i="24"/>
  <c r="Q29" i="6" s="1"/>
  <c r="B37" i="24"/>
  <c r="Q27" i="6" s="1"/>
  <c r="B23" i="24"/>
  <c r="Q13" i="6" s="1"/>
  <c r="B34" i="24"/>
  <c r="Q24" i="6" s="1"/>
  <c r="B42" i="24"/>
  <c r="Q32" i="6" s="1"/>
  <c r="B43" i="24" l="1"/>
  <c r="Q33" i="6" s="1"/>
  <c r="B44" i="24" l="1"/>
  <c r="Q34" i="6" s="1"/>
  <c r="M6" i="22" l="1"/>
  <c r="M7" i="22"/>
  <c r="M8" i="22"/>
  <c r="M9" i="22"/>
  <c r="M10" i="22"/>
  <c r="M11" i="22"/>
  <c r="M12" i="22"/>
  <c r="M5" i="22"/>
  <c r="B3" i="8"/>
  <c r="D3" i="8" s="1"/>
  <c r="B3" i="7"/>
  <c r="D3" i="7" s="1"/>
  <c r="B4" i="8"/>
  <c r="D4" i="8" s="1"/>
  <c r="B4" i="7"/>
  <c r="D4" i="7" s="1"/>
  <c r="B5" i="8"/>
  <c r="D5" i="8" s="1"/>
  <c r="D5" i="7"/>
  <c r="B6" i="8"/>
  <c r="D6" i="8" s="1"/>
  <c r="B6" i="7"/>
  <c r="D6" i="7" s="1"/>
  <c r="B7" i="8"/>
  <c r="D7" i="8" s="1"/>
  <c r="B7" i="7"/>
  <c r="D7" i="7" s="1"/>
  <c r="B8" i="8"/>
  <c r="D8" i="8" s="1"/>
  <c r="B8" i="7"/>
  <c r="D8" i="7" s="1"/>
  <c r="B9" i="8"/>
  <c r="B9" i="7"/>
  <c r="D9" i="7" s="1"/>
  <c r="B10" i="8"/>
  <c r="D10" i="8" s="1"/>
  <c r="D10" i="7"/>
  <c r="B29" i="21"/>
  <c r="B12" i="8"/>
  <c r="D12" i="8" s="1"/>
  <c r="B12" i="7"/>
  <c r="D12" i="7" s="1"/>
  <c r="B14" i="8"/>
  <c r="D14" i="8" s="1"/>
  <c r="B14" i="7"/>
  <c r="D14" i="7" s="1"/>
  <c r="B2" i="8"/>
  <c r="B2" i="7"/>
  <c r="D14" i="21"/>
  <c r="D30" i="21" s="1"/>
  <c r="C14" i="21"/>
  <c r="C30" i="21" s="1"/>
  <c r="C12" i="21"/>
  <c r="D12" i="21"/>
  <c r="B12" i="21"/>
  <c r="B28" i="21" s="1"/>
  <c r="L2" i="6" s="1"/>
  <c r="K2" i="6" s="1"/>
  <c r="C28" i="21" l="1"/>
  <c r="B11" i="8" s="1"/>
  <c r="D28" i="21"/>
  <c r="B11" i="7" s="1"/>
  <c r="D9" i="8"/>
  <c r="D17" i="8" s="1"/>
  <c r="B17" i="8"/>
  <c r="D2" i="8"/>
  <c r="L2" i="23"/>
  <c r="L3" i="23" s="1"/>
  <c r="L4" i="23" s="1"/>
  <c r="L5" i="23" s="1"/>
  <c r="L6" i="23" s="1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D2" i="7"/>
  <c r="D11" i="7" l="1"/>
  <c r="D16" i="7" s="1"/>
  <c r="B15" i="7"/>
  <c r="B16" i="7"/>
  <c r="B16" i="8"/>
  <c r="D11" i="8"/>
  <c r="B15" i="8"/>
  <c r="D15" i="7"/>
  <c r="K2" i="23"/>
  <c r="K3" i="23" s="1"/>
  <c r="K4" i="23" s="1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L5" i="6"/>
  <c r="K5" i="6" s="1"/>
  <c r="L9" i="6"/>
  <c r="K9" i="6" s="1"/>
  <c r="L27" i="6"/>
  <c r="K27" i="6" s="1"/>
  <c r="L10" i="6"/>
  <c r="K10" i="6" s="1"/>
  <c r="L7" i="6"/>
  <c r="K7" i="6" s="1"/>
  <c r="L6" i="6"/>
  <c r="K6" i="6" s="1"/>
  <c r="L34" i="6"/>
  <c r="K34" i="6" s="1"/>
  <c r="L31" i="6"/>
  <c r="K31" i="6" s="1"/>
  <c r="L13" i="6"/>
  <c r="K13" i="6" s="1"/>
  <c r="L33" i="6"/>
  <c r="K33" i="6" s="1"/>
  <c r="L28" i="6"/>
  <c r="K28" i="6" s="1"/>
  <c r="L19" i="6"/>
  <c r="K19" i="6" s="1"/>
  <c r="L24" i="6"/>
  <c r="K24" i="6" s="1"/>
  <c r="L30" i="6"/>
  <c r="K30" i="6" s="1"/>
  <c r="L20" i="6"/>
  <c r="K20" i="6" s="1"/>
  <c r="L18" i="6"/>
  <c r="K18" i="6" s="1"/>
  <c r="L15" i="6"/>
  <c r="K15" i="6" s="1"/>
  <c r="L25" i="6"/>
  <c r="K25" i="6" s="1"/>
  <c r="L12" i="6"/>
  <c r="K12" i="6" s="1"/>
  <c r="L3" i="6"/>
  <c r="K3" i="6" s="1"/>
  <c r="L8" i="6"/>
  <c r="K8" i="6" s="1"/>
  <c r="L22" i="6"/>
  <c r="K22" i="6" s="1"/>
  <c r="L32" i="6"/>
  <c r="K32" i="6" s="1"/>
  <c r="L29" i="6"/>
  <c r="K29" i="6" s="1"/>
  <c r="L17" i="6"/>
  <c r="K17" i="6" s="1"/>
  <c r="L4" i="6"/>
  <c r="K4" i="6" s="1"/>
  <c r="L26" i="6"/>
  <c r="K26" i="6" s="1"/>
  <c r="L23" i="6"/>
  <c r="K23" i="6" s="1"/>
  <c r="L14" i="6"/>
  <c r="K14" i="6" s="1"/>
  <c r="L11" i="6"/>
  <c r="K11" i="6" s="1"/>
  <c r="L16" i="6"/>
  <c r="K16" i="6" s="1"/>
  <c r="L21" i="6"/>
  <c r="K21" i="6" s="1"/>
  <c r="A2" i="19"/>
  <c r="F11" i="20" s="1"/>
  <c r="J23" i="23" s="1"/>
  <c r="D16" i="8" l="1"/>
  <c r="D15" i="8"/>
  <c r="O18" i="6"/>
  <c r="P18" i="6"/>
  <c r="P5" i="6"/>
  <c r="O5" i="6"/>
  <c r="P2" i="6"/>
  <c r="O2" i="6"/>
  <c r="P34" i="6"/>
  <c r="O34" i="6"/>
  <c r="P22" i="6"/>
  <c r="O22" i="6"/>
  <c r="P23" i="6"/>
  <c r="O23" i="6"/>
  <c r="P8" i="6"/>
  <c r="O8" i="6"/>
  <c r="P24" i="6"/>
  <c r="O24" i="6"/>
  <c r="P7" i="6"/>
  <c r="O7" i="6"/>
  <c r="P32" i="6"/>
  <c r="O32" i="6"/>
  <c r="O31" i="6"/>
  <c r="P31" i="6"/>
  <c r="O11" i="6"/>
  <c r="P11" i="6"/>
  <c r="O20" i="6"/>
  <c r="P20" i="6"/>
  <c r="P14" i="6"/>
  <c r="O14" i="6"/>
  <c r="P6" i="6"/>
  <c r="O6" i="6"/>
  <c r="P3" i="6"/>
  <c r="O3" i="6"/>
  <c r="O28" i="6"/>
  <c r="P28" i="6"/>
  <c r="P27" i="6"/>
  <c r="O27" i="6"/>
  <c r="P16" i="6"/>
  <c r="O16" i="6"/>
  <c r="P30" i="6"/>
  <c r="O30" i="6"/>
  <c r="P26" i="6"/>
  <c r="O26" i="6"/>
  <c r="O19" i="6"/>
  <c r="P19" i="6"/>
  <c r="P10" i="6"/>
  <c r="O10" i="6"/>
  <c r="O4" i="6"/>
  <c r="P4" i="6"/>
  <c r="O12" i="6"/>
  <c r="P12" i="6"/>
  <c r="P17" i="6"/>
  <c r="O17" i="6"/>
  <c r="P25" i="6"/>
  <c r="O25" i="6"/>
  <c r="P33" i="6"/>
  <c r="O33" i="6"/>
  <c r="P9" i="6"/>
  <c r="O9" i="6"/>
  <c r="O21" i="6"/>
  <c r="P21" i="6"/>
  <c r="O29" i="6"/>
  <c r="P29" i="6"/>
  <c r="P15" i="6"/>
  <c r="O15" i="6"/>
  <c r="O13" i="6"/>
  <c r="P13" i="6"/>
  <c r="J21" i="6"/>
  <c r="B11" i="20"/>
  <c r="J3" i="23" s="1"/>
  <c r="E11" i="20"/>
  <c r="J18" i="23" s="1"/>
  <c r="H11" i="20"/>
  <c r="J33" i="23" s="1"/>
  <c r="D11" i="20"/>
  <c r="J13" i="23" s="1"/>
  <c r="G11" i="20"/>
  <c r="J28" i="23" s="1"/>
  <c r="C11" i="20"/>
  <c r="J8" i="23" s="1"/>
  <c r="D36" i="18"/>
  <c r="E36" i="18" s="1"/>
  <c r="F36" i="18" s="1"/>
  <c r="G36" i="18" s="1"/>
  <c r="H36" i="18" s="1"/>
  <c r="I36" i="18" s="1"/>
  <c r="C21" i="18"/>
  <c r="D21" i="18"/>
  <c r="E21" i="18"/>
  <c r="F21" i="18"/>
  <c r="G21" i="18"/>
  <c r="H21" i="18"/>
  <c r="I21" i="18"/>
  <c r="C22" i="18"/>
  <c r="D22" i="18"/>
  <c r="E22" i="18"/>
  <c r="F22" i="18"/>
  <c r="G22" i="18"/>
  <c r="H22" i="18"/>
  <c r="I22" i="18"/>
  <c r="C23" i="18"/>
  <c r="D23" i="18"/>
  <c r="E23" i="18"/>
  <c r="F23" i="18"/>
  <c r="G23" i="18"/>
  <c r="H23" i="18"/>
  <c r="I23" i="18"/>
  <c r="C24" i="18"/>
  <c r="D24" i="18"/>
  <c r="E24" i="18"/>
  <c r="F24" i="18"/>
  <c r="G24" i="18"/>
  <c r="H24" i="18"/>
  <c r="I24" i="18"/>
  <c r="C25" i="18"/>
  <c r="D25" i="18"/>
  <c r="E25" i="18"/>
  <c r="F25" i="18"/>
  <c r="G25" i="18"/>
  <c r="H25" i="18"/>
  <c r="I25" i="18"/>
  <c r="C26" i="18"/>
  <c r="D26" i="18"/>
  <c r="E26" i="18"/>
  <c r="F26" i="18"/>
  <c r="G26" i="18"/>
  <c r="H26" i="18"/>
  <c r="I26" i="18"/>
  <c r="C29" i="18"/>
  <c r="B53" i="18" s="1"/>
  <c r="D29" i="18"/>
  <c r="C53" i="18" s="1"/>
  <c r="C8" i="20" s="1"/>
  <c r="E29" i="18"/>
  <c r="D53" i="18" s="1"/>
  <c r="D8" i="20" s="1"/>
  <c r="F29" i="18"/>
  <c r="E53" i="18" s="1"/>
  <c r="E8" i="20" s="1"/>
  <c r="G29" i="18"/>
  <c r="F53" i="18" s="1"/>
  <c r="F8" i="20" s="1"/>
  <c r="H29" i="18"/>
  <c r="G53" i="18" s="1"/>
  <c r="G8" i="20" s="1"/>
  <c r="I29" i="18"/>
  <c r="H53" i="18" s="1"/>
  <c r="H8" i="20" s="1"/>
  <c r="C30" i="18"/>
  <c r="B54" i="18" s="1"/>
  <c r="B9" i="20" s="1"/>
  <c r="H3" i="23" s="1"/>
  <c r="D30" i="18"/>
  <c r="C54" i="18" s="1"/>
  <c r="C9" i="20" s="1"/>
  <c r="H8" i="23" s="1"/>
  <c r="E30" i="18"/>
  <c r="D54" i="18" s="1"/>
  <c r="D9" i="20" s="1"/>
  <c r="H13" i="23" s="1"/>
  <c r="F30" i="18"/>
  <c r="E54" i="18" s="1"/>
  <c r="E9" i="20" s="1"/>
  <c r="H18" i="23" s="1"/>
  <c r="G30" i="18"/>
  <c r="F54" i="18" s="1"/>
  <c r="F9" i="20" s="1"/>
  <c r="H23" i="23" s="1"/>
  <c r="H30" i="18"/>
  <c r="G54" i="18" s="1"/>
  <c r="G9" i="20" s="1"/>
  <c r="H28" i="23" s="1"/>
  <c r="I30" i="18"/>
  <c r="H54" i="18" s="1"/>
  <c r="H9" i="20" s="1"/>
  <c r="H33" i="23" s="1"/>
  <c r="C33" i="18"/>
  <c r="B55" i="18" s="1"/>
  <c r="B10" i="20" s="1"/>
  <c r="I3" i="23" s="1"/>
  <c r="D33" i="18"/>
  <c r="C55" i="18" s="1"/>
  <c r="C10" i="20" s="1"/>
  <c r="I8" i="23" s="1"/>
  <c r="E33" i="18"/>
  <c r="D55" i="18" s="1"/>
  <c r="D10" i="20" s="1"/>
  <c r="I13" i="23" s="1"/>
  <c r="F33" i="18"/>
  <c r="E55" i="18" s="1"/>
  <c r="E10" i="20" s="1"/>
  <c r="I18" i="23" s="1"/>
  <c r="I14" i="23" s="1"/>
  <c r="I15" i="23" s="1"/>
  <c r="I16" i="23" s="1"/>
  <c r="I17" i="23" s="1"/>
  <c r="G33" i="18"/>
  <c r="F55" i="18" s="1"/>
  <c r="F10" i="20" s="1"/>
  <c r="I23" i="23" s="1"/>
  <c r="H33" i="18"/>
  <c r="G55" i="18" s="1"/>
  <c r="G10" i="20" s="1"/>
  <c r="I28" i="23" s="1"/>
  <c r="I33" i="18"/>
  <c r="H55" i="18" s="1"/>
  <c r="H10" i="20" s="1"/>
  <c r="I33" i="23" s="1"/>
  <c r="D20" i="18"/>
  <c r="C49" i="18" s="1"/>
  <c r="C4" i="20" s="1"/>
  <c r="C8" i="23" s="1"/>
  <c r="E20" i="18"/>
  <c r="D49" i="18" s="1"/>
  <c r="D4" i="20" s="1"/>
  <c r="C13" i="23" s="1"/>
  <c r="F20" i="18"/>
  <c r="E49" i="18" s="1"/>
  <c r="E4" i="20" s="1"/>
  <c r="C18" i="23" s="1"/>
  <c r="G20" i="18"/>
  <c r="F49" i="18" s="1"/>
  <c r="F4" i="20" s="1"/>
  <c r="C23" i="23" s="1"/>
  <c r="H20" i="18"/>
  <c r="G49" i="18" s="1"/>
  <c r="G4" i="20" s="1"/>
  <c r="C28" i="23" s="1"/>
  <c r="I20" i="18"/>
  <c r="H49" i="18" s="1"/>
  <c r="H4" i="20" s="1"/>
  <c r="C33" i="23" s="1"/>
  <c r="C20" i="18"/>
  <c r="B49" i="18" s="1"/>
  <c r="B4" i="20" s="1"/>
  <c r="C3" i="23" s="1"/>
  <c r="D19" i="18"/>
  <c r="E19" i="18" s="1"/>
  <c r="F19" i="18" s="1"/>
  <c r="G19" i="18" s="1"/>
  <c r="H19" i="18" s="1"/>
  <c r="I19" i="18" s="1"/>
  <c r="I11" i="18"/>
  <c r="I28" i="18" s="1"/>
  <c r="H11" i="18"/>
  <c r="H28" i="18" s="1"/>
  <c r="G11" i="18"/>
  <c r="G28" i="18" s="1"/>
  <c r="F11" i="18"/>
  <c r="F28" i="18" s="1"/>
  <c r="E11" i="18"/>
  <c r="E28" i="18" s="1"/>
  <c r="D11" i="18"/>
  <c r="D28" i="18" s="1"/>
  <c r="C11" i="18"/>
  <c r="C28" i="18" s="1"/>
  <c r="I15" i="18"/>
  <c r="I32" i="18" s="1"/>
  <c r="H60" i="18" s="1"/>
  <c r="H15" i="20" s="1"/>
  <c r="N33" i="23" s="1"/>
  <c r="H15" i="18"/>
  <c r="H32" i="18" s="1"/>
  <c r="G60" i="18" s="1"/>
  <c r="G15" i="20" s="1"/>
  <c r="N28" i="23" s="1"/>
  <c r="G15" i="18"/>
  <c r="G32" i="18" s="1"/>
  <c r="F60" i="18" s="1"/>
  <c r="F15" i="20" s="1"/>
  <c r="N23" i="23" s="1"/>
  <c r="F15" i="18"/>
  <c r="F32" i="18" s="1"/>
  <c r="E60" i="18" s="1"/>
  <c r="E15" i="20" s="1"/>
  <c r="N18" i="23" s="1"/>
  <c r="E15" i="18"/>
  <c r="E32" i="18" s="1"/>
  <c r="D60" i="18" s="1"/>
  <c r="D15" i="20" s="1"/>
  <c r="N13" i="23" s="1"/>
  <c r="D15" i="18"/>
  <c r="D32" i="18" s="1"/>
  <c r="C60" i="18" s="1"/>
  <c r="C15" i="20" s="1"/>
  <c r="N8" i="23" s="1"/>
  <c r="C15" i="18"/>
  <c r="C32" i="18" s="1"/>
  <c r="B60" i="18" s="1"/>
  <c r="B15" i="20" s="1"/>
  <c r="N3" i="23" s="1"/>
  <c r="I14" i="18"/>
  <c r="I31" i="18" s="1"/>
  <c r="H52" i="18" s="1"/>
  <c r="H7" i="20" s="1"/>
  <c r="H14" i="18"/>
  <c r="H31" i="18" s="1"/>
  <c r="G52" i="18" s="1"/>
  <c r="G7" i="20" s="1"/>
  <c r="G14" i="18"/>
  <c r="G31" i="18" s="1"/>
  <c r="F52" i="18" s="1"/>
  <c r="F7" i="20" s="1"/>
  <c r="F14" i="18"/>
  <c r="F31" i="18" s="1"/>
  <c r="E52" i="18" s="1"/>
  <c r="E7" i="20" s="1"/>
  <c r="E14" i="18"/>
  <c r="E31" i="18" s="1"/>
  <c r="D52" i="18" s="1"/>
  <c r="D7" i="20" s="1"/>
  <c r="D14" i="18"/>
  <c r="D31" i="18" s="1"/>
  <c r="C52" i="18" s="1"/>
  <c r="C7" i="20" s="1"/>
  <c r="C14" i="18"/>
  <c r="C31" i="18" s="1"/>
  <c r="B52" i="18" s="1"/>
  <c r="B7" i="20" s="1"/>
  <c r="G2" i="23" s="1"/>
  <c r="I10" i="18"/>
  <c r="I27" i="18" s="1"/>
  <c r="H51" i="18" s="1"/>
  <c r="H6" i="20" s="1"/>
  <c r="E33" i="23" s="1"/>
  <c r="H10" i="18"/>
  <c r="H27" i="18" s="1"/>
  <c r="G10" i="18"/>
  <c r="G27" i="18" s="1"/>
  <c r="F10" i="18"/>
  <c r="F27" i="18" s="1"/>
  <c r="E51" i="18" s="1"/>
  <c r="E6" i="20" s="1"/>
  <c r="E18" i="23" s="1"/>
  <c r="E10" i="18"/>
  <c r="E27" i="18" s="1"/>
  <c r="D10" i="18"/>
  <c r="D27" i="18" s="1"/>
  <c r="C10" i="18"/>
  <c r="C27" i="18" s="1"/>
  <c r="D2" i="18"/>
  <c r="E2" i="18" s="1"/>
  <c r="F2" i="18" s="1"/>
  <c r="G2" i="18" s="1"/>
  <c r="H2" i="18" s="1"/>
  <c r="I2" i="18" s="1"/>
  <c r="F50" i="18" l="1"/>
  <c r="F5" i="20" s="1"/>
  <c r="D23" i="23" s="1"/>
  <c r="E50" i="18"/>
  <c r="E5" i="20" s="1"/>
  <c r="D18" i="23" s="1"/>
  <c r="D51" i="18"/>
  <c r="D6" i="20" s="1"/>
  <c r="E13" i="23" s="1"/>
  <c r="H14" i="23"/>
  <c r="H15" i="23" s="1"/>
  <c r="H16" i="23" s="1"/>
  <c r="H17" i="23" s="1"/>
  <c r="B50" i="18"/>
  <c r="B5" i="20" s="1"/>
  <c r="D3" i="23" s="1"/>
  <c r="N19" i="23"/>
  <c r="N20" i="23" s="1"/>
  <c r="N21" i="23" s="1"/>
  <c r="N22" i="23" s="1"/>
  <c r="F48" i="18"/>
  <c r="F3" i="20" s="1"/>
  <c r="B23" i="23" s="1"/>
  <c r="B51" i="18"/>
  <c r="B6" i="20" s="1"/>
  <c r="E3" i="23" s="1"/>
  <c r="F51" i="18"/>
  <c r="F6" i="20" s="1"/>
  <c r="E23" i="23" s="1"/>
  <c r="E19" i="23" s="1"/>
  <c r="E20" i="23" s="1"/>
  <c r="E21" i="23" s="1"/>
  <c r="E22" i="23" s="1"/>
  <c r="H24" i="23"/>
  <c r="H25" i="23" s="1"/>
  <c r="H26" i="23" s="1"/>
  <c r="H27" i="23" s="1"/>
  <c r="D19" i="23"/>
  <c r="D20" i="23" s="1"/>
  <c r="D21" i="23" s="1"/>
  <c r="D22" i="23" s="1"/>
  <c r="H34" i="23"/>
  <c r="H35" i="23" s="1"/>
  <c r="H36" i="23" s="1"/>
  <c r="H29" i="23"/>
  <c r="H30" i="23" s="1"/>
  <c r="H31" i="23" s="1"/>
  <c r="H32" i="23" s="1"/>
  <c r="H9" i="23"/>
  <c r="H10" i="23"/>
  <c r="H11" i="23" s="1"/>
  <c r="H12" i="23" s="1"/>
  <c r="E48" i="18"/>
  <c r="E3" i="20" s="1"/>
  <c r="B18" i="23" s="1"/>
  <c r="B19" i="23" s="1"/>
  <c r="J26" i="6"/>
  <c r="J24" i="23"/>
  <c r="J22" i="6" s="1"/>
  <c r="J25" i="23"/>
  <c r="C11" i="6"/>
  <c r="C9" i="23"/>
  <c r="C7" i="6" s="1"/>
  <c r="J16" i="6"/>
  <c r="J14" i="23"/>
  <c r="J12" i="6" s="1"/>
  <c r="N24" i="23"/>
  <c r="N25" i="23" s="1"/>
  <c r="N26" i="23" s="1"/>
  <c r="N27" i="23" s="1"/>
  <c r="C6" i="6"/>
  <c r="C4" i="23"/>
  <c r="C5" i="23" s="1"/>
  <c r="N9" i="23"/>
  <c r="N10" i="23" s="1"/>
  <c r="N11" i="23" s="1"/>
  <c r="N12" i="23" s="1"/>
  <c r="N29" i="23"/>
  <c r="N30" i="23" s="1"/>
  <c r="N31" i="23" s="1"/>
  <c r="N32" i="23" s="1"/>
  <c r="N34" i="23"/>
  <c r="N35" i="23" s="1"/>
  <c r="N36" i="23" s="1"/>
  <c r="C21" i="6"/>
  <c r="C19" i="23"/>
  <c r="C17" i="6" s="1"/>
  <c r="I29" i="23"/>
  <c r="I30" i="23" s="1"/>
  <c r="I31" i="23" s="1"/>
  <c r="I32" i="23" s="1"/>
  <c r="I34" i="23"/>
  <c r="I35" i="23" s="1"/>
  <c r="I36" i="23" s="1"/>
  <c r="I9" i="23"/>
  <c r="I10" i="23" s="1"/>
  <c r="I11" i="23" s="1"/>
  <c r="I12" i="23" s="1"/>
  <c r="H4" i="23"/>
  <c r="H2" i="23" s="1"/>
  <c r="F2" i="23"/>
  <c r="B8" i="20"/>
  <c r="H50" i="18"/>
  <c r="H5" i="20" s="1"/>
  <c r="D33" i="23" s="1"/>
  <c r="D50" i="18"/>
  <c r="D5" i="20" s="1"/>
  <c r="D13" i="23" s="1"/>
  <c r="D14" i="23" s="1"/>
  <c r="D15" i="23" s="1"/>
  <c r="D16" i="23" s="1"/>
  <c r="D17" i="23" s="1"/>
  <c r="H48" i="18"/>
  <c r="H3" i="20" s="1"/>
  <c r="B33" i="23" s="1"/>
  <c r="D48" i="18"/>
  <c r="D3" i="20" s="1"/>
  <c r="B13" i="23" s="1"/>
  <c r="J11" i="6"/>
  <c r="J9" i="23"/>
  <c r="J19" i="23"/>
  <c r="C31" i="6"/>
  <c r="C29" i="23"/>
  <c r="C27" i="6" s="1"/>
  <c r="C34" i="23"/>
  <c r="I19" i="23"/>
  <c r="I20" i="23" s="1"/>
  <c r="I21" i="23" s="1"/>
  <c r="I22" i="23" s="1"/>
  <c r="J6" i="6"/>
  <c r="J4" i="23"/>
  <c r="J5" i="23" s="1"/>
  <c r="E14" i="23"/>
  <c r="E15" i="23" s="1"/>
  <c r="E16" i="23" s="1"/>
  <c r="E17" i="23" s="1"/>
  <c r="N4" i="23"/>
  <c r="C26" i="6"/>
  <c r="C24" i="23"/>
  <c r="C51" i="18"/>
  <c r="C6" i="20" s="1"/>
  <c r="E8" i="23" s="1"/>
  <c r="G51" i="18"/>
  <c r="G6" i="20" s="1"/>
  <c r="E28" i="23" s="1"/>
  <c r="E29" i="23" s="1"/>
  <c r="E30" i="23" s="1"/>
  <c r="E31" i="23" s="1"/>
  <c r="E32" i="23" s="1"/>
  <c r="N14" i="23"/>
  <c r="N15" i="23" s="1"/>
  <c r="N16" i="23" s="1"/>
  <c r="N17" i="23" s="1"/>
  <c r="C16" i="6"/>
  <c r="C14" i="23"/>
  <c r="I24" i="23"/>
  <c r="I25" i="23" s="1"/>
  <c r="I26" i="23" s="1"/>
  <c r="I27" i="23" s="1"/>
  <c r="I4" i="23"/>
  <c r="I2" i="23" s="1"/>
  <c r="H19" i="23"/>
  <c r="H20" i="23" s="1"/>
  <c r="H21" i="23" s="1"/>
  <c r="H22" i="23" s="1"/>
  <c r="G50" i="18"/>
  <c r="G5" i="20" s="1"/>
  <c r="D28" i="23" s="1"/>
  <c r="C50" i="18"/>
  <c r="C5" i="20" s="1"/>
  <c r="D8" i="23" s="1"/>
  <c r="G48" i="18"/>
  <c r="G3" i="20" s="1"/>
  <c r="B28" i="23" s="1"/>
  <c r="C48" i="18"/>
  <c r="C3" i="20" s="1"/>
  <c r="B8" i="23" s="1"/>
  <c r="J31" i="6"/>
  <c r="J34" i="23"/>
  <c r="J29" i="23"/>
  <c r="B48" i="18"/>
  <c r="B3" i="20" s="1"/>
  <c r="B3" i="23" s="1"/>
  <c r="N5" i="23" l="1"/>
  <c r="N6" i="23" s="1"/>
  <c r="N7" i="23" s="1"/>
  <c r="N2" i="6"/>
  <c r="N2" i="23"/>
  <c r="C6" i="23"/>
  <c r="C3" i="6"/>
  <c r="J6" i="23"/>
  <c r="J3" i="6"/>
  <c r="B20" i="23"/>
  <c r="B21" i="23" s="1"/>
  <c r="C25" i="23"/>
  <c r="C22" i="6"/>
  <c r="J20" i="23"/>
  <c r="J17" i="6"/>
  <c r="B9" i="23"/>
  <c r="C10" i="23"/>
  <c r="B4" i="23"/>
  <c r="B5" i="23" s="1"/>
  <c r="E24" i="23"/>
  <c r="E25" i="23" s="1"/>
  <c r="E26" i="23" s="1"/>
  <c r="E27" i="23" s="1"/>
  <c r="C35" i="23"/>
  <c r="C32" i="6"/>
  <c r="J30" i="23"/>
  <c r="J27" i="6"/>
  <c r="B24" i="23"/>
  <c r="B25" i="23" s="1"/>
  <c r="C15" i="23"/>
  <c r="C12" i="6"/>
  <c r="E4" i="23"/>
  <c r="E2" i="23" s="1"/>
  <c r="C30" i="23"/>
  <c r="J10" i="23"/>
  <c r="J7" i="6"/>
  <c r="B34" i="23"/>
  <c r="B35" i="23" s="1"/>
  <c r="B29" i="23"/>
  <c r="B30" i="23" s="1"/>
  <c r="J15" i="23"/>
  <c r="D24" i="23"/>
  <c r="D25" i="23" s="1"/>
  <c r="D26" i="23" s="1"/>
  <c r="D27" i="23" s="1"/>
  <c r="D34" i="23"/>
  <c r="D35" i="23" s="1"/>
  <c r="D36" i="23" s="1"/>
  <c r="D29" i="23"/>
  <c r="D30" i="23" s="1"/>
  <c r="D31" i="23" s="1"/>
  <c r="D32" i="23" s="1"/>
  <c r="J26" i="23"/>
  <c r="J23" i="6"/>
  <c r="B2" i="23"/>
  <c r="J35" i="23"/>
  <c r="J32" i="6"/>
  <c r="D4" i="23"/>
  <c r="D2" i="23" s="1"/>
  <c r="D5" i="23"/>
  <c r="D6" i="23" s="1"/>
  <c r="D7" i="23" s="1"/>
  <c r="I5" i="23"/>
  <c r="I6" i="23" s="1"/>
  <c r="I7" i="23" s="1"/>
  <c r="J2" i="23"/>
  <c r="J2" i="6"/>
  <c r="E34" i="23"/>
  <c r="E35" i="23" s="1"/>
  <c r="E36" i="23" s="1"/>
  <c r="D9" i="23"/>
  <c r="D10" i="23" s="1"/>
  <c r="D11" i="23" s="1"/>
  <c r="D12" i="23" s="1"/>
  <c r="H5" i="23"/>
  <c r="H6" i="23" s="1"/>
  <c r="H7" i="23" s="1"/>
  <c r="C20" i="23"/>
  <c r="C2" i="23"/>
  <c r="C2" i="6"/>
  <c r="B14" i="23"/>
  <c r="B15" i="23" s="1"/>
  <c r="E9" i="23"/>
  <c r="E10" i="23" s="1"/>
  <c r="E11" i="23" s="1"/>
  <c r="E12" i="23" s="1"/>
  <c r="C31" i="17"/>
  <c r="C32" i="17" s="1"/>
  <c r="C33" i="17" s="1"/>
  <c r="C34" i="17" s="1"/>
  <c r="C29" i="17"/>
  <c r="C28" i="17" s="1"/>
  <c r="A23" i="17"/>
  <c r="C35" i="17" l="1"/>
  <c r="C36" i="17" s="1"/>
  <c r="F14" i="16" s="1"/>
  <c r="H2" i="6" s="1"/>
  <c r="F3" i="16"/>
  <c r="E5" i="23"/>
  <c r="E6" i="23" s="1"/>
  <c r="E7" i="23" s="1"/>
  <c r="B26" i="23"/>
  <c r="J16" i="23"/>
  <c r="J13" i="6"/>
  <c r="B22" i="23"/>
  <c r="E19" i="22"/>
  <c r="E3" i="6" s="1"/>
  <c r="I19" i="22"/>
  <c r="E7" i="6" s="1"/>
  <c r="F20" i="22"/>
  <c r="J20" i="22"/>
  <c r="D21" i="22"/>
  <c r="F2" i="6" s="1"/>
  <c r="H21" i="22"/>
  <c r="L21" i="22"/>
  <c r="E22" i="22"/>
  <c r="I3" i="6" s="1"/>
  <c r="I22" i="22"/>
  <c r="I7" i="6" s="1"/>
  <c r="C23" i="22"/>
  <c r="G23" i="22"/>
  <c r="K23" i="22"/>
  <c r="D24" i="22"/>
  <c r="D2" i="6" s="1"/>
  <c r="H24" i="22"/>
  <c r="D6" i="6" s="1"/>
  <c r="L24" i="22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K25" i="22"/>
  <c r="F18" i="22"/>
  <c r="B4" i="6" s="1"/>
  <c r="J18" i="22"/>
  <c r="B8" i="6" s="1"/>
  <c r="C18" i="22"/>
  <c r="F19" i="22"/>
  <c r="E4" i="6" s="1"/>
  <c r="J19" i="22"/>
  <c r="E8" i="6" s="1"/>
  <c r="C20" i="22"/>
  <c r="G20" i="22"/>
  <c r="K20" i="22"/>
  <c r="E21" i="22"/>
  <c r="I21" i="22"/>
  <c r="F22" i="22"/>
  <c r="I4" i="6" s="1"/>
  <c r="J22" i="22"/>
  <c r="I8" i="6" s="1"/>
  <c r="D23" i="22"/>
  <c r="H23" i="22"/>
  <c r="L23" i="22"/>
  <c r="E24" i="22"/>
  <c r="D3" i="6" s="1"/>
  <c r="I24" i="22"/>
  <c r="D7" i="6" s="1"/>
  <c r="H25" i="22"/>
  <c r="L25" i="22"/>
  <c r="G18" i="22"/>
  <c r="B5" i="6" s="1"/>
  <c r="K18" i="22"/>
  <c r="B9" i="6" s="1"/>
  <c r="C19" i="22"/>
  <c r="G19" i="22"/>
  <c r="E5" i="6" s="1"/>
  <c r="K19" i="22"/>
  <c r="E9" i="6" s="1"/>
  <c r="D20" i="22"/>
  <c r="G2" i="6" s="1"/>
  <c r="H20" i="22"/>
  <c r="L20" i="22"/>
  <c r="F21" i="22"/>
  <c r="J21" i="22"/>
  <c r="C22" i="22"/>
  <c r="G22" i="22"/>
  <c r="I5" i="6" s="1"/>
  <c r="K22" i="22"/>
  <c r="I9" i="6" s="1"/>
  <c r="E23" i="22"/>
  <c r="I23" i="22"/>
  <c r="F24" i="22"/>
  <c r="D4" i="6" s="1"/>
  <c r="J24" i="22"/>
  <c r="D8" i="6" s="1"/>
  <c r="I25" i="22"/>
  <c r="D18" i="22"/>
  <c r="H18" i="22"/>
  <c r="B6" i="6" s="1"/>
  <c r="L18" i="22"/>
  <c r="B10" i="6" s="1"/>
  <c r="D19" i="22"/>
  <c r="E2" i="6" s="1"/>
  <c r="H19" i="22"/>
  <c r="E6" i="6" s="1"/>
  <c r="L19" i="22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20" i="22"/>
  <c r="I20" i="22"/>
  <c r="C21" i="22"/>
  <c r="G21" i="22"/>
  <c r="K21" i="22"/>
  <c r="D22" i="22"/>
  <c r="I2" i="6" s="1"/>
  <c r="H22" i="22"/>
  <c r="I6" i="6" s="1"/>
  <c r="L22" i="22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F23" i="22"/>
  <c r="J23" i="22"/>
  <c r="C24" i="22"/>
  <c r="G24" i="22"/>
  <c r="D5" i="6" s="1"/>
  <c r="K24" i="22"/>
  <c r="D9" i="6" s="1"/>
  <c r="J25" i="22"/>
  <c r="E18" i="22"/>
  <c r="I18" i="22"/>
  <c r="B7" i="6" s="1"/>
  <c r="M23" i="22"/>
  <c r="M20" i="22"/>
  <c r="M21" i="22"/>
  <c r="M19" i="22"/>
  <c r="M22" i="22"/>
  <c r="M18" i="22"/>
  <c r="M25" i="22"/>
  <c r="M24" i="22"/>
  <c r="J31" i="23"/>
  <c r="J28" i="6"/>
  <c r="C26" i="23"/>
  <c r="C23" i="6"/>
  <c r="J7" i="23"/>
  <c r="J5" i="6" s="1"/>
  <c r="J4" i="6"/>
  <c r="B36" i="23"/>
  <c r="J11" i="23"/>
  <c r="J8" i="6"/>
  <c r="C21" i="23"/>
  <c r="C18" i="6"/>
  <c r="B16" i="23"/>
  <c r="J36" i="23"/>
  <c r="J34" i="6" s="1"/>
  <c r="J33" i="6"/>
  <c r="J27" i="23"/>
  <c r="J25" i="6" s="1"/>
  <c r="J24" i="6"/>
  <c r="B31" i="23"/>
  <c r="C31" i="23"/>
  <c r="C28" i="6"/>
  <c r="C16" i="23"/>
  <c r="C13" i="6"/>
  <c r="C36" i="23"/>
  <c r="C34" i="6" s="1"/>
  <c r="C33" i="6"/>
  <c r="B6" i="23"/>
  <c r="C11" i="23"/>
  <c r="C8" i="6"/>
  <c r="B10" i="23"/>
  <c r="J21" i="23"/>
  <c r="J18" i="6"/>
  <c r="C7" i="23"/>
  <c r="C5" i="6" s="1"/>
  <c r="C4" i="6"/>
  <c r="B35" i="12"/>
  <c r="C13" i="7" s="1"/>
  <c r="B34" i="12"/>
  <c r="B33" i="12"/>
  <c r="M4" i="23" s="1"/>
  <c r="M7" i="6" l="1"/>
  <c r="M29" i="23"/>
  <c r="M22" i="23"/>
  <c r="M15" i="23"/>
  <c r="M6" i="6"/>
  <c r="M35" i="23"/>
  <c r="B13" i="8"/>
  <c r="D13" i="8"/>
  <c r="J22" i="23"/>
  <c r="J20" i="6" s="1"/>
  <c r="J19" i="6"/>
  <c r="M31" i="23"/>
  <c r="B32" i="23"/>
  <c r="M32" i="23" s="1"/>
  <c r="M23" i="23"/>
  <c r="M19" i="23"/>
  <c r="M28" i="23"/>
  <c r="M8" i="23"/>
  <c r="M33" i="23"/>
  <c r="M18" i="23"/>
  <c r="M13" i="23"/>
  <c r="M3" i="23"/>
  <c r="C29" i="6"/>
  <c r="C32" i="23"/>
  <c r="C30" i="6" s="1"/>
  <c r="M24" i="23"/>
  <c r="M14" i="23"/>
  <c r="C27" i="23"/>
  <c r="C25" i="6" s="1"/>
  <c r="C24" i="6"/>
  <c r="M30" i="23"/>
  <c r="M10" i="6"/>
  <c r="M5" i="6"/>
  <c r="M9" i="23"/>
  <c r="M34" i="23"/>
  <c r="M2" i="23"/>
  <c r="B7" i="23"/>
  <c r="M7" i="23" s="1"/>
  <c r="M6" i="23"/>
  <c r="J12" i="23"/>
  <c r="J10" i="6" s="1"/>
  <c r="J9" i="6"/>
  <c r="M2" i="6"/>
  <c r="M8" i="6"/>
  <c r="M21" i="23"/>
  <c r="M26" i="23"/>
  <c r="B27" i="23"/>
  <c r="M27" i="23" s="1"/>
  <c r="C12" i="23"/>
  <c r="C10" i="6" s="1"/>
  <c r="C9" i="6"/>
  <c r="C22" i="23"/>
  <c r="C20" i="6" s="1"/>
  <c r="C19" i="6"/>
  <c r="B13" i="7"/>
  <c r="D13" i="7"/>
  <c r="C17" i="23"/>
  <c r="C15" i="6" s="1"/>
  <c r="C14" i="6"/>
  <c r="H3" i="6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M3" i="6"/>
  <c r="C13" i="8"/>
  <c r="M10" i="23"/>
  <c r="B11" i="23"/>
  <c r="B17" i="23"/>
  <c r="M17" i="23" s="1"/>
  <c r="M16" i="23"/>
  <c r="M20" i="23"/>
  <c r="M36" i="23"/>
  <c r="J32" i="23"/>
  <c r="J30" i="6" s="1"/>
  <c r="J29" i="6"/>
  <c r="M9" i="6"/>
  <c r="M4" i="6"/>
  <c r="M5" i="23"/>
  <c r="J17" i="23"/>
  <c r="J15" i="6" s="1"/>
  <c r="J14" i="6"/>
  <c r="M25" i="23"/>
  <c r="M11" i="23" l="1"/>
  <c r="B12" i="23"/>
  <c r="M12" i="23" l="1"/>
  <c r="M11" i="6" l="1"/>
  <c r="B13" i="6" l="1"/>
  <c r="M12" i="6"/>
  <c r="B14" i="6" l="1"/>
  <c r="M13" i="6"/>
  <c r="B15" i="6" l="1"/>
  <c r="M14" i="6"/>
  <c r="B16" i="6" l="1"/>
  <c r="M15" i="6"/>
  <c r="B17" i="6" l="1"/>
  <c r="M16" i="6"/>
  <c r="B18" i="6" l="1"/>
  <c r="M17" i="6"/>
  <c r="B19" i="6" l="1"/>
  <c r="M18" i="6"/>
  <c r="B20" i="6" l="1"/>
  <c r="M19" i="6"/>
  <c r="B21" i="6" l="1"/>
  <c r="M20" i="6"/>
  <c r="B22" i="6" l="1"/>
  <c r="M21" i="6"/>
  <c r="B23" i="6" l="1"/>
  <c r="M22" i="6"/>
  <c r="B24" i="6" l="1"/>
  <c r="M23" i="6"/>
  <c r="B25" i="6" l="1"/>
  <c r="M24" i="6"/>
  <c r="B26" i="6" l="1"/>
  <c r="M25" i="6"/>
  <c r="B27" i="6" l="1"/>
  <c r="M26" i="6"/>
  <c r="B28" i="6" l="1"/>
  <c r="M27" i="6"/>
  <c r="B29" i="6" l="1"/>
  <c r="M28" i="6"/>
  <c r="B30" i="6" l="1"/>
  <c r="M29" i="6"/>
  <c r="B31" i="6" l="1"/>
  <c r="M30" i="6"/>
  <c r="B32" i="6" l="1"/>
  <c r="M31" i="6"/>
  <c r="B33" i="6" l="1"/>
  <c r="M32" i="6"/>
  <c r="B34" i="6" l="1"/>
  <c r="M34" i="6" s="1"/>
  <c r="M33" i="6"/>
</calcChain>
</file>

<file path=xl/sharedStrings.xml><?xml version="1.0" encoding="utf-8"?>
<sst xmlns="http://schemas.openxmlformats.org/spreadsheetml/2006/main" count="589" uniqueCount="351">
  <si>
    <t>CCaMC BAU Construction Cost per Unit Capacity</t>
  </si>
  <si>
    <t>CCaMC Annual Fixed O&amp;M Cost per Unit Capacity</t>
  </si>
  <si>
    <t>CCaMC Variable O&amp;M Cost per Unit Elec Output</t>
  </si>
  <si>
    <t>Sources:</t>
  </si>
  <si>
    <t>Sargent and Lundy</t>
  </si>
  <si>
    <t>CERC</t>
  </si>
  <si>
    <t>New Coal-Fired Power Plant Performance and Cost Estimates</t>
  </si>
  <si>
    <t xml:space="preserve">Benchmark Capital Cost Norm for Solar PV power projects and Solar Thermal power projects </t>
  </si>
  <si>
    <t>https://www.epa.gov/sites/production/files/2015-08/documents/coalperform.pdf</t>
  </si>
  <si>
    <t>http://www.cercind.gov.in/2016/orders/SO17.pdf</t>
  </si>
  <si>
    <t>Appendix E: SC and IGCC Power Plant Performance and Cost Estimate Spreadsheets, p.75</t>
  </si>
  <si>
    <t>Notes:</t>
  </si>
  <si>
    <t>Wind and Solar PV are handled differently in the model, relying on endogenous, capacity-based learning</t>
  </si>
  <si>
    <t>curves to determine cost declines.  Therefore, we only specify the start year costs in this document (meaning the year before the first simulated year),</t>
  </si>
  <si>
    <t>hard coal</t>
  </si>
  <si>
    <t>preexisting retiring</t>
  </si>
  <si>
    <t>newly built</t>
  </si>
  <si>
    <t>natural gas nonpeaker</t>
  </si>
  <si>
    <t>natural gas peaker</t>
  </si>
  <si>
    <t>nuclear</t>
  </si>
  <si>
    <t>biomass</t>
  </si>
  <si>
    <t>geothermal</t>
  </si>
  <si>
    <t>Geothermal</t>
  </si>
  <si>
    <t>hydro</t>
  </si>
  <si>
    <t>onshore wind</t>
  </si>
  <si>
    <t>offshore wind</t>
  </si>
  <si>
    <t>solar thermal</t>
  </si>
  <si>
    <t>solar PV</t>
  </si>
  <si>
    <t>Year</t>
  </si>
  <si>
    <t>Supercritical</t>
  </si>
  <si>
    <t>subCritical</t>
  </si>
  <si>
    <t>Base set-up for meeting Target BACT</t>
  </si>
  <si>
    <t>UNITS</t>
  </si>
  <si>
    <r>
      <rPr>
        <b/>
        <sz val="11"/>
        <rFont val="Arial"/>
        <family val="2"/>
      </rPr>
      <t>685MW -
Supercritical PC, Bituminous</t>
    </r>
  </si>
  <si>
    <r>
      <rPr>
        <b/>
        <sz val="11"/>
        <rFont val="Arial"/>
        <family val="2"/>
      </rPr>
      <t>685MW -
Supercritical PC, Lignite</t>
    </r>
  </si>
  <si>
    <r>
      <rPr>
        <b/>
        <sz val="11"/>
        <rFont val="Arial"/>
        <family val="2"/>
      </rPr>
      <t>685MW -
Supercritical PC, PRB</t>
    </r>
  </si>
  <si>
    <r>
      <rPr>
        <b/>
        <sz val="11"/>
        <rFont val="Arial"/>
        <family val="2"/>
      </rPr>
      <t>726 MW - IGCC,
Bituminous</t>
    </r>
  </si>
  <si>
    <r>
      <rPr>
        <b/>
        <sz val="11"/>
        <rFont val="Arial"/>
        <family val="2"/>
      </rPr>
      <t>711MW - IGCC,
Lignite</t>
    </r>
  </si>
  <si>
    <t>727MW - IGCC, PRB</t>
  </si>
  <si>
    <t>limits for NOX &amp; SO2</t>
  </si>
  <si>
    <t>Capital costs</t>
  </si>
  <si>
    <t>Direct &amp; Indirect Costs $1000</t>
  </si>
  <si>
    <t>$/kW Capital Cost based on net</t>
  </si>
  <si>
    <t>$/net-kw</t>
  </si>
  <si>
    <r>
      <rPr>
        <b/>
        <u/>
        <sz val="11"/>
        <rFont val="Arial"/>
        <family val="2"/>
      </rPr>
      <t>Capital Costs</t>
    </r>
  </si>
  <si>
    <t>Costs in year 2008 dollars</t>
  </si>
  <si>
    <r>
      <rPr>
        <b/>
        <u/>
        <sz val="11"/>
        <rFont val="Arial"/>
        <family val="2"/>
      </rPr>
      <t>Fixed O&amp;M Costs</t>
    </r>
  </si>
  <si>
    <t>Fixed O&amp;M Costs</t>
  </si>
  <si>
    <r>
      <rPr>
        <b/>
        <u/>
        <sz val="11"/>
        <rFont val="Arial"/>
        <family val="2"/>
      </rPr>
      <t>Variable O&amp;M Costs  ($/yr)</t>
    </r>
  </si>
  <si>
    <t>Limestone Reagent</t>
  </si>
  <si>
    <t>Lime Reagent, dryFGD, MDEA,Catalysts</t>
  </si>
  <si>
    <t>Activated Carbon</t>
  </si>
  <si>
    <t>Water</t>
  </si>
  <si>
    <t>Bottom Ash Sale/Disposal</t>
  </si>
  <si>
    <t>Fly ash sale/Disposal</t>
  </si>
  <si>
    <t>Gypsum sale/Disposal</t>
  </si>
  <si>
    <t>AC Waste Disposal</t>
  </si>
  <si>
    <t>Ammonia</t>
  </si>
  <si>
    <t>SCR-Catalyst Replacement</t>
  </si>
  <si>
    <t>Bags for Baghouse</t>
  </si>
  <si>
    <t>SO2 Allowances</t>
  </si>
  <si>
    <t>NOx Allowances</t>
  </si>
  <si>
    <t>Other</t>
  </si>
  <si>
    <t>Sulfur Sale</t>
  </si>
  <si>
    <t>N/A</t>
  </si>
  <si>
    <t>Total</t>
  </si>
  <si>
    <t>Variable O&amp;M Costs</t>
  </si>
  <si>
    <t>$/MWh</t>
  </si>
  <si>
    <t>Total Non-Fuel O&amp;M Cost</t>
  </si>
  <si>
    <t>multiplier</t>
  </si>
  <si>
    <t>Capital Costs</t>
  </si>
  <si>
    <t>coal</t>
  </si>
  <si>
    <t>Fixed O&amp;M ($/MW)</t>
  </si>
  <si>
    <t>preexisting nonretiring</t>
  </si>
  <si>
    <t>petroleum</t>
  </si>
  <si>
    <t>lignite</t>
  </si>
  <si>
    <t>Variable O&amp;M ($/MWh)</t>
  </si>
  <si>
    <t>Hard Coal ($/MW)</t>
  </si>
  <si>
    <t>Natural Gas Nonpeaker ($/MW)</t>
  </si>
  <si>
    <t>Nuclear ($/MW)</t>
  </si>
  <si>
    <t>Hydro ($/MW)</t>
  </si>
  <si>
    <t>Onshore Wind ($/MW)</t>
  </si>
  <si>
    <t>Solar PV ($/MW)</t>
  </si>
  <si>
    <t>Solar Thermal ($/MW)</t>
  </si>
  <si>
    <t>Biomass ($/MW)</t>
  </si>
  <si>
    <t>Geothermal ($/MW)</t>
  </si>
  <si>
    <t>Petroleum ($/MW)</t>
  </si>
  <si>
    <t>Natural Gas Peaker ($/MW)</t>
  </si>
  <si>
    <t>Lignite ($/MW)</t>
  </si>
  <si>
    <t>Offshore Wind ($/MW)</t>
  </si>
  <si>
    <t>Solar thermal</t>
  </si>
  <si>
    <t>Conversion Rates</t>
  </si>
  <si>
    <t>Ruppees per dollar</t>
  </si>
  <si>
    <t>Ruppees per Lakh</t>
  </si>
  <si>
    <t>Ruppees per Crore</t>
  </si>
  <si>
    <t>Lakh per Crore</t>
  </si>
  <si>
    <t>India Inflation Rates</t>
  </si>
  <si>
    <t>http://www.inflation.eu/inflation-rates/india/historic-inflation/cpi-inflation-india.aspx</t>
  </si>
  <si>
    <t>Rate</t>
  </si>
  <si>
    <t>Value Indexed to 2012</t>
  </si>
  <si>
    <t>2012 USD</t>
  </si>
  <si>
    <t>Plant Type</t>
  </si>
  <si>
    <t>Description</t>
  </si>
  <si>
    <t>India Cost</t>
  </si>
  <si>
    <t>India Currency Unit</t>
  </si>
  <si>
    <t>India Currency Year</t>
  </si>
  <si>
    <t>US Cost</t>
  </si>
  <si>
    <t>US Currency Year</t>
  </si>
  <si>
    <t>Type of Cost</t>
  </si>
  <si>
    <t>Rs crores/MW</t>
  </si>
  <si>
    <t>n/a</t>
  </si>
  <si>
    <t>IGCC</t>
  </si>
  <si>
    <t>subcritical</t>
  </si>
  <si>
    <t>supercritical</t>
  </si>
  <si>
    <t>ultrasupercritical</t>
  </si>
  <si>
    <t>Model plant type</t>
  </si>
  <si>
    <t>Details</t>
  </si>
  <si>
    <t>IESS Capital Costs (INR Trillion/GW)</t>
  </si>
  <si>
    <t>phwr</t>
  </si>
  <si>
    <t>lwr</t>
  </si>
  <si>
    <t>solar pv</t>
  </si>
  <si>
    <t>average tracking/no-tracking</t>
  </si>
  <si>
    <t>average storage/no storage</t>
  </si>
  <si>
    <t xml:space="preserve">Missing: lignite, petroleum, geothermal, </t>
  </si>
  <si>
    <t>IESS Capital Costs (2012 USD/MW)</t>
  </si>
  <si>
    <t>BAU Deployment for  Weighting</t>
  </si>
  <si>
    <t>large</t>
  </si>
  <si>
    <t>small</t>
  </si>
  <si>
    <t>5 Year Cost Trajectory</t>
  </si>
  <si>
    <t>Cr per MW</t>
  </si>
  <si>
    <t>2012 USD per MW</t>
  </si>
  <si>
    <t>https://mnre.gov.in/file-manager/UserFiles/faq_Geothermal.pdf</t>
  </si>
  <si>
    <t>Lazard</t>
  </si>
  <si>
    <t>Capital Costs ($/MW)</t>
  </si>
  <si>
    <t>Fixed O&amp;M ($/kw-yr)</t>
  </si>
  <si>
    <t>Costs (2017 $), Low Estimates</t>
  </si>
  <si>
    <t>Costs (2012 $), Low Estimates</t>
  </si>
  <si>
    <t>2017 to 2012 USD</t>
  </si>
  <si>
    <r>
      <rPr>
        <b/>
        <sz val="10"/>
        <rFont val="Times New Roman"/>
        <family val="1"/>
      </rPr>
      <t>ASSUMPTIONS FOR ESTIMATING CAPITAL COST OF POWER PROJECTS</t>
    </r>
  </si>
  <si>
    <r>
      <rPr>
        <b/>
        <sz val="10"/>
        <rFont val="Times New Roman"/>
        <family val="1"/>
      </rPr>
      <t>Sl.No.</t>
    </r>
  </si>
  <si>
    <r>
      <rPr>
        <b/>
        <sz val="10"/>
        <rFont val="Times New Roman"/>
        <family val="1"/>
      </rPr>
      <t>Project type</t>
    </r>
  </si>
  <si>
    <r>
      <rPr>
        <b/>
        <sz val="10"/>
        <rFont val="Times New Roman"/>
        <family val="1"/>
      </rPr>
      <t>Capital cost per MW (₹ Crores)</t>
    </r>
  </si>
  <si>
    <r>
      <rPr>
        <sz val="10"/>
        <rFont val="Times New Roman"/>
        <family val="1"/>
      </rPr>
      <t>Coal</t>
    </r>
  </si>
  <si>
    <r>
      <rPr>
        <sz val="10"/>
        <rFont val="Times New Roman"/>
        <family val="1"/>
      </rPr>
      <t>Hydro</t>
    </r>
  </si>
  <si>
    <r>
      <rPr>
        <sz val="10"/>
        <rFont val="Times New Roman"/>
        <family val="1"/>
      </rPr>
      <t>Solar</t>
    </r>
  </si>
  <si>
    <r>
      <rPr>
        <sz val="10"/>
        <rFont val="Times New Roman"/>
        <family val="1"/>
      </rPr>
      <t>Wind</t>
    </r>
  </si>
  <si>
    <r>
      <rPr>
        <sz val="10"/>
        <rFont val="Times New Roman"/>
        <family val="1"/>
      </rPr>
      <t>Biomass</t>
    </r>
  </si>
  <si>
    <r>
      <rPr>
        <sz val="10"/>
        <rFont val="Times New Roman"/>
        <family val="1"/>
      </rPr>
      <t>SHP</t>
    </r>
  </si>
  <si>
    <r>
      <rPr>
        <sz val="10"/>
        <rFont val="Times New Roman"/>
        <family val="1"/>
      </rPr>
      <t>Nuclear (PHWR)</t>
    </r>
  </si>
  <si>
    <r>
      <rPr>
        <sz val="10"/>
        <rFont val="Times New Roman"/>
        <family val="1"/>
      </rPr>
      <t>Nuclear (LWR)</t>
    </r>
  </si>
  <si>
    <t>Capital cost per MW (2012 USD)</t>
  </si>
  <si>
    <t>Hard Coal</t>
  </si>
  <si>
    <t>Small hydro</t>
  </si>
  <si>
    <t>2017-2026 Capital Costs for Coal, Hydro, Nuclear Solar PV, Wind, and Biomass</t>
  </si>
  <si>
    <t>Ministry of Power</t>
  </si>
  <si>
    <t>Annexure 11.1, Tables 1 and 2</t>
  </si>
  <si>
    <t>NITI Aayog</t>
  </si>
  <si>
    <t>India Energy Security Scenarios</t>
  </si>
  <si>
    <t>http://indiaenergy.gov.in/iess/docs/IESS_Version2.2.xlsx</t>
  </si>
  <si>
    <t>Tables  XI, XV.a, XV.b, and XV.c</t>
  </si>
  <si>
    <t>Hard Coal to Lignite Scaling</t>
  </si>
  <si>
    <t>Future Cost Trajectory and Costs for Natural Gas and Offshore Wind</t>
  </si>
  <si>
    <t>Ministry of New and Renewable Energy</t>
  </si>
  <si>
    <t>n.d.</t>
  </si>
  <si>
    <t>Geothermal FAQs</t>
  </si>
  <si>
    <t>All O&amp;M Costs and Nat Gas Peaker/Petroleum Capital Costs</t>
  </si>
  <si>
    <t>https://www.lazard.com/media/450337/lazard-levelized-cost-of-energy-version-110.pdf</t>
  </si>
  <si>
    <t>Except for onshore/offshore wind and solar PV, our general approach is to take start year capital costs</t>
  </si>
  <si>
    <t>cause them to decline at the same rate as costs declined in projections in the IESS 2047 study.</t>
  </si>
  <si>
    <t>We assume MoP's and Lazard's estimates are for hard coal power plants, which are</t>
  </si>
  <si>
    <t>by far the most common in India. We scale our hard coal values by multiplying the values</t>
  </si>
  <si>
    <t>by a scaling factor for average bituminous/PRB plants in the US to lignite plants using a study from Sargent and Lundy.</t>
  </si>
  <si>
    <t>http://www.cea.nic.in/reports/committee/nep/nep_jan_2018.pdf</t>
  </si>
  <si>
    <t>National Electricity Plan - Vol I</t>
  </si>
  <si>
    <t>Levelized Cost of Energy Version 13</t>
  </si>
  <si>
    <t>https://www.lazard.com/media/451086/lazards-levelized-cost-of-energy-version-130-vf.pdf</t>
  </si>
  <si>
    <t>assumed same as nat gas peaker</t>
  </si>
  <si>
    <t>2017 value from Lazard LCOE analysis v11 (not available in v13)</t>
  </si>
  <si>
    <t>same as coal</t>
  </si>
  <si>
    <t>Biomass value is from 2017 (version 11) (not available in 2019)</t>
  </si>
  <si>
    <t>1.     For the period 2017-2027</t>
  </si>
  <si>
    <t>and the model handles calculations for subsequent years.  (We do not use CEA for the start year solar and wind</t>
  </si>
  <si>
    <t>costs, as they are higher than what was actually observed, so we use IESS values)</t>
  </si>
  <si>
    <t>Crude Oil ($/MW)</t>
  </si>
  <si>
    <t>Heavy or Residual Fuel Oil ($/MW)</t>
  </si>
  <si>
    <t>Municipal Solid Waste ($/MW)</t>
  </si>
  <si>
    <t>Capital cost of producing 1GWof electricity from segregated waste</t>
  </si>
  <si>
    <t>Point estimate</t>
  </si>
  <si>
    <t>INR Cr/MW</t>
  </si>
  <si>
    <t>Operating cost of producing 1GWof electricity from segregated waste</t>
  </si>
  <si>
    <t>2012 USD/MW</t>
  </si>
  <si>
    <t>2012 INR/MW</t>
  </si>
  <si>
    <t xml:space="preserve">Cap cost </t>
  </si>
  <si>
    <t>Interpolation</t>
  </si>
  <si>
    <t>Source: IESS v2, Tab VI, Cost Assumptions</t>
  </si>
  <si>
    <t>crude oil</t>
  </si>
  <si>
    <t>heavy or residual fuel oil</t>
  </si>
  <si>
    <t>municipal solid waste</t>
  </si>
  <si>
    <t>Base and future costs for Waste to Energy Plants for MSW</t>
  </si>
  <si>
    <t>Tab VI</t>
  </si>
  <si>
    <t>We assume crude oil and residual fuel based plants to have same value as petroleum.</t>
  </si>
  <si>
    <t>Due to lack of disaggregated costs of O&amp;M for MSW (Waste to Energy) plants, we assume the same</t>
  </si>
  <si>
    <t>variable O&amp;M as biomass. To reduce the impact of any potential double counting of variable O&amp;M within total O&amp;M in</t>
  </si>
  <si>
    <t>(assumed to be 2% lower than the IESS values, which is 8% of cap cost - as variable O&amp;M is accounted separately)</t>
  </si>
  <si>
    <t>the IESS estimates, we take a lower O&amp;M % than what is used in IESS so there is a buffer for variable O&amp;M</t>
  </si>
  <si>
    <t>which is accounted separately here.</t>
  </si>
  <si>
    <t>Capital costs based on CSTEP's techno-economic model using market rates of components</t>
  </si>
  <si>
    <t>https://www.currentscience.ac.in/Volumes/115/02/0222.pdf</t>
  </si>
  <si>
    <t>System size</t>
  </si>
  <si>
    <t>30 MW</t>
  </si>
  <si>
    <t xml:space="preserve">Capital cost </t>
  </si>
  <si>
    <t>Baseline</t>
  </si>
  <si>
    <t>With indigenous manufacturing</t>
  </si>
  <si>
    <t>With indigenous manufacturing
+ economies of scale</t>
  </si>
  <si>
    <t>Average</t>
  </si>
  <si>
    <t xml:space="preserve">INR Cr/MW </t>
  </si>
  <si>
    <t>CERC Benchmark Capital Costs</t>
  </si>
  <si>
    <t>India Currency Year*</t>
  </si>
  <si>
    <t>pp 30-31</t>
  </si>
  <si>
    <t>Solar Thermal - Govt. Benchmark</t>
  </si>
  <si>
    <t>B Suhas</t>
  </si>
  <si>
    <t>Solar Thermal - Techno economic model CSTEM-PT</t>
  </si>
  <si>
    <t>Concentrated solar power in India: current status, challenges and future outlook</t>
  </si>
  <si>
    <t>*Costs assumed to be 2018, based on publication date of the study</t>
  </si>
  <si>
    <t>Page 4</t>
  </si>
  <si>
    <t>In addition, cost reductions are estimated for two cases - a) with indigenous manufacturing; and b) with indigenous manufacturing &amp; economies of scale.</t>
  </si>
  <si>
    <t>Alternate capital cost proposed by Association of Power Producers ----&gt;</t>
  </si>
  <si>
    <t>An average of the 3 cases results in as estimate comparable to the revised capital cost estimate proposed by the Association of Power Producers to CERC.</t>
  </si>
  <si>
    <t>Hence, we choose the average cost for the base year.</t>
  </si>
  <si>
    <t>The benchmark capital costs (2016) from the central regulatory commission (CERC) have been observed to be low based on stakeholder comments within the document.</t>
  </si>
  <si>
    <t>An alternate source is the results from a techno-economic model (CSTEM-PT), which uses costs from industry sources in its baseline estimate (with storage).</t>
  </si>
  <si>
    <t>Hours of thermal storage</t>
  </si>
  <si>
    <t>2019 to 2012 USD</t>
  </si>
  <si>
    <t>Unit: $/MW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</si>
  <si>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</si>
  <si>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</si>
  <si>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</si>
  <si>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</si>
  <si>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</si>
  <si>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</si>
  <si>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</si>
  <si>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</si>
  <si>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</si>
  <si>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</si>
  <si>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</si>
  <si>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</si>
  <si>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</si>
  <si>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</si>
  <si>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(NOT USED)</t>
  </si>
  <si>
    <t>Natural Gas Nonpeaker (NOT USED)</t>
  </si>
  <si>
    <t>Nuclear (NOT USED)</t>
  </si>
  <si>
    <t>Hydro (NOT USED)</t>
  </si>
  <si>
    <t>Solar Thermal (NOT USED)</t>
  </si>
  <si>
    <t>Biomass (NOT USED)</t>
  </si>
  <si>
    <t>Geothermal (NOT USED)</t>
  </si>
  <si>
    <t>Petroleum (NOT USED)</t>
  </si>
  <si>
    <t>Natural Gas Peaker (NOT USED)</t>
  </si>
  <si>
    <t>Lignite (NOT USED)</t>
  </si>
  <si>
    <t>Crude Oil (NOT USED)</t>
  </si>
  <si>
    <t>Heavy or Residual Fuel Oil (NOT USED)</t>
  </si>
  <si>
    <t>Municipal Solid Waste (NOT USED)</t>
  </si>
  <si>
    <t>CCaMC BAU Soft Costs per Unit Capacity</t>
  </si>
  <si>
    <t>For now, we assume soft cost ratios based on US data</t>
  </si>
  <si>
    <t>Soft Cost Share for Onshore Wind</t>
  </si>
  <si>
    <t>U.S. Department of Energy</t>
  </si>
  <si>
    <t>Wind Vision: A New Era for Wind Power in the United States</t>
  </si>
  <si>
    <t>https://www.energy.gov/sites/prod/files/wv_chapter2_wind_power_in_the_united_states.pdf</t>
  </si>
  <si>
    <t>Page 13, Figure 2-8</t>
  </si>
  <si>
    <t>Soft Cost Share for Solar PV</t>
  </si>
  <si>
    <t>NREL</t>
  </si>
  <si>
    <t>U.S. Solar Photovoltaic System Cost Benchmark: Q1 2018</t>
  </si>
  <si>
    <t>https://www.nrel.gov/docs/fy17osti/68925.pdf</t>
  </si>
  <si>
    <t>Page viii, Figure ES-2</t>
  </si>
  <si>
    <t>Soft Cost Share for Offshore Wind</t>
  </si>
  <si>
    <t>Offshore Wind Balance-of-System Cost Modeling</t>
  </si>
  <si>
    <t>https://www.nrel.gov/docs/fy15osti/64789.pdf</t>
  </si>
  <si>
    <t>Category</t>
  </si>
  <si>
    <t>Item</t>
  </si>
  <si>
    <t>Cost %</t>
  </si>
  <si>
    <t>Turbine</t>
  </si>
  <si>
    <t>Rotor</t>
  </si>
  <si>
    <t>ATB Moderate</t>
  </si>
  <si>
    <t>Drivetrain</t>
  </si>
  <si>
    <t>ATB Advanced</t>
  </si>
  <si>
    <t>Tower</t>
  </si>
  <si>
    <t>Balance of Plant</t>
  </si>
  <si>
    <t>Foundations</t>
  </si>
  <si>
    <t>Class 1 - Moderate</t>
  </si>
  <si>
    <t>Turbine transporation</t>
  </si>
  <si>
    <t>Class 2 - Moderate</t>
  </si>
  <si>
    <t>Roads and civil work</t>
  </si>
  <si>
    <t>Class 3 - Moderate</t>
  </si>
  <si>
    <t>Assembly and installation</t>
  </si>
  <si>
    <t>Class 4 - Moderate</t>
  </si>
  <si>
    <t>Electrical interface</t>
  </si>
  <si>
    <t>Development</t>
  </si>
  <si>
    <t>Class 1 - Advanced</t>
  </si>
  <si>
    <t>Project management</t>
  </si>
  <si>
    <t>Class 2 - Advanced</t>
  </si>
  <si>
    <t>Construction finance</t>
  </si>
  <si>
    <t>Class 3 - Advanced</t>
  </si>
  <si>
    <t>Contingency</t>
  </si>
  <si>
    <t>Class 4 - Advanced</t>
  </si>
  <si>
    <t>Cost share not subject to R&amp;D-driven reductions (Soft Costs under EPS definition)</t>
  </si>
  <si>
    <t>CAPEX ($/kW) - Moderate</t>
  </si>
  <si>
    <t>Fixed O&amp;M</t>
  </si>
  <si>
    <t>Variable O&amp;M</t>
  </si>
  <si>
    <t>Potential Wind Plant Capacity (GW)</t>
  </si>
  <si>
    <t>Class 1</t>
  </si>
  <si>
    <t>Class 2</t>
  </si>
  <si>
    <t>Class 3</t>
  </si>
  <si>
    <t>Class 4</t>
  </si>
  <si>
    <t>2012 to 2018 conversion</t>
  </si>
  <si>
    <t xml:space="preserve">EPS Cost, 25% Fraction of Tech </t>
  </si>
  <si>
    <t>Time (Year)</t>
  </si>
  <si>
    <t>Construction Cost per Unit Capacity before Construction Subsidies[onshore wind es] : MostRecentRun</t>
  </si>
  <si>
    <t>Adjusted Costs</t>
  </si>
  <si>
    <t>Fixed substructure, Balance of System Components</t>
  </si>
  <si>
    <t>Electrical infrastructure</t>
  </si>
  <si>
    <t>Substructure and foundation</t>
  </si>
  <si>
    <t>Plant commissioning</t>
  </si>
  <si>
    <t>Class 8 - Moderate</t>
  </si>
  <si>
    <t>Engineering and management</t>
  </si>
  <si>
    <t>Class 9 - Moderate</t>
  </si>
  <si>
    <t>Port &amp; staging</t>
  </si>
  <si>
    <t>Technology Cost Share</t>
  </si>
  <si>
    <t>Balance of System Cost Share</t>
  </si>
  <si>
    <t>Class 8 - Advanced</t>
  </si>
  <si>
    <t>Class 9 - Advanced</t>
  </si>
  <si>
    <t>We treat substructure and foundation as an R&amp;D-driven cost for offshore turbines.</t>
  </si>
  <si>
    <t>CAPEX ($/kW)</t>
  </si>
  <si>
    <t>Potential Capacity (GW)</t>
  </si>
  <si>
    <t>Class 1 - Offshore Fixed</t>
  </si>
  <si>
    <t>Class 2 - Offshore Fixed</t>
  </si>
  <si>
    <t>Floating substructure, Balance of System Components</t>
  </si>
  <si>
    <t>Class 8 - Offshore Floating</t>
  </si>
  <si>
    <t>Class 9 - Offshore Floating</t>
  </si>
  <si>
    <t>Construction Cost per Unit Capacity before Construction Subsidies[offshore wind es] : MostRecentRun</t>
  </si>
  <si>
    <t>Average EPS Soft Costs for fixed and floating offshore turbines</t>
  </si>
  <si>
    <t>Solar PV Type</t>
  </si>
  <si>
    <t>Non-Hardware Cost %</t>
  </si>
  <si>
    <t>Utility PV - Seattle - Advanced</t>
  </si>
  <si>
    <t>Residential</t>
  </si>
  <si>
    <t>Utility PV - Seattle - Moderate</t>
  </si>
  <si>
    <t>Commercial</t>
  </si>
  <si>
    <t>Utility PV - Seattle - Conservative</t>
  </si>
  <si>
    <t>Utility-Scale</t>
  </si>
  <si>
    <t>This variable refers to utility-scale solar PV, so we use the utility-scale figure.</t>
  </si>
  <si>
    <t>EPS Cost</t>
  </si>
  <si>
    <t>Construction Cost per Unit Capacity before Construction Subsidies[solar PV es] : MostRecentRun</t>
  </si>
  <si>
    <t>Inflation Adjusted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</si>
</sst>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5" formatCode="&quot;$&quot;#,##0_);\(&quot;$&quot;#,##0\)"/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0.000"/>
    <numFmt numFmtId="167" formatCode="\$#,##0;\$#,##0"/>
    <numFmt numFmtId="168" formatCode="#,##0;#,##0"/>
    <numFmt numFmtId="169" formatCode="###0;###0"/>
    <numFmt numFmtId="170" formatCode="###0.00;###0.00"/>
    <numFmt numFmtId="171" formatCode="###0.0;###0.0"/>
    <numFmt numFmtId="172" formatCode="0.0%"/>
    <numFmt numFmtId="173" formatCode="&quot;$&quot;#,##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6"/>
      <name val="Calibri"/>
      <family val="2"/>
    </font>
    <font>
      <u/>
      <sz val="10"/>
      <color theme="4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rgb="FF33000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name val="Times New Roman"/>
      <family val="1"/>
    </font>
    <font>
      <b/>
      <i/>
      <sz val="10"/>
      <name val="Times New Roman"/>
      <family val="1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/>
      </top>
      <bottom style="thick">
        <color theme="0"/>
      </bottom>
      <diagonal/>
    </border>
  </borders>
  <cellStyleXfs count="17">
    <xf numFmtId="0" fontId="0" fillId="0" borderId="0"/>
    <xf numFmtId="0" fontId="2" fillId="0" borderId="0" applyNumberFormat="0" applyProtection="0">
      <alignment horizontal="left"/>
    </xf>
    <xf numFmtId="0" fontId="3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4" applyNumberFormat="0" applyProtection="0">
      <alignment vertical="top" wrapText="1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3" fillId="0" borderId="5" applyNumberFormat="0" applyProtection="0">
      <alignment horizontal="left" wrapText="1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6" applyNumberFormat="0" applyFont="0" applyFill="0" applyProtection="0">
      <alignment wrapText="1"/>
    </xf>
    <xf numFmtId="0" fontId="3" fillId="0" borderId="7" applyNumberFormat="0" applyFill="0" applyProtection="0">
      <alignment wrapText="1"/>
    </xf>
    <xf numFmtId="164" fontId="13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4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5" fillId="0" borderId="0" xfId="5"/>
    <xf numFmtId="1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1" fontId="0" fillId="0" borderId="0" xfId="0" applyNumberFormat="1" applyFill="1" applyBorder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right"/>
    </xf>
    <xf numFmtId="1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" fontId="0" fillId="3" borderId="0" xfId="0" applyNumberFormat="1" applyFill="1"/>
    <xf numFmtId="0" fontId="0" fillId="0" borderId="0" xfId="0"/>
    <xf numFmtId="166" fontId="0" fillId="0" borderId="0" xfId="0" applyNumberFormat="1" applyFont="1" applyFill="1" applyBorder="1" applyAlignment="1">
      <alignment horizontal="right"/>
    </xf>
    <xf numFmtId="0" fontId="0" fillId="0" borderId="8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center" wrapText="1"/>
    </xf>
    <xf numFmtId="167" fontId="9" fillId="0" borderId="8" xfId="0" applyNumberFormat="1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168" fontId="9" fillId="0" borderId="8" xfId="0" applyNumberFormat="1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168" fontId="9" fillId="0" borderId="9" xfId="0" applyNumberFormat="1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167" fontId="9" fillId="0" borderId="11" xfId="0" applyNumberFormat="1" applyFont="1" applyFill="1" applyBorder="1" applyAlignment="1">
      <alignment horizontal="left" vertical="top" wrapText="1"/>
    </xf>
    <xf numFmtId="168" fontId="9" fillId="0" borderId="11" xfId="0" applyNumberFormat="1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168" fontId="9" fillId="0" borderId="11" xfId="0" applyNumberFormat="1" applyFont="1" applyFill="1" applyBorder="1" applyAlignment="1">
      <alignment horizontal="center" vertical="top" wrapText="1"/>
    </xf>
    <xf numFmtId="169" fontId="9" fillId="0" borderId="11" xfId="0" applyNumberFormat="1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left" vertical="top" wrapText="1"/>
    </xf>
    <xf numFmtId="170" fontId="9" fillId="0" borderId="10" xfId="0" applyNumberFormat="1" applyFont="1" applyFill="1" applyBorder="1" applyAlignment="1">
      <alignment horizontal="center" vertical="top" wrapText="1"/>
    </xf>
    <xf numFmtId="167" fontId="9" fillId="0" borderId="9" xfId="0" applyNumberFormat="1" applyFont="1" applyFill="1" applyBorder="1" applyAlignment="1">
      <alignment horizontal="left" vertical="top" wrapText="1"/>
    </xf>
    <xf numFmtId="168" fontId="9" fillId="0" borderId="9" xfId="0" applyNumberFormat="1" applyFont="1" applyFill="1" applyBorder="1" applyAlignment="1">
      <alignment horizontal="left" vertical="top" wrapText="1"/>
    </xf>
    <xf numFmtId="0" fontId="0" fillId="0" borderId="0" xfId="0" applyFont="1"/>
    <xf numFmtId="0" fontId="10" fillId="0" borderId="0" xfId="0" applyFont="1" applyFill="1" applyBorder="1" applyAlignment="1">
      <alignment horizontal="left" vertical="top" wrapText="1"/>
    </xf>
    <xf numFmtId="2" fontId="0" fillId="0" borderId="0" xfId="0" applyNumberFormat="1" applyFont="1"/>
    <xf numFmtId="0" fontId="12" fillId="0" borderId="0" xfId="5" applyFont="1"/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Border="1"/>
    <xf numFmtId="0" fontId="1" fillId="0" borderId="16" xfId="0" applyFont="1" applyBorder="1"/>
    <xf numFmtId="0" fontId="0" fillId="0" borderId="15" xfId="0" applyBorder="1"/>
    <xf numFmtId="0" fontId="0" fillId="2" borderId="0" xfId="0" applyFill="1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2" borderId="18" xfId="0" applyFill="1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8" fontId="14" fillId="0" borderId="0" xfId="0" applyNumberFormat="1" applyFont="1"/>
    <xf numFmtId="8" fontId="0" fillId="2" borderId="0" xfId="0" applyNumberFormat="1" applyFill="1" applyBorder="1"/>
    <xf numFmtId="8" fontId="0" fillId="0" borderId="0" xfId="0" applyNumberFormat="1" applyFill="1" applyBorder="1"/>
    <xf numFmtId="8" fontId="0" fillId="2" borderId="18" xfId="0" applyNumberFormat="1" applyFill="1" applyBorder="1"/>
    <xf numFmtId="0" fontId="1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69" fontId="16" fillId="0" borderId="20" xfId="0" applyNumberFormat="1" applyFont="1" applyFill="1" applyBorder="1" applyAlignment="1">
      <alignment horizontal="center" vertical="top" wrapText="1"/>
    </xf>
    <xf numFmtId="0" fontId="17" fillId="0" borderId="20" xfId="0" applyFont="1" applyFill="1" applyBorder="1" applyAlignment="1">
      <alignment horizontal="center" vertical="top" wrapText="1"/>
    </xf>
    <xf numFmtId="171" fontId="16" fillId="0" borderId="20" xfId="0" applyNumberFormat="1" applyFont="1" applyFill="1" applyBorder="1" applyAlignment="1">
      <alignment horizontal="center" vertical="top" wrapText="1"/>
    </xf>
    <xf numFmtId="170" fontId="16" fillId="0" borderId="20" xfId="0" applyNumberFormat="1" applyFont="1" applyFill="1" applyBorder="1" applyAlignment="1">
      <alignment horizontal="center" vertical="top" wrapText="1"/>
    </xf>
    <xf numFmtId="0" fontId="17" fillId="0" borderId="20" xfId="0" applyFont="1" applyFill="1" applyBorder="1" applyAlignment="1">
      <alignment horizontal="left" vertical="top" wrapText="1"/>
    </xf>
    <xf numFmtId="0" fontId="0" fillId="0" borderId="20" xfId="0" applyBorder="1"/>
    <xf numFmtId="0" fontId="15" fillId="0" borderId="20" xfId="0" applyFont="1" applyFill="1" applyBorder="1" applyAlignment="1">
      <alignment horizontal="left" vertical="top" wrapText="1"/>
    </xf>
    <xf numFmtId="0" fontId="15" fillId="0" borderId="20" xfId="0" applyFont="1" applyFill="1" applyBorder="1" applyAlignment="1">
      <alignment vertical="top" wrapText="1"/>
    </xf>
    <xf numFmtId="0" fontId="18" fillId="0" borderId="20" xfId="0" applyFont="1" applyFill="1" applyBorder="1" applyAlignment="1">
      <alignment horizontal="left" vertical="top" wrapText="1"/>
    </xf>
    <xf numFmtId="2" fontId="19" fillId="0" borderId="20" xfId="0" applyNumberFormat="1" applyFont="1" applyBorder="1"/>
    <xf numFmtId="0" fontId="15" fillId="0" borderId="20" xfId="0" applyFont="1" applyFill="1" applyBorder="1" applyAlignment="1">
      <alignment vertical="top"/>
    </xf>
    <xf numFmtId="0" fontId="5" fillId="0" borderId="0" xfId="5" applyAlignment="1">
      <alignment horizontal="left"/>
    </xf>
    <xf numFmtId="9" fontId="20" fillId="0" borderId="0" xfId="0" applyNumberFormat="1" applyFont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2" fontId="0" fillId="4" borderId="20" xfId="0" applyNumberFormat="1" applyFill="1" applyBorder="1"/>
    <xf numFmtId="0" fontId="20" fillId="0" borderId="0" xfId="0" applyFont="1"/>
    <xf numFmtId="0" fontId="19" fillId="0" borderId="0" xfId="0" applyFont="1"/>
    <xf numFmtId="0" fontId="1" fillId="0" borderId="0" xfId="0" applyFont="1" applyAlignment="1">
      <alignment wrapText="1"/>
    </xf>
    <xf numFmtId="0" fontId="1" fillId="0" borderId="0" xfId="0" applyNumberFormat="1" applyFo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wrapText="1"/>
    </xf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5" fontId="0" fillId="0" borderId="0" xfId="0" applyNumberFormat="1" applyFill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left" wrapText="1"/>
    </xf>
    <xf numFmtId="0" fontId="0" fillId="0" borderId="9" xfId="0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vertical="top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left" vertical="top" wrapText="1"/>
    </xf>
    <xf numFmtId="0" fontId="21" fillId="0" borderId="0" xfId="15" applyNumberFormat="1" applyFont="1"/>
    <xf numFmtId="1" fontId="0" fillId="0" borderId="0" xfId="0" applyNumberFormat="1" applyFont="1"/>
    <xf numFmtId="1" fontId="0" fillId="2" borderId="0" xfId="0" applyNumberFormat="1" applyFill="1"/>
    <xf numFmtId="0" fontId="1" fillId="5" borderId="0" xfId="0" applyFont="1" applyFill="1"/>
    <xf numFmtId="0" fontId="0" fillId="5" borderId="0" xfId="0" applyFill="1"/>
    <xf numFmtId="0" fontId="1" fillId="2" borderId="0" xfId="0" applyFont="1" applyFill="1" applyAlignment="1">
      <alignment horizontal="right"/>
    </xf>
    <xf numFmtId="0" fontId="22" fillId="0" borderId="28" xfId="0" applyFont="1" applyBorder="1"/>
    <xf numFmtId="5" fontId="13" fillId="6" borderId="29" xfId="0" applyNumberFormat="1" applyFont="1" applyFill="1" applyBorder="1"/>
    <xf numFmtId="0" fontId="13" fillId="0" borderId="0" xfId="0" applyFont="1"/>
    <xf numFmtId="0" fontId="22" fillId="0" borderId="0" xfId="0" applyFont="1"/>
    <xf numFmtId="5" fontId="13" fillId="6" borderId="30" xfId="0" applyNumberFormat="1" applyFont="1" applyFill="1" applyBorder="1"/>
    <xf numFmtId="3" fontId="13" fillId="7" borderId="31" xfId="0" applyNumberFormat="1" applyFont="1" applyFill="1" applyBorder="1" applyAlignment="1">
      <alignment horizontal="center" vertical="center" wrapText="1"/>
    </xf>
    <xf numFmtId="172" fontId="0" fillId="4" borderId="0" xfId="0" applyNumberFormat="1" applyFill="1"/>
    <xf numFmtId="9" fontId="0" fillId="0" borderId="0" xfId="16" applyFont="1"/>
    <xf numFmtId="3" fontId="13" fillId="0" borderId="32" xfId="0" applyNumberFormat="1" applyFont="1" applyBorder="1" applyAlignment="1">
      <alignment horizontal="center" vertical="center" wrapText="1"/>
    </xf>
    <xf numFmtId="3" fontId="13" fillId="7" borderId="32" xfId="0" applyNumberFormat="1" applyFont="1" applyFill="1" applyBorder="1" applyAlignment="1">
      <alignment horizontal="center" vertical="center" wrapText="1"/>
    </xf>
    <xf numFmtId="11" fontId="0" fillId="0" borderId="0" xfId="0" applyNumberFormat="1"/>
    <xf numFmtId="173" fontId="13" fillId="8" borderId="30" xfId="0" applyNumberFormat="1" applyFont="1" applyFill="1" applyBorder="1"/>
    <xf numFmtId="173" fontId="13" fillId="8" borderId="33" xfId="0" applyNumberFormat="1" applyFont="1" applyFill="1" applyBorder="1"/>
    <xf numFmtId="173" fontId="13" fillId="8" borderId="29" xfId="0" applyNumberFormat="1" applyFont="1" applyFill="1" applyBorder="1"/>
    <xf numFmtId="173" fontId="13" fillId="8" borderId="34" xfId="0" applyNumberFormat="1" applyFont="1" applyFill="1" applyBorder="1"/>
    <xf numFmtId="172" fontId="0" fillId="0" borderId="0" xfId="0" applyNumberFormat="1"/>
    <xf numFmtId="0" fontId="22" fillId="0" borderId="35" xfId="0" applyFont="1" applyBorder="1"/>
    <xf numFmtId="5" fontId="13" fillId="6" borderId="36" xfId="0" applyNumberFormat="1" applyFont="1" applyFill="1" applyBorder="1"/>
    <xf numFmtId="9" fontId="0" fillId="4" borderId="0" xfId="0" applyNumberFormat="1" applyFill="1"/>
    <xf numFmtId="1" fontId="0" fillId="9" borderId="0" xfId="0" applyNumberFormat="1" applyFill="1"/>
    <xf numFmtId="1" fontId="0" fillId="10" borderId="0" xfId="0" applyNumberFormat="1" applyFill="1"/>
    <xf numFmtId="1" fontId="0" fillId="0" borderId="0" xfId="0" applyNumberFormat="1" applyFont="1" applyFill="1"/>
    <xf numFmtId="1" fontId="0" fillId="10" borderId="0" xfId="0" applyNumberFormat="1" applyFont="1" applyFill="1"/>
  </cellXfs>
  <cellStyles count="17">
    <cellStyle name="Body: normal cell" xfId="4" xr:uid="{00000000-0005-0000-0000-000000000000}"/>
    <cellStyle name="Comma" xfId="15" builtinId="3"/>
    <cellStyle name="Comma 2" xfId="14" xr:uid="{00000000-0005-0000-0000-000001000000}"/>
    <cellStyle name="Followed Hyperlink" xfId="8" builtinId="9" customBuiltin="1"/>
    <cellStyle name="Font: Calibri, 9pt regular" xfId="6" xr:uid="{00000000-0005-0000-0000-000003000000}"/>
    <cellStyle name="Footnotes: all except top row" xfId="9" xr:uid="{00000000-0005-0000-0000-000004000000}"/>
    <cellStyle name="Footnotes: top row" xfId="7" xr:uid="{00000000-0005-0000-0000-000005000000}"/>
    <cellStyle name="Header: bottom row" xfId="2" xr:uid="{00000000-0005-0000-0000-000006000000}"/>
    <cellStyle name="Header: top rows" xfId="10" xr:uid="{00000000-0005-0000-0000-000007000000}"/>
    <cellStyle name="Hyperlink" xfId="5" builtinId="8"/>
    <cellStyle name="Hyperlink 2" xfId="11" xr:uid="{00000000-0005-0000-0000-000009000000}"/>
    <cellStyle name="Normal" xfId="0" builtinId="0"/>
    <cellStyle name="Parent row" xfId="3" xr:uid="{00000000-0005-0000-0000-00000B000000}"/>
    <cellStyle name="Percent" xfId="16" builtinId="5"/>
    <cellStyle name="Section Break" xfId="12" xr:uid="{00000000-0005-0000-0000-00000C000000}"/>
    <cellStyle name="Section Break: parent row" xfId="13" xr:uid="{00000000-0005-0000-0000-00000D000000}"/>
    <cellStyle name="Table title" xfId="1" xr:uid="{00000000-0005-0000-0000-00000E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Solar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Data'!$H$73:$AM$73</c:f>
              <c:numCache>
                <c:formatCode>"$"#,##0_);\("$"#,##0\)</c:formatCode>
                <c:ptCount val="32"/>
                <c:pt idx="0">
                  <c:v>1405.2587147241061</c:v>
                </c:pt>
                <c:pt idx="1">
                  <c:v>1353.5428568822824</c:v>
                </c:pt>
                <c:pt idx="2">
                  <c:v>1301.826999040459</c:v>
                </c:pt>
                <c:pt idx="3">
                  <c:v>1250.1111411986353</c:v>
                </c:pt>
                <c:pt idx="4">
                  <c:v>1198.3952833568119</c:v>
                </c:pt>
                <c:pt idx="5">
                  <c:v>1146.6794255149882</c:v>
                </c:pt>
                <c:pt idx="6">
                  <c:v>1094.9635676731648</c:v>
                </c:pt>
                <c:pt idx="7">
                  <c:v>1043.2477098313411</c:v>
                </c:pt>
                <c:pt idx="8">
                  <c:v>991.53185198951746</c:v>
                </c:pt>
                <c:pt idx="9">
                  <c:v>939.81599414769391</c:v>
                </c:pt>
                <c:pt idx="10">
                  <c:v>888.10013630587036</c:v>
                </c:pt>
                <c:pt idx="11">
                  <c:v>836.38427846404704</c:v>
                </c:pt>
                <c:pt idx="12">
                  <c:v>828.95462897379696</c:v>
                </c:pt>
                <c:pt idx="13">
                  <c:v>821.52497948354687</c:v>
                </c:pt>
                <c:pt idx="14">
                  <c:v>814.09532999329679</c:v>
                </c:pt>
                <c:pt idx="15">
                  <c:v>806.6656805030467</c:v>
                </c:pt>
                <c:pt idx="16">
                  <c:v>799.23603101279662</c:v>
                </c:pt>
                <c:pt idx="17">
                  <c:v>791.80638152254653</c:v>
                </c:pt>
                <c:pt idx="18">
                  <c:v>784.37673203229645</c:v>
                </c:pt>
                <c:pt idx="19">
                  <c:v>776.94708254204636</c:v>
                </c:pt>
                <c:pt idx="20">
                  <c:v>769.51743305179627</c:v>
                </c:pt>
                <c:pt idx="21">
                  <c:v>762.08778356154619</c:v>
                </c:pt>
                <c:pt idx="22">
                  <c:v>754.65813407129599</c:v>
                </c:pt>
                <c:pt idx="23">
                  <c:v>747.2284845810459</c:v>
                </c:pt>
                <c:pt idx="24">
                  <c:v>739.79883509079582</c:v>
                </c:pt>
                <c:pt idx="25">
                  <c:v>732.36918560054573</c:v>
                </c:pt>
                <c:pt idx="26">
                  <c:v>724.93953611029565</c:v>
                </c:pt>
                <c:pt idx="27">
                  <c:v>717.50988662004556</c:v>
                </c:pt>
                <c:pt idx="28">
                  <c:v>710.08023712979548</c:v>
                </c:pt>
                <c:pt idx="29">
                  <c:v>702.65058763954539</c:v>
                </c:pt>
                <c:pt idx="30">
                  <c:v>695.22093814929531</c:v>
                </c:pt>
                <c:pt idx="31">
                  <c:v>687.7912886590459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5-4DED-8461-B0DA55987B2A}"/>
            </c:ext>
          </c:extLst>
        </c:ser>
        <c:ser>
          <c:idx val="1"/>
          <c:order val="1"/>
          <c:tx>
            <c:v>EPS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Data'!$H$81:$AM$81</c:f>
              <c:numCache>
                <c:formatCode>0.00E+00</c:formatCode>
                <c:ptCount val="32"/>
                <c:pt idx="0">
                  <c:v>1405.4595185995624</c:v>
                </c:pt>
                <c:pt idx="1">
                  <c:v>1344.6827133479212</c:v>
                </c:pt>
                <c:pt idx="2">
                  <c:v>1289.5623632385118</c:v>
                </c:pt>
                <c:pt idx="3">
                  <c:v>1242.9431072210064</c:v>
                </c:pt>
                <c:pt idx="4">
                  <c:v>1187.7899343544857</c:v>
                </c:pt>
                <c:pt idx="5">
                  <c:v>1136.8927789934355</c:v>
                </c:pt>
                <c:pt idx="6">
                  <c:v>1089.0087527352296</c:v>
                </c:pt>
                <c:pt idx="7">
                  <c:v>1027.6969365426696</c:v>
                </c:pt>
                <c:pt idx="8">
                  <c:v>974.52625820568926</c:v>
                </c:pt>
                <c:pt idx="9">
                  <c:v>929.80962800875272</c:v>
                </c:pt>
                <c:pt idx="10">
                  <c:v>885.16301969365418</c:v>
                </c:pt>
                <c:pt idx="11">
                  <c:v>840.62363238512023</c:v>
                </c:pt>
                <c:pt idx="12">
                  <c:v>828.10393873085343</c:v>
                </c:pt>
                <c:pt idx="13">
                  <c:v>816.15973741794312</c:v>
                </c:pt>
                <c:pt idx="14">
                  <c:v>805.31072210065633</c:v>
                </c:pt>
                <c:pt idx="15">
                  <c:v>794.3555798687089</c:v>
                </c:pt>
                <c:pt idx="16">
                  <c:v>783.92122538293211</c:v>
                </c:pt>
                <c:pt idx="17">
                  <c:v>774.6312910284463</c:v>
                </c:pt>
                <c:pt idx="18">
                  <c:v>766.08862144420118</c:v>
                </c:pt>
                <c:pt idx="19">
                  <c:v>757.90481400437625</c:v>
                </c:pt>
                <c:pt idx="20">
                  <c:v>750.29321663019687</c:v>
                </c:pt>
                <c:pt idx="21">
                  <c:v>743.52844638949671</c:v>
                </c:pt>
                <c:pt idx="22">
                  <c:v>736.84354485776794</c:v>
                </c:pt>
                <c:pt idx="23">
                  <c:v>731.14113785557981</c:v>
                </c:pt>
                <c:pt idx="24">
                  <c:v>725.7056892778993</c:v>
                </c:pt>
                <c:pt idx="25">
                  <c:v>720.52516411378554</c:v>
                </c:pt>
                <c:pt idx="26">
                  <c:v>715.95076586433254</c:v>
                </c:pt>
                <c:pt idx="27">
                  <c:v>711.42669584245073</c:v>
                </c:pt>
                <c:pt idx="28">
                  <c:v>707.39387308533912</c:v>
                </c:pt>
                <c:pt idx="29">
                  <c:v>703.56564551422309</c:v>
                </c:pt>
                <c:pt idx="30">
                  <c:v>700.04814004376362</c:v>
                </c:pt>
                <c:pt idx="31">
                  <c:v>696.68161925601748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5-4DED-8461-B0DA55987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556192"/>
        <c:axId val="1246554224"/>
      </c:lineChart>
      <c:catAx>
        <c:axId val="124655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4224"/>
        <c:crosses val="autoZero"/>
        <c:auto val="1"/>
        <c:lblAlgn val="ctr"/>
        <c:lblOffset val="100"/>
        <c:noMultiLvlLbl val="0"/>
      </c:catAx>
      <c:valAx>
        <c:axId val="12465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Offshore Wind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Data'!$H$33:$AM$33</c:f>
              <c:numCache>
                <c:formatCode>"$"#,##0_);\("$"#,##0\)</c:formatCode>
                <c:ptCount val="32"/>
                <c:pt idx="0">
                  <c:v>4837.8531553008725</c:v>
                </c:pt>
                <c:pt idx="1">
                  <c:v>4537.6571030202886</c:v>
                </c:pt>
                <c:pt idx="2">
                  <c:v>4270.6520093489053</c:v>
                </c:pt>
                <c:pt idx="3">
                  <c:v>4030.1803043655764</c:v>
                </c:pt>
                <c:pt idx="4">
                  <c:v>3812.7734327200283</c:v>
                </c:pt>
                <c:pt idx="5">
                  <c:v>3616.1579001970217</c:v>
                </c:pt>
                <c:pt idx="6">
                  <c:v>3438.6109601798307</c:v>
                </c:pt>
                <c:pt idx="7">
                  <c:v>3278.69937654351</c:v>
                </c:pt>
                <c:pt idx="8">
                  <c:v>3135.1567828107145</c:v>
                </c:pt>
                <c:pt idx="9">
                  <c:v>3006.8198067468188</c:v>
                </c:pt>
                <c:pt idx="10">
                  <c:v>2892.5921062659472</c:v>
                </c:pt>
                <c:pt idx="11">
                  <c:v>2791.4228503166478</c:v>
                </c:pt>
                <c:pt idx="12">
                  <c:v>2702.2931973338405</c:v>
                </c:pt>
                <c:pt idx="13">
                  <c:v>2624.2074499793666</c:v>
                </c:pt>
                <c:pt idx="14">
                  <c:v>2556.1870704012108</c:v>
                </c:pt>
                <c:pt idx="15">
                  <c:v>2497.2665130374967</c:v>
                </c:pt>
                <c:pt idx="16">
                  <c:v>2446.4902503466587</c:v>
                </c:pt>
                <c:pt idx="17">
                  <c:v>2402.9106037684251</c:v>
                </c:pt>
                <c:pt idx="18">
                  <c:v>2365.5861316963856</c:v>
                </c:pt>
                <c:pt idx="19">
                  <c:v>2333.5804111657576</c:v>
                </c:pt>
                <c:pt idx="20">
                  <c:v>2305.9611032193111</c:v>
                </c:pt>
                <c:pt idx="21">
                  <c:v>2281.7992262022781</c:v>
                </c:pt>
                <c:pt idx="22">
                  <c:v>2260.1685838331068</c:v>
                </c:pt>
                <c:pt idx="23">
                  <c:v>2240.1453101034358</c:v>
                </c:pt>
                <c:pt idx="24">
                  <c:v>2220.8075034898643</c:v>
                </c:pt>
                <c:pt idx="25">
                  <c:v>2201.2349302369312</c:v>
                </c:pt>
                <c:pt idx="26">
                  <c:v>2180.5087816280516</c:v>
                </c:pt>
                <c:pt idx="27">
                  <c:v>2157.7114738693845</c:v>
                </c:pt>
                <c:pt idx="28">
                  <c:v>2131.926481913054</c:v>
                </c:pt>
                <c:pt idx="29">
                  <c:v>2102.2382005384761</c:v>
                </c:pt>
                <c:pt idx="30">
                  <c:v>2067.7318274964014</c:v>
                </c:pt>
                <c:pt idx="31">
                  <c:v>2027.4932646400202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F-47EA-A306-F3DB2B748BCD}"/>
            </c:ext>
          </c:extLst>
        </c:ser>
        <c:ser>
          <c:idx val="1"/>
          <c:order val="1"/>
          <c:tx>
            <c:v>EPS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Data'!$H$57:$AM$57</c:f>
              <c:numCache>
                <c:formatCode>0.00E+00</c:formatCode>
                <c:ptCount val="32"/>
                <c:pt idx="0">
                  <c:v>4839.4420131291017</c:v>
                </c:pt>
                <c:pt idx="1">
                  <c:v>4574.9343544857766</c:v>
                </c:pt>
                <c:pt idx="2">
                  <c:v>4326.8271334792116</c:v>
                </c:pt>
                <c:pt idx="3">
                  <c:v>4091.6958424507652</c:v>
                </c:pt>
                <c:pt idx="4">
                  <c:v>3866.9912472647698</c:v>
                </c:pt>
                <c:pt idx="5">
                  <c:v>3650.8862144420127</c:v>
                </c:pt>
                <c:pt idx="6">
                  <c:v>3441.9037199124723</c:v>
                </c:pt>
                <c:pt idx="7">
                  <c:v>3304.5076586433256</c:v>
                </c:pt>
                <c:pt idx="8">
                  <c:v>3180.8205689277897</c:v>
                </c:pt>
                <c:pt idx="9">
                  <c:v>3068.129102844639</c:v>
                </c:pt>
                <c:pt idx="10">
                  <c:v>2964.4310722100654</c:v>
                </c:pt>
                <c:pt idx="11">
                  <c:v>2868.1838074398247</c:v>
                </c:pt>
                <c:pt idx="12">
                  <c:v>2784.4201312910282</c:v>
                </c:pt>
                <c:pt idx="13">
                  <c:v>2706.3129102844637</c:v>
                </c:pt>
                <c:pt idx="14">
                  <c:v>2632.9649890590808</c:v>
                </c:pt>
                <c:pt idx="15">
                  <c:v>2563.6652078774614</c:v>
                </c:pt>
                <c:pt idx="16">
                  <c:v>2497.8665207877461</c:v>
                </c:pt>
                <c:pt idx="17">
                  <c:v>2460.2188183807439</c:v>
                </c:pt>
                <c:pt idx="18">
                  <c:v>2426.9256017505472</c:v>
                </c:pt>
                <c:pt idx="19">
                  <c:v>2397.3960612691462</c:v>
                </c:pt>
                <c:pt idx="20">
                  <c:v>2371.148796498906</c:v>
                </c:pt>
                <c:pt idx="21">
                  <c:v>2347.7571115973742</c:v>
                </c:pt>
                <c:pt idx="22">
                  <c:v>2308.4354485776803</c:v>
                </c:pt>
                <c:pt idx="23">
                  <c:v>2272.8774617067834</c:v>
                </c:pt>
                <c:pt idx="24">
                  <c:v>2240.5908096280082</c:v>
                </c:pt>
                <c:pt idx="25">
                  <c:v>2211.1597374179428</c:v>
                </c:pt>
                <c:pt idx="26">
                  <c:v>2184.234135667396</c:v>
                </c:pt>
                <c:pt idx="27">
                  <c:v>2153.9387308533915</c:v>
                </c:pt>
                <c:pt idx="28">
                  <c:v>2126.7724288840263</c:v>
                </c:pt>
                <c:pt idx="29">
                  <c:v>2102.3085339168488</c:v>
                </c:pt>
                <c:pt idx="30">
                  <c:v>2080.1750547045949</c:v>
                </c:pt>
                <c:pt idx="31">
                  <c:v>2060.0984682713347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F-47EA-A306-F3DB2B748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556192"/>
        <c:axId val="1246554224"/>
      </c:lineChart>
      <c:catAx>
        <c:axId val="124655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4224"/>
        <c:crosses val="autoZero"/>
        <c:auto val="1"/>
        <c:lblAlgn val="ctr"/>
        <c:lblOffset val="100"/>
        <c:noMultiLvlLbl val="0"/>
      </c:catAx>
      <c:valAx>
        <c:axId val="12465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Onshore Wind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Data'!$H$4:$AM$4</c:f>
              <c:numCache>
                <c:formatCode>"$"#,##0_);\("$"#,##0\)</c:formatCode>
                <c:ptCount val="32"/>
                <c:pt idx="0">
                  <c:v>1564.9579649390171</c:v>
                </c:pt>
                <c:pt idx="1">
                  <c:v>1538.2120881126405</c:v>
                </c:pt>
                <c:pt idx="2">
                  <c:v>1510.8286883939854</c:v>
                </c:pt>
                <c:pt idx="3">
                  <c:v>1482.8077657830506</c:v>
                </c:pt>
                <c:pt idx="4">
                  <c:v>1454.1493202798374</c:v>
                </c:pt>
                <c:pt idx="5">
                  <c:v>1424.8533518843453</c:v>
                </c:pt>
                <c:pt idx="6">
                  <c:v>1394.9198605965739</c:v>
                </c:pt>
                <c:pt idx="7">
                  <c:v>1364.3488464165241</c:v>
                </c:pt>
                <c:pt idx="8">
                  <c:v>1333.1403093441952</c:v>
                </c:pt>
                <c:pt idx="9">
                  <c:v>1301.2942493795872</c:v>
                </c:pt>
                <c:pt idx="10">
                  <c:v>1268.8106665227003</c:v>
                </c:pt>
                <c:pt idx="11">
                  <c:v>1235.6895607735348</c:v>
                </c:pt>
                <c:pt idx="12">
                  <c:v>1223.4204763739842</c:v>
                </c:pt>
                <c:pt idx="13">
                  <c:v>1211.1142961881496</c:v>
                </c:pt>
                <c:pt idx="14">
                  <c:v>1198.771020216031</c:v>
                </c:pt>
                <c:pt idx="15">
                  <c:v>1186.3906484576282</c:v>
                </c:pt>
                <c:pt idx="16">
                  <c:v>1173.9731809129419</c:v>
                </c:pt>
                <c:pt idx="17">
                  <c:v>1161.5186175819713</c:v>
                </c:pt>
                <c:pt idx="18">
                  <c:v>1149.0269584647162</c:v>
                </c:pt>
                <c:pt idx="19">
                  <c:v>1136.4982035611781</c:v>
                </c:pt>
                <c:pt idx="20">
                  <c:v>1123.9323528713553</c:v>
                </c:pt>
                <c:pt idx="21">
                  <c:v>1111.3294063952487</c:v>
                </c:pt>
                <c:pt idx="22">
                  <c:v>1098.6893641328584</c:v>
                </c:pt>
                <c:pt idx="23">
                  <c:v>1086.012226084184</c:v>
                </c:pt>
                <c:pt idx="24">
                  <c:v>1073.2979922492254</c:v>
                </c:pt>
                <c:pt idx="25">
                  <c:v>1060.5466626279831</c:v>
                </c:pt>
                <c:pt idx="26">
                  <c:v>1047.7582372204565</c:v>
                </c:pt>
                <c:pt idx="27">
                  <c:v>1034.9327160266462</c:v>
                </c:pt>
                <c:pt idx="28">
                  <c:v>1022.0700990465522</c:v>
                </c:pt>
                <c:pt idx="29">
                  <c:v>1009.1703862801738</c:v>
                </c:pt>
                <c:pt idx="30">
                  <c:v>996.23357772751115</c:v>
                </c:pt>
                <c:pt idx="31">
                  <c:v>983.25967338856481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2-4B2B-AA8A-44278B2EBB3A}"/>
            </c:ext>
          </c:extLst>
        </c:ser>
        <c:ser>
          <c:idx val="1"/>
          <c:order val="1"/>
          <c:tx>
            <c:v>EPS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'Start Year Soft Cost Data'!$H$28:$AM$28</c:f>
              <c:numCache>
                <c:formatCode>0.00E+00</c:formatCode>
                <c:ptCount val="32"/>
                <c:pt idx="0">
                  <c:v>1565.4704595185992</c:v>
                </c:pt>
                <c:pt idx="1">
                  <c:v>1530.9299781181619</c:v>
                </c:pt>
                <c:pt idx="2">
                  <c:v>1499.9562363238513</c:v>
                </c:pt>
                <c:pt idx="3">
                  <c:v>1469.671772428884</c:v>
                </c:pt>
                <c:pt idx="4">
                  <c:v>1436.1487964989058</c:v>
                </c:pt>
                <c:pt idx="5">
                  <c:v>1406.0503282275711</c:v>
                </c:pt>
                <c:pt idx="6">
                  <c:v>1379.1247264770238</c:v>
                </c:pt>
                <c:pt idx="7">
                  <c:v>1342.2757111597373</c:v>
                </c:pt>
                <c:pt idx="8">
                  <c:v>1310.8971553610502</c:v>
                </c:pt>
                <c:pt idx="9">
                  <c:v>1284.0700218818379</c:v>
                </c:pt>
                <c:pt idx="10">
                  <c:v>1257.8446389496717</c:v>
                </c:pt>
                <c:pt idx="11">
                  <c:v>1232.4288840262579</c:v>
                </c:pt>
                <c:pt idx="12">
                  <c:v>1218.2056892778992</c:v>
                </c:pt>
                <c:pt idx="13">
                  <c:v>1204.1684901531728</c:v>
                </c:pt>
                <c:pt idx="14">
                  <c:v>1190.4814004376367</c:v>
                </c:pt>
                <c:pt idx="15">
                  <c:v>1176.8599562363238</c:v>
                </c:pt>
                <c:pt idx="16">
                  <c:v>1163.3588621444198</c:v>
                </c:pt>
                <c:pt idx="17">
                  <c:v>1150.2735229759298</c:v>
                </c:pt>
                <c:pt idx="18">
                  <c:v>1137.3741794310722</c:v>
                </c:pt>
                <c:pt idx="19">
                  <c:v>1124.5185995623633</c:v>
                </c:pt>
                <c:pt idx="20">
                  <c:v>1111.7724288840261</c:v>
                </c:pt>
                <c:pt idx="21">
                  <c:v>1099.2450765864332</c:v>
                </c:pt>
                <c:pt idx="22">
                  <c:v>1086.8172866520786</c:v>
                </c:pt>
                <c:pt idx="23">
                  <c:v>1074.7188183807439</c:v>
                </c:pt>
                <c:pt idx="24">
                  <c:v>1062.6531728665207</c:v>
                </c:pt>
                <c:pt idx="25">
                  <c:v>1050.5864332603937</c:v>
                </c:pt>
                <c:pt idx="26">
                  <c:v>1038.7450765864332</c:v>
                </c:pt>
                <c:pt idx="27">
                  <c:v>1026.9277899343545</c:v>
                </c:pt>
                <c:pt idx="28">
                  <c:v>1015.3030634573304</c:v>
                </c:pt>
                <c:pt idx="29">
                  <c:v>1003.7100656455142</c:v>
                </c:pt>
                <c:pt idx="30">
                  <c:v>992.22975929978111</c:v>
                </c:pt>
                <c:pt idx="31">
                  <c:v>980.74617067833685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02-4B2B-AA8A-44278B2EB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556192"/>
        <c:axId val="1246554224"/>
      </c:lineChart>
      <c:catAx>
        <c:axId val="124655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4224"/>
        <c:crosses val="autoZero"/>
        <c:auto val="1"/>
        <c:lblAlgn val="ctr"/>
        <c:lblOffset val="100"/>
        <c:noMultiLvlLbl val="0"/>
      </c:catAx>
      <c:valAx>
        <c:axId val="12465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5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150019</xdr:colOff>
      <xdr:row>83</xdr:row>
      <xdr:rowOff>7143</xdr:rowOff>
    </xdr:from>
    <xdr:to>
      <xdr:col>12</xdr:col>
      <xdr:colOff>54769</xdr:colOff>
      <xdr:row>98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00AB8-FCF7-47A9-AEC7-1826ECBC6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638176</xdr:colOff>
      <xdr:row>57</xdr:row>
      <xdr:rowOff>52388</xdr:rowOff>
    </xdr:from>
    <xdr:to>
      <xdr:col>12</xdr:col>
      <xdr:colOff>138113</xdr:colOff>
      <xdr:row>69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81B680-01DB-4301-9BC7-B9F86BA18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381000</xdr:colOff>
      <xdr:row>15</xdr:row>
      <xdr:rowOff>28575</xdr:rowOff>
    </xdr:from>
    <xdr:to>
      <xdr:col>20</xdr:col>
      <xdr:colOff>14287</xdr:colOff>
      <xdr:row>25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105E6B-7F09-4F22-8E0B-31752B7FC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ropbox%20(Energy%20Innovation)/Documents/EPS_Models%20by%20Region/United%20States/US_model/InputData/elec/CCaMC/Capacity%20Construction%20and%20Maint%20Costs_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Start Year Wind and Solar"/>
      <sheetName val="Start Year Soft Cost Data"/>
      <sheetName val="S&amp;L"/>
      <sheetName val="Existing Plants"/>
      <sheetName val="Existing O&amp;M Costs"/>
      <sheetName val="New O&amp;M Costs"/>
      <sheetName val="All Other Capital Costs"/>
      <sheetName val="CCaMC-AFOaMCpUC"/>
      <sheetName val="CCaMC-VOaMCpUC"/>
      <sheetName val="CCaMC-BCCpUC"/>
      <sheetName val="CCaMC-BSCpUC"/>
    </sheetNames>
    <sheetDataSet>
      <sheetData sheetId="0"/>
      <sheetData sheetId="1"/>
      <sheetData sheetId="2">
        <row r="4">
          <cell r="H4">
            <v>1564.9579649390171</v>
          </cell>
          <cell r="I4">
            <v>1538.2120881126405</v>
          </cell>
          <cell r="J4">
            <v>1510.8286883939854</v>
          </cell>
          <cell r="K4">
            <v>1482.8077657830506</v>
          </cell>
          <cell r="L4">
            <v>1454.1493202798374</v>
          </cell>
          <cell r="M4">
            <v>1424.8533518843453</v>
          </cell>
          <cell r="N4">
            <v>1394.9198605965739</v>
          </cell>
          <cell r="O4">
            <v>1364.3488464165241</v>
          </cell>
          <cell r="P4">
            <v>1333.1403093441952</v>
          </cell>
          <cell r="Q4">
            <v>1301.2942493795872</v>
          </cell>
          <cell r="R4">
            <v>1268.8106665227003</v>
          </cell>
          <cell r="S4">
            <v>1235.6895607735348</v>
          </cell>
          <cell r="T4">
            <v>1223.4204763739842</v>
          </cell>
          <cell r="U4">
            <v>1211.1142961881496</v>
          </cell>
          <cell r="V4">
            <v>1198.771020216031</v>
          </cell>
          <cell r="W4">
            <v>1186.3906484576282</v>
          </cell>
          <cell r="X4">
            <v>1173.9731809129419</v>
          </cell>
          <cell r="Y4">
            <v>1161.5186175819713</v>
          </cell>
          <cell r="Z4">
            <v>1149.0269584647162</v>
          </cell>
          <cell r="AA4">
            <v>1136.4982035611781</v>
          </cell>
          <cell r="AB4">
            <v>1123.9323528713553</v>
          </cell>
          <cell r="AC4">
            <v>1111.3294063952487</v>
          </cell>
          <cell r="AD4">
            <v>1098.6893641328584</v>
          </cell>
          <cell r="AE4">
            <v>1086.012226084184</v>
          </cell>
          <cell r="AF4">
            <v>1073.2979922492254</v>
          </cell>
          <cell r="AG4">
            <v>1060.5466626279831</v>
          </cell>
          <cell r="AH4">
            <v>1047.7582372204565</v>
          </cell>
          <cell r="AI4">
            <v>1034.9327160266462</v>
          </cell>
          <cell r="AJ4">
            <v>1022.0700990465522</v>
          </cell>
          <cell r="AK4">
            <v>1009.1703862801738</v>
          </cell>
          <cell r="AL4">
            <v>996.23357772751115</v>
          </cell>
          <cell r="AM4">
            <v>983.25967338856481</v>
          </cell>
        </row>
        <row r="28">
          <cell r="H28">
            <v>1565.4704595185992</v>
          </cell>
          <cell r="I28">
            <v>1530.9299781181619</v>
          </cell>
          <cell r="J28">
            <v>1499.9562363238513</v>
          </cell>
          <cell r="K28">
            <v>1469.671772428884</v>
          </cell>
          <cell r="L28">
            <v>1436.1487964989058</v>
          </cell>
          <cell r="M28">
            <v>1406.0503282275711</v>
          </cell>
          <cell r="N28">
            <v>1379.1247264770238</v>
          </cell>
          <cell r="O28">
            <v>1342.2757111597373</v>
          </cell>
          <cell r="P28">
            <v>1310.8971553610502</v>
          </cell>
          <cell r="Q28">
            <v>1284.0700218818379</v>
          </cell>
          <cell r="R28">
            <v>1257.8446389496717</v>
          </cell>
          <cell r="S28">
            <v>1232.4288840262579</v>
          </cell>
          <cell r="T28">
            <v>1218.2056892778992</v>
          </cell>
          <cell r="U28">
            <v>1204.1684901531728</v>
          </cell>
          <cell r="V28">
            <v>1190.4814004376367</v>
          </cell>
          <cell r="W28">
            <v>1176.8599562363238</v>
          </cell>
          <cell r="X28">
            <v>1163.3588621444198</v>
          </cell>
          <cell r="Y28">
            <v>1150.2735229759298</v>
          </cell>
          <cell r="Z28">
            <v>1137.3741794310722</v>
          </cell>
          <cell r="AA28">
            <v>1124.5185995623633</v>
          </cell>
          <cell r="AB28">
            <v>1111.7724288840261</v>
          </cell>
          <cell r="AC28">
            <v>1099.2450765864332</v>
          </cell>
          <cell r="AD28">
            <v>1086.8172866520786</v>
          </cell>
          <cell r="AE28">
            <v>1074.7188183807439</v>
          </cell>
          <cell r="AF28">
            <v>1062.6531728665207</v>
          </cell>
          <cell r="AG28">
            <v>1050.5864332603937</v>
          </cell>
          <cell r="AH28">
            <v>1038.7450765864332</v>
          </cell>
          <cell r="AI28">
            <v>1026.9277899343545</v>
          </cell>
          <cell r="AJ28">
            <v>1015.3030634573304</v>
          </cell>
          <cell r="AK28">
            <v>1003.7100656455142</v>
          </cell>
          <cell r="AL28">
            <v>992.22975929978111</v>
          </cell>
          <cell r="AM28">
            <v>980.74617067833685</v>
          </cell>
        </row>
        <row r="33">
          <cell r="H33">
            <v>4837.8531553008725</v>
          </cell>
          <cell r="I33">
            <v>4537.6571030202886</v>
          </cell>
          <cell r="J33">
            <v>4270.6520093489053</v>
          </cell>
          <cell r="K33">
            <v>4030.1803043655764</v>
          </cell>
          <cell r="L33">
            <v>3812.7734327200283</v>
          </cell>
          <cell r="M33">
            <v>3616.1579001970217</v>
          </cell>
          <cell r="N33">
            <v>3438.6109601798307</v>
          </cell>
          <cell r="O33">
            <v>3278.69937654351</v>
          </cell>
          <cell r="P33">
            <v>3135.1567828107145</v>
          </cell>
          <cell r="Q33">
            <v>3006.8198067468188</v>
          </cell>
          <cell r="R33">
            <v>2892.5921062659472</v>
          </cell>
          <cell r="S33">
            <v>2791.4228503166478</v>
          </cell>
          <cell r="T33">
            <v>2702.2931973338405</v>
          </cell>
          <cell r="U33">
            <v>2624.2074499793666</v>
          </cell>
          <cell r="V33">
            <v>2556.1870704012108</v>
          </cell>
          <cell r="W33">
            <v>2497.2665130374967</v>
          </cell>
          <cell r="X33">
            <v>2446.4902503466587</v>
          </cell>
          <cell r="Y33">
            <v>2402.9106037684251</v>
          </cell>
          <cell r="Z33">
            <v>2365.5861316963856</v>
          </cell>
          <cell r="AA33">
            <v>2333.5804111657576</v>
          </cell>
          <cell r="AB33">
            <v>2305.9611032193111</v>
          </cell>
          <cell r="AC33">
            <v>2281.7992262022781</v>
          </cell>
          <cell r="AD33">
            <v>2260.1685838331068</v>
          </cell>
          <cell r="AE33">
            <v>2240.1453101034358</v>
          </cell>
          <cell r="AF33">
            <v>2220.8075034898643</v>
          </cell>
          <cell r="AG33">
            <v>2201.2349302369312</v>
          </cell>
          <cell r="AH33">
            <v>2180.5087816280516</v>
          </cell>
          <cell r="AI33">
            <v>2157.7114738693845</v>
          </cell>
          <cell r="AJ33">
            <v>2131.926481913054</v>
          </cell>
          <cell r="AK33">
            <v>2102.2382005384761</v>
          </cell>
          <cell r="AL33">
            <v>2067.7318274964014</v>
          </cell>
          <cell r="AM33">
            <v>2027.4932646400202</v>
          </cell>
        </row>
        <row r="57">
          <cell r="H57">
            <v>4839.4420131291017</v>
          </cell>
          <cell r="I57">
            <v>4574.9343544857766</v>
          </cell>
          <cell r="J57">
            <v>4326.8271334792116</v>
          </cell>
          <cell r="K57">
            <v>4091.6958424507652</v>
          </cell>
          <cell r="L57">
            <v>3866.9912472647698</v>
          </cell>
          <cell r="M57">
            <v>3650.8862144420127</v>
          </cell>
          <cell r="N57">
            <v>3441.9037199124723</v>
          </cell>
          <cell r="O57">
            <v>3304.5076586433256</v>
          </cell>
          <cell r="P57">
            <v>3180.8205689277897</v>
          </cell>
          <cell r="Q57">
            <v>3068.129102844639</v>
          </cell>
          <cell r="R57">
            <v>2964.4310722100654</v>
          </cell>
          <cell r="S57">
            <v>2868.1838074398247</v>
          </cell>
          <cell r="T57">
            <v>2784.4201312910282</v>
          </cell>
          <cell r="U57">
            <v>2706.3129102844637</v>
          </cell>
          <cell r="V57">
            <v>2632.9649890590808</v>
          </cell>
          <cell r="W57">
            <v>2563.6652078774614</v>
          </cell>
          <cell r="X57">
            <v>2497.8665207877461</v>
          </cell>
          <cell r="Y57">
            <v>2460.2188183807439</v>
          </cell>
          <cell r="Z57">
            <v>2426.9256017505472</v>
          </cell>
          <cell r="AA57">
            <v>2397.3960612691462</v>
          </cell>
          <cell r="AB57">
            <v>2371.148796498906</v>
          </cell>
          <cell r="AC57">
            <v>2347.7571115973742</v>
          </cell>
          <cell r="AD57">
            <v>2308.4354485776803</v>
          </cell>
          <cell r="AE57">
            <v>2272.8774617067834</v>
          </cell>
          <cell r="AF57">
            <v>2240.5908096280082</v>
          </cell>
          <cell r="AG57">
            <v>2211.1597374179428</v>
          </cell>
          <cell r="AH57">
            <v>2184.234135667396</v>
          </cell>
          <cell r="AI57">
            <v>2153.9387308533915</v>
          </cell>
          <cell r="AJ57">
            <v>2126.7724288840263</v>
          </cell>
          <cell r="AK57">
            <v>2102.3085339168488</v>
          </cell>
          <cell r="AL57">
            <v>2080.1750547045949</v>
          </cell>
          <cell r="AM57">
            <v>2060.0984682713347</v>
          </cell>
        </row>
        <row r="73">
          <cell r="H73">
            <v>1405.2587147241061</v>
          </cell>
          <cell r="I73">
            <v>1353.5428568822824</v>
          </cell>
          <cell r="J73">
            <v>1301.826999040459</v>
          </cell>
          <cell r="K73">
            <v>1250.1111411986353</v>
          </cell>
          <cell r="L73">
            <v>1198.3952833568119</v>
          </cell>
          <cell r="M73">
            <v>1146.6794255149882</v>
          </cell>
          <cell r="N73">
            <v>1094.9635676731648</v>
          </cell>
          <cell r="O73">
            <v>1043.2477098313411</v>
          </cell>
          <cell r="P73">
            <v>991.53185198951746</v>
          </cell>
          <cell r="Q73">
            <v>939.81599414769391</v>
          </cell>
          <cell r="R73">
            <v>888.10013630587036</v>
          </cell>
          <cell r="S73">
            <v>836.38427846404704</v>
          </cell>
          <cell r="T73">
            <v>828.95462897379696</v>
          </cell>
          <cell r="U73">
            <v>821.52497948354687</v>
          </cell>
          <cell r="V73">
            <v>814.09532999329679</v>
          </cell>
          <cell r="W73">
            <v>806.6656805030467</v>
          </cell>
          <cell r="X73">
            <v>799.23603101279662</v>
          </cell>
          <cell r="Y73">
            <v>791.80638152254653</v>
          </cell>
          <cell r="Z73">
            <v>784.37673203229645</v>
          </cell>
          <cell r="AA73">
            <v>776.94708254204636</v>
          </cell>
          <cell r="AB73">
            <v>769.51743305179627</v>
          </cell>
          <cell r="AC73">
            <v>762.08778356154619</v>
          </cell>
          <cell r="AD73">
            <v>754.65813407129599</v>
          </cell>
          <cell r="AE73">
            <v>747.2284845810459</v>
          </cell>
          <cell r="AF73">
            <v>739.79883509079582</v>
          </cell>
          <cell r="AG73">
            <v>732.36918560054573</v>
          </cell>
          <cell r="AH73">
            <v>724.93953611029565</v>
          </cell>
          <cell r="AI73">
            <v>717.50988662004556</v>
          </cell>
          <cell r="AJ73">
            <v>710.08023712979548</v>
          </cell>
          <cell r="AK73">
            <v>702.65058763954539</v>
          </cell>
          <cell r="AL73">
            <v>695.22093814929531</v>
          </cell>
          <cell r="AM73">
            <v>687.7912886590459</v>
          </cell>
        </row>
        <row r="81">
          <cell r="H81">
            <v>1405.4595185995624</v>
          </cell>
          <cell r="I81">
            <v>1344.6827133479212</v>
          </cell>
          <cell r="J81">
            <v>1289.5623632385118</v>
          </cell>
          <cell r="K81">
            <v>1242.9431072210064</v>
          </cell>
          <cell r="L81">
            <v>1187.7899343544857</v>
          </cell>
          <cell r="M81">
            <v>1136.8927789934355</v>
          </cell>
          <cell r="N81">
            <v>1089.0087527352296</v>
          </cell>
          <cell r="O81">
            <v>1027.6969365426696</v>
          </cell>
          <cell r="P81">
            <v>974.52625820568926</v>
          </cell>
          <cell r="Q81">
            <v>929.80962800875272</v>
          </cell>
          <cell r="R81">
            <v>885.16301969365418</v>
          </cell>
          <cell r="S81">
            <v>840.62363238512023</v>
          </cell>
          <cell r="T81">
            <v>828.10393873085343</v>
          </cell>
          <cell r="U81">
            <v>816.15973741794312</v>
          </cell>
          <cell r="V81">
            <v>805.31072210065633</v>
          </cell>
          <cell r="W81">
            <v>794.3555798687089</v>
          </cell>
          <cell r="X81">
            <v>783.92122538293211</v>
          </cell>
          <cell r="Y81">
            <v>774.6312910284463</v>
          </cell>
          <cell r="Z81">
            <v>766.08862144420118</v>
          </cell>
          <cell r="AA81">
            <v>757.90481400437625</v>
          </cell>
          <cell r="AB81">
            <v>750.29321663019687</v>
          </cell>
          <cell r="AC81">
            <v>743.52844638949671</v>
          </cell>
          <cell r="AD81">
            <v>736.84354485776794</v>
          </cell>
          <cell r="AE81">
            <v>731.14113785557981</v>
          </cell>
          <cell r="AF81">
            <v>725.7056892778993</v>
          </cell>
          <cell r="AG81">
            <v>720.52516411378554</v>
          </cell>
          <cell r="AH81">
            <v>715.95076586433254</v>
          </cell>
          <cell r="AI81">
            <v>711.42669584245073</v>
          </cell>
          <cell r="AJ81">
            <v>707.39387308533912</v>
          </cell>
          <cell r="AK81">
            <v>703.56564551422309</v>
          </cell>
          <cell r="AL81">
            <v>700.04814004376362</v>
          </cell>
          <cell r="AM81">
            <v>696.68161925601748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7osti/68925.pdf" TargetMode="External"/><Relationship Id="rId3" Type="http://schemas.openxmlformats.org/officeDocument/2006/relationships/hyperlink" Target="http://www.npti.in/Download/Renewable/POWERGEN%20PRSTN_Renewable%20April2012/Solar%20Resource%20CUF%20Assessment.pdf" TargetMode="External"/><Relationship Id="rId7" Type="http://schemas.openxmlformats.org/officeDocument/2006/relationships/hyperlink" Target="https://www.energy.gov/sites/prod/files/wv_chapter2_wind_power_in_the_united_states.pdf" TargetMode="External"/><Relationship Id="rId2" Type="http://schemas.openxmlformats.org/officeDocument/2006/relationships/hyperlink" Target="http://www.cercind.gov.in/2016/orders/SO17.pdf" TargetMode="External"/><Relationship Id="rId1" Type="http://schemas.openxmlformats.org/officeDocument/2006/relationships/hyperlink" Target="https://www.epa.gov/sites/production/files/2015-08/documents/coalperform.pdf" TargetMode="External"/><Relationship Id="rId6" Type="http://schemas.openxmlformats.org/officeDocument/2006/relationships/hyperlink" Target="http://www.cea.nic.in/reports/committee/nep/nep_jan_2018.pdf" TargetMode="External"/><Relationship Id="rId5" Type="http://schemas.openxmlformats.org/officeDocument/2006/relationships/hyperlink" Target="https://www.lazard.com/media/451086/lazards-levelized-cost-of-energy-version-130-vf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npti.in/Download/Renewable/POWERGEN%20PRSTN_Renewable%20April2012/Solar%20Resource%20CUF%20Assessment.pdf" TargetMode="External"/><Relationship Id="rId9" Type="http://schemas.openxmlformats.org/officeDocument/2006/relationships/hyperlink" Target="https://www.nrel.gov/docs/fy15osti/6478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flation.eu/inflation-rates/india/historic-inflation/cpi-inflation-india.asp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workbookViewId="0">
      <selection activeCell="B24" sqref="B24"/>
    </sheetView>
  </sheetViews>
  <sheetFormatPr defaultColWidth="9.140625" defaultRowHeight="15" x14ac:dyDescent="0.25"/>
  <cols>
    <col min="1" max="1" width="9.140625" style="2"/>
    <col min="2" max="2" width="82.7109375" style="2" customWidth="1"/>
    <col min="3" max="3" width="7.42578125" style="2" customWidth="1"/>
    <col min="4" max="4" width="77.5703125" style="2" customWidth="1"/>
    <col min="5" max="5" width="10.7109375" style="2" customWidth="1"/>
    <col min="6" max="6" width="56.140625" style="2" bestFit="1" customWidth="1"/>
    <col min="7" max="11" width="10.7109375" style="2" customWidth="1"/>
    <col min="12" max="16384" width="9.140625" style="2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261</v>
      </c>
    </row>
    <row r="6" spans="1:5" x14ac:dyDescent="0.25">
      <c r="A6" s="5" t="s">
        <v>3</v>
      </c>
      <c r="B6" s="6" t="s">
        <v>153</v>
      </c>
      <c r="C6" s="8"/>
      <c r="D6" s="15" t="s">
        <v>22</v>
      </c>
      <c r="E6" s="8"/>
    </row>
    <row r="7" spans="1:5" x14ac:dyDescent="0.25">
      <c r="B7" s="20" t="s">
        <v>154</v>
      </c>
      <c r="D7" s="20" t="s">
        <v>162</v>
      </c>
    </row>
    <row r="8" spans="1:5" x14ac:dyDescent="0.25">
      <c r="B8" s="2">
        <v>2018</v>
      </c>
      <c r="D8" s="2" t="s">
        <v>163</v>
      </c>
    </row>
    <row r="9" spans="1:5" x14ac:dyDescent="0.25">
      <c r="B9" s="46" t="s">
        <v>173</v>
      </c>
      <c r="D9" s="20" t="s">
        <v>164</v>
      </c>
    </row>
    <row r="10" spans="1:5" x14ac:dyDescent="0.25">
      <c r="B10" s="3" t="s">
        <v>172</v>
      </c>
      <c r="D10" s="3" t="s">
        <v>131</v>
      </c>
    </row>
    <row r="11" spans="1:5" x14ac:dyDescent="0.25">
      <c r="B11" s="2" t="s">
        <v>155</v>
      </c>
      <c r="D11" s="20"/>
    </row>
    <row r="12" spans="1:5" x14ac:dyDescent="0.25">
      <c r="D12" s="9"/>
    </row>
    <row r="13" spans="1:5" x14ac:dyDescent="0.25">
      <c r="B13" s="6" t="s">
        <v>160</v>
      </c>
      <c r="D13" s="14" t="s">
        <v>219</v>
      </c>
    </row>
    <row r="14" spans="1:5" x14ac:dyDescent="0.25">
      <c r="B14" s="20" t="s">
        <v>4</v>
      </c>
      <c r="D14" s="2" t="s">
        <v>5</v>
      </c>
    </row>
    <row r="15" spans="1:5" x14ac:dyDescent="0.25">
      <c r="B15" s="2">
        <v>2009</v>
      </c>
      <c r="D15" s="2">
        <v>2017</v>
      </c>
    </row>
    <row r="16" spans="1:5" ht="30" x14ac:dyDescent="0.25">
      <c r="B16" s="2" t="s">
        <v>6</v>
      </c>
      <c r="D16" s="47" t="s">
        <v>7</v>
      </c>
    </row>
    <row r="17" spans="1:4" x14ac:dyDescent="0.25">
      <c r="B17" s="3" t="s">
        <v>8</v>
      </c>
      <c r="D17" s="3" t="s">
        <v>9</v>
      </c>
    </row>
    <row r="18" spans="1:4" x14ac:dyDescent="0.25">
      <c r="B18" s="20" t="s">
        <v>10</v>
      </c>
      <c r="D18" s="20" t="s">
        <v>218</v>
      </c>
    </row>
    <row r="19" spans="1:4" x14ac:dyDescent="0.25">
      <c r="B19" s="20"/>
    </row>
    <row r="20" spans="1:4" x14ac:dyDescent="0.25">
      <c r="A20" s="7"/>
      <c r="B20" s="6" t="s">
        <v>161</v>
      </c>
      <c r="D20" s="14" t="s">
        <v>221</v>
      </c>
    </row>
    <row r="21" spans="1:4" x14ac:dyDescent="0.25">
      <c r="A21" s="7"/>
      <c r="B21" s="2" t="s">
        <v>156</v>
      </c>
      <c r="D21" s="20" t="s">
        <v>220</v>
      </c>
    </row>
    <row r="22" spans="1:4" x14ac:dyDescent="0.25">
      <c r="A22" s="7"/>
      <c r="B22" s="2">
        <v>2015</v>
      </c>
      <c r="D22" s="2">
        <v>2018</v>
      </c>
    </row>
    <row r="23" spans="1:4" x14ac:dyDescent="0.25">
      <c r="A23" s="7"/>
      <c r="B23" s="47" t="s">
        <v>157</v>
      </c>
      <c r="D23" s="46" t="s">
        <v>222</v>
      </c>
    </row>
    <row r="24" spans="1:4" x14ac:dyDescent="0.25">
      <c r="A24" s="7"/>
      <c r="B24" s="47" t="s">
        <v>158</v>
      </c>
      <c r="D24" s="20" t="s">
        <v>207</v>
      </c>
    </row>
    <row r="25" spans="1:4" x14ac:dyDescent="0.25">
      <c r="A25" s="7"/>
      <c r="B25" s="20" t="s">
        <v>159</v>
      </c>
      <c r="D25" s="2" t="s">
        <v>224</v>
      </c>
    </row>
    <row r="26" spans="1:4" x14ac:dyDescent="0.25">
      <c r="A26" s="7"/>
      <c r="B26" s="20"/>
      <c r="C26" s="20"/>
    </row>
    <row r="27" spans="1:4" x14ac:dyDescent="0.25">
      <c r="A27" s="7"/>
      <c r="B27" s="6" t="s">
        <v>198</v>
      </c>
      <c r="D27" s="6" t="s">
        <v>165</v>
      </c>
    </row>
    <row r="28" spans="1:4" x14ac:dyDescent="0.25">
      <c r="A28" s="7"/>
      <c r="B28" s="2" t="s">
        <v>156</v>
      </c>
      <c r="D28" s="20" t="s">
        <v>132</v>
      </c>
    </row>
    <row r="29" spans="1:4" x14ac:dyDescent="0.25">
      <c r="A29" s="7"/>
      <c r="B29" s="2">
        <v>2015</v>
      </c>
      <c r="D29" s="2">
        <v>2019</v>
      </c>
    </row>
    <row r="30" spans="1:4" x14ac:dyDescent="0.25">
      <c r="A30" s="7"/>
      <c r="B30" s="47" t="s">
        <v>157</v>
      </c>
      <c r="D30" s="46" t="s">
        <v>174</v>
      </c>
    </row>
    <row r="31" spans="1:4" x14ac:dyDescent="0.25">
      <c r="A31" s="7"/>
      <c r="B31" s="47" t="s">
        <v>158</v>
      </c>
      <c r="D31" s="80" t="s">
        <v>175</v>
      </c>
    </row>
    <row r="32" spans="1:4" x14ac:dyDescent="0.25">
      <c r="A32" s="7"/>
      <c r="B32" s="20" t="s">
        <v>199</v>
      </c>
      <c r="D32" s="2" t="s">
        <v>179</v>
      </c>
    </row>
    <row r="33" spans="1:4" x14ac:dyDescent="0.25">
      <c r="A33" s="7"/>
      <c r="B33" s="20"/>
      <c r="D33" s="2" t="s">
        <v>166</v>
      </c>
    </row>
    <row r="34" spans="1:4" x14ac:dyDescent="0.25">
      <c r="A34" s="7"/>
      <c r="B34" s="20"/>
    </row>
    <row r="35" spans="1:4" x14ac:dyDescent="0.25">
      <c r="A35" s="7"/>
      <c r="B35" s="51" t="s">
        <v>263</v>
      </c>
      <c r="D35" s="51" t="s">
        <v>273</v>
      </c>
    </row>
    <row r="36" spans="1:4" x14ac:dyDescent="0.25">
      <c r="A36" s="7"/>
      <c r="B36" s="20" t="s">
        <v>264</v>
      </c>
      <c r="D36" s="20" t="s">
        <v>269</v>
      </c>
    </row>
    <row r="37" spans="1:4" x14ac:dyDescent="0.25">
      <c r="A37" s="7"/>
      <c r="B37" s="2">
        <v>2015</v>
      </c>
      <c r="D37" s="2">
        <v>2015</v>
      </c>
    </row>
    <row r="38" spans="1:4" x14ac:dyDescent="0.25">
      <c r="A38" s="7"/>
      <c r="B38" s="20" t="s">
        <v>265</v>
      </c>
      <c r="D38" s="20" t="s">
        <v>274</v>
      </c>
    </row>
    <row r="39" spans="1:4" x14ac:dyDescent="0.25">
      <c r="A39" s="7"/>
      <c r="B39" s="3" t="s">
        <v>266</v>
      </c>
      <c r="D39" s="3" t="s">
        <v>275</v>
      </c>
    </row>
    <row r="40" spans="1:4" x14ac:dyDescent="0.25">
      <c r="A40" s="7"/>
      <c r="B40" s="20" t="s">
        <v>267</v>
      </c>
    </row>
    <row r="41" spans="1:4" x14ac:dyDescent="0.25">
      <c r="A41" s="7"/>
      <c r="B41" s="20"/>
    </row>
    <row r="42" spans="1:4" x14ac:dyDescent="0.25">
      <c r="A42" s="7"/>
      <c r="B42" s="51" t="s">
        <v>268</v>
      </c>
    </row>
    <row r="43" spans="1:4" x14ac:dyDescent="0.25">
      <c r="A43" s="7"/>
      <c r="B43" s="20" t="s">
        <v>269</v>
      </c>
    </row>
    <row r="44" spans="1:4" x14ac:dyDescent="0.25">
      <c r="A44" s="7"/>
      <c r="B44" s="2">
        <v>2018</v>
      </c>
    </row>
    <row r="45" spans="1:4" x14ac:dyDescent="0.25">
      <c r="A45" s="7"/>
      <c r="B45" s="20" t="s">
        <v>270</v>
      </c>
    </row>
    <row r="46" spans="1:4" x14ac:dyDescent="0.25">
      <c r="A46" s="7"/>
      <c r="B46" s="3" t="s">
        <v>271</v>
      </c>
    </row>
    <row r="47" spans="1:4" x14ac:dyDescent="0.25">
      <c r="A47" s="7"/>
      <c r="B47" s="20" t="s">
        <v>272</v>
      </c>
    </row>
    <row r="48" spans="1:4" x14ac:dyDescent="0.25">
      <c r="A48" s="7"/>
      <c r="B48" s="20"/>
    </row>
    <row r="49" spans="1:11" x14ac:dyDescent="0.25">
      <c r="A49" s="7" t="s">
        <v>11</v>
      </c>
      <c r="D49" s="7"/>
      <c r="E49" s="11"/>
      <c r="F49" s="11"/>
      <c r="G49" s="11"/>
      <c r="H49" s="11"/>
      <c r="I49" s="11"/>
      <c r="J49" s="11"/>
      <c r="K49" s="11"/>
    </row>
    <row r="50" spans="1:11" x14ac:dyDescent="0.25">
      <c r="A50" s="10" t="s">
        <v>167</v>
      </c>
      <c r="D50" s="7"/>
      <c r="E50" s="11"/>
      <c r="F50" s="11"/>
      <c r="G50" s="11"/>
      <c r="H50" s="11"/>
      <c r="I50" s="11"/>
      <c r="J50" s="11"/>
      <c r="K50" s="11"/>
    </row>
    <row r="51" spans="1:11" x14ac:dyDescent="0.25">
      <c r="A51" s="10" t="s">
        <v>168</v>
      </c>
      <c r="D51" s="7"/>
      <c r="E51" s="11"/>
      <c r="F51" s="11"/>
      <c r="G51" s="11"/>
      <c r="H51" s="11"/>
      <c r="I51" s="11"/>
      <c r="J51" s="11"/>
      <c r="K51" s="11"/>
    </row>
    <row r="52" spans="1:11" x14ac:dyDescent="0.25">
      <c r="A52" s="10"/>
      <c r="D52" s="7"/>
      <c r="E52" s="11"/>
      <c r="F52" s="11"/>
      <c r="G52" s="11"/>
      <c r="H52" s="11"/>
      <c r="I52" s="11"/>
      <c r="J52" s="11"/>
      <c r="K52" s="11"/>
    </row>
    <row r="53" spans="1:11" x14ac:dyDescent="0.25">
      <c r="A53" s="10" t="s">
        <v>12</v>
      </c>
      <c r="D53" s="7"/>
      <c r="E53" s="11"/>
      <c r="F53" s="11"/>
      <c r="G53" s="11"/>
      <c r="H53" s="11"/>
      <c r="I53" s="11"/>
      <c r="J53" s="11"/>
      <c r="K53" s="11"/>
    </row>
    <row r="54" spans="1:11" x14ac:dyDescent="0.25">
      <c r="A54" s="10" t="s">
        <v>13</v>
      </c>
      <c r="D54" s="7"/>
      <c r="E54" s="11"/>
      <c r="F54" s="11"/>
      <c r="G54" s="11"/>
      <c r="H54" s="11"/>
      <c r="I54" s="11"/>
      <c r="J54" s="11"/>
      <c r="K54" s="11"/>
    </row>
    <row r="55" spans="1:11" x14ac:dyDescent="0.25">
      <c r="A55" s="10" t="s">
        <v>181</v>
      </c>
      <c r="D55" s="7"/>
      <c r="E55" s="11"/>
      <c r="F55" s="11"/>
      <c r="G55" s="11"/>
      <c r="H55" s="11"/>
      <c r="I55" s="11"/>
      <c r="J55" s="11"/>
      <c r="K55" s="11"/>
    </row>
    <row r="56" spans="1:11" x14ac:dyDescent="0.25">
      <c r="A56" s="10" t="s">
        <v>182</v>
      </c>
      <c r="D56" s="7"/>
      <c r="E56" s="11"/>
      <c r="F56" s="11"/>
      <c r="G56" s="11"/>
      <c r="H56" s="11"/>
      <c r="I56" s="11"/>
      <c r="J56" s="11"/>
      <c r="K56" s="11"/>
    </row>
    <row r="57" spans="1:11" x14ac:dyDescent="0.25">
      <c r="A57" s="10"/>
      <c r="D57" s="7"/>
      <c r="E57" s="11"/>
      <c r="F57" s="11"/>
      <c r="G57" s="11"/>
      <c r="H57" s="11"/>
      <c r="I57" s="11"/>
      <c r="J57" s="11"/>
      <c r="K57" s="11"/>
    </row>
    <row r="58" spans="1:11" x14ac:dyDescent="0.25">
      <c r="A58" s="10" t="s">
        <v>169</v>
      </c>
      <c r="D58" s="7"/>
      <c r="E58" s="11"/>
      <c r="F58" s="11"/>
      <c r="G58" s="11"/>
      <c r="H58" s="11"/>
      <c r="I58" s="11"/>
      <c r="J58" s="11"/>
      <c r="K58" s="11"/>
    </row>
    <row r="59" spans="1:11" x14ac:dyDescent="0.25">
      <c r="A59" s="10" t="s">
        <v>170</v>
      </c>
      <c r="D59" s="7"/>
      <c r="E59" s="11"/>
      <c r="F59" s="11"/>
      <c r="G59" s="11"/>
      <c r="H59" s="11"/>
      <c r="I59" s="11"/>
      <c r="J59" s="11"/>
      <c r="K59" s="11"/>
    </row>
    <row r="60" spans="1:11" x14ac:dyDescent="0.25">
      <c r="A60" s="10" t="s">
        <v>171</v>
      </c>
      <c r="D60" s="7"/>
      <c r="E60" s="11"/>
      <c r="F60" s="11"/>
      <c r="G60" s="11"/>
      <c r="H60" s="11"/>
      <c r="I60" s="11"/>
      <c r="J60" s="11"/>
      <c r="K60" s="11"/>
    </row>
    <row r="61" spans="1:11" x14ac:dyDescent="0.25">
      <c r="A61" s="10"/>
      <c r="D61" s="7"/>
      <c r="E61" s="11"/>
      <c r="F61" s="11"/>
      <c r="G61" s="11"/>
      <c r="H61" s="11"/>
      <c r="I61" s="11"/>
      <c r="J61" s="11"/>
      <c r="K61" s="11"/>
    </row>
    <row r="62" spans="1:11" x14ac:dyDescent="0.25">
      <c r="A62" s="10" t="s">
        <v>200</v>
      </c>
      <c r="D62" s="7"/>
      <c r="E62" s="11"/>
      <c r="F62" s="11"/>
      <c r="G62" s="11"/>
      <c r="H62" s="11"/>
      <c r="I62" s="11"/>
      <c r="J62" s="11"/>
      <c r="K62" s="11"/>
    </row>
    <row r="63" spans="1:11" x14ac:dyDescent="0.25">
      <c r="A63" s="10" t="s">
        <v>201</v>
      </c>
      <c r="B63" s="9"/>
      <c r="D63" s="7"/>
      <c r="E63" s="11"/>
      <c r="F63" s="11"/>
      <c r="G63" s="11"/>
      <c r="H63" s="11"/>
      <c r="I63" s="11"/>
      <c r="J63" s="11"/>
      <c r="K63" s="11"/>
    </row>
    <row r="64" spans="1:11" x14ac:dyDescent="0.25">
      <c r="A64" s="10" t="s">
        <v>202</v>
      </c>
      <c r="B64" s="9"/>
      <c r="D64" s="7"/>
      <c r="E64" s="11"/>
      <c r="F64" s="11"/>
      <c r="G64" s="11"/>
      <c r="H64" s="11"/>
      <c r="I64" s="11"/>
      <c r="J64" s="11"/>
      <c r="K64" s="11"/>
    </row>
    <row r="65" spans="1:11" x14ac:dyDescent="0.25">
      <c r="A65" s="10" t="s">
        <v>204</v>
      </c>
      <c r="B65" s="9"/>
      <c r="D65" s="7"/>
      <c r="E65" s="11"/>
      <c r="F65" s="11"/>
      <c r="G65" s="11"/>
      <c r="H65" s="11"/>
      <c r="I65" s="11"/>
      <c r="J65" s="11"/>
      <c r="K65" s="11"/>
    </row>
    <row r="66" spans="1:11" x14ac:dyDescent="0.25">
      <c r="A66" s="10" t="s">
        <v>205</v>
      </c>
      <c r="B66" s="9"/>
      <c r="D66" s="7"/>
      <c r="E66" s="11"/>
      <c r="F66" s="11"/>
      <c r="G66" s="11"/>
      <c r="H66" s="11"/>
      <c r="I66" s="11"/>
      <c r="J66" s="11"/>
      <c r="K66" s="11"/>
    </row>
    <row r="67" spans="1:11" x14ac:dyDescent="0.25">
      <c r="A67" s="20"/>
      <c r="B67" s="9"/>
      <c r="D67" s="7"/>
      <c r="E67" s="11"/>
      <c r="F67" s="11"/>
      <c r="G67" s="11"/>
      <c r="H67" s="11"/>
      <c r="I67" s="11"/>
      <c r="J67" s="11"/>
      <c r="K67" s="11"/>
    </row>
    <row r="68" spans="1:11" x14ac:dyDescent="0.25">
      <c r="A68" s="10" t="s">
        <v>262</v>
      </c>
      <c r="B68" s="9"/>
      <c r="D68" s="7"/>
      <c r="E68" s="11"/>
      <c r="F68" s="11"/>
      <c r="G68" s="11"/>
      <c r="H68" s="11"/>
      <c r="I68" s="11"/>
      <c r="J68" s="11"/>
      <c r="K68" s="11"/>
    </row>
    <row r="69" spans="1:11" x14ac:dyDescent="0.25">
      <c r="A69" s="18"/>
      <c r="B69" s="9"/>
      <c r="D69" s="7"/>
      <c r="E69" s="11"/>
      <c r="F69" s="11"/>
      <c r="G69" s="11"/>
      <c r="H69" s="11"/>
      <c r="I69" s="11"/>
      <c r="J69" s="11"/>
      <c r="K69" s="11"/>
    </row>
    <row r="71" spans="1:11" x14ac:dyDescent="0.25">
      <c r="A71" s="21"/>
      <c r="B71" s="9"/>
      <c r="D71" s="7"/>
      <c r="E71" s="11"/>
      <c r="F71" s="11"/>
      <c r="G71" s="11"/>
      <c r="H71" s="11"/>
      <c r="I71" s="11"/>
      <c r="J71" s="11"/>
      <c r="K71" s="11"/>
    </row>
    <row r="72" spans="1:11" x14ac:dyDescent="0.25">
      <c r="A72" s="10"/>
      <c r="B72" s="9"/>
      <c r="D72" s="7"/>
      <c r="E72" s="11"/>
      <c r="F72" s="11"/>
      <c r="G72" s="11"/>
      <c r="H72" s="11"/>
      <c r="I72" s="11"/>
      <c r="J72" s="11"/>
      <c r="K72" s="11"/>
    </row>
    <row r="73" spans="1:11" x14ac:dyDescent="0.25">
      <c r="A73" s="10"/>
      <c r="B73" s="9"/>
      <c r="D73" s="7"/>
      <c r="E73" s="11"/>
      <c r="F73" s="11"/>
      <c r="G73" s="11"/>
      <c r="H73" s="11"/>
      <c r="I73" s="11"/>
      <c r="J73" s="11"/>
      <c r="K73" s="11"/>
    </row>
    <row r="74" spans="1:11" x14ac:dyDescent="0.25">
      <c r="A74" s="10"/>
      <c r="B74" s="9"/>
      <c r="D74" s="7"/>
      <c r="E74" s="11"/>
      <c r="F74" s="11"/>
      <c r="G74" s="11"/>
      <c r="H74" s="11"/>
      <c r="I74" s="11"/>
      <c r="J74" s="11"/>
      <c r="K74" s="11"/>
    </row>
    <row r="75" spans="1:11" x14ac:dyDescent="0.25">
      <c r="A75" s="20"/>
      <c r="B75" s="9"/>
      <c r="D75" s="7"/>
      <c r="E75" s="11"/>
      <c r="F75" s="11"/>
      <c r="G75" s="11"/>
      <c r="H75" s="11"/>
      <c r="I75" s="11"/>
      <c r="J75" s="11"/>
      <c r="K75" s="11"/>
    </row>
    <row r="76" spans="1:11" x14ac:dyDescent="0.25">
      <c r="A76" s="10"/>
      <c r="B76" s="9"/>
      <c r="D76" s="7"/>
      <c r="E76" s="11"/>
      <c r="F76" s="11"/>
      <c r="G76" s="11"/>
      <c r="H76" s="11"/>
      <c r="I76" s="11"/>
      <c r="J76" s="11"/>
      <c r="K76" s="11"/>
    </row>
    <row r="77" spans="1:11" x14ac:dyDescent="0.25">
      <c r="A77" s="10"/>
      <c r="B77" s="9"/>
      <c r="D77" s="7"/>
      <c r="E77" s="11"/>
      <c r="F77" s="11"/>
      <c r="G77" s="11"/>
      <c r="H77" s="11"/>
      <c r="I77" s="11"/>
      <c r="J77" s="11"/>
      <c r="K77" s="11"/>
    </row>
    <row r="78" spans="1:11" x14ac:dyDescent="0.25">
      <c r="A78" s="10"/>
      <c r="B78" s="9"/>
      <c r="D78" s="7"/>
      <c r="E78" s="11"/>
      <c r="F78" s="11"/>
      <c r="G78" s="11"/>
      <c r="H78" s="11"/>
      <c r="I78" s="11"/>
      <c r="J78" s="11"/>
      <c r="K78" s="11"/>
    </row>
    <row r="79" spans="1:11" x14ac:dyDescent="0.25">
      <c r="A79" s="10"/>
      <c r="B79" s="9"/>
      <c r="D79" s="7"/>
      <c r="E79" s="11"/>
      <c r="F79" s="11"/>
      <c r="G79" s="11"/>
      <c r="H79" s="11"/>
      <c r="I79" s="11"/>
      <c r="J79" s="11"/>
      <c r="K79" s="11"/>
    </row>
    <row r="80" spans="1:11" x14ac:dyDescent="0.25">
      <c r="A80" s="10"/>
      <c r="B80" s="9"/>
      <c r="D80" s="7"/>
      <c r="E80" s="11"/>
      <c r="F80" s="11"/>
      <c r="G80" s="11"/>
      <c r="H80" s="11"/>
      <c r="I80" s="11"/>
      <c r="J80" s="11"/>
      <c r="K80" s="11"/>
    </row>
    <row r="81" spans="1:11" x14ac:dyDescent="0.25">
      <c r="A81" s="10"/>
      <c r="B81" s="9"/>
      <c r="D81" s="7"/>
      <c r="E81" s="11"/>
      <c r="F81" s="11"/>
      <c r="G81" s="11"/>
      <c r="H81" s="11"/>
      <c r="I81" s="11"/>
      <c r="J81" s="11"/>
      <c r="K81" s="11"/>
    </row>
    <row r="82" spans="1:11" x14ac:dyDescent="0.25">
      <c r="A82" s="10"/>
      <c r="B82" s="9"/>
      <c r="D82" s="7"/>
      <c r="E82" s="11"/>
      <c r="F82" s="11"/>
      <c r="G82" s="11"/>
      <c r="H82" s="11"/>
      <c r="I82" s="11"/>
      <c r="J82" s="11"/>
      <c r="K82" s="11"/>
    </row>
    <row r="83" spans="1:11" x14ac:dyDescent="0.25">
      <c r="A83" s="10"/>
      <c r="B83" s="9"/>
      <c r="D83" s="7"/>
      <c r="E83" s="11"/>
      <c r="F83" s="11"/>
      <c r="G83" s="11"/>
      <c r="H83" s="11"/>
      <c r="I83" s="11"/>
      <c r="J83" s="11"/>
      <c r="K83" s="11"/>
    </row>
    <row r="84" spans="1:11" x14ac:dyDescent="0.25">
      <c r="A84" s="10"/>
      <c r="B84" s="9"/>
      <c r="D84" s="7"/>
      <c r="E84" s="11"/>
      <c r="F84" s="11"/>
      <c r="G84" s="11"/>
      <c r="H84" s="11"/>
      <c r="I84" s="11"/>
      <c r="J84" s="11"/>
      <c r="K84" s="11"/>
    </row>
    <row r="85" spans="1:11" x14ac:dyDescent="0.25">
      <c r="A85" s="10"/>
      <c r="B85" s="9"/>
      <c r="D85" s="7"/>
      <c r="E85" s="11"/>
      <c r="F85" s="11"/>
      <c r="G85" s="11"/>
      <c r="H85" s="11"/>
      <c r="I85" s="11"/>
      <c r="J85" s="11"/>
      <c r="K85" s="11"/>
    </row>
    <row r="86" spans="1:11" x14ac:dyDescent="0.25">
      <c r="A86" s="10"/>
      <c r="B86" s="9"/>
      <c r="D86" s="7"/>
      <c r="E86" s="11"/>
      <c r="F86" s="11"/>
      <c r="G86" s="11"/>
      <c r="H86" s="11"/>
      <c r="I86" s="11"/>
      <c r="J86" s="11"/>
      <c r="K86" s="11"/>
    </row>
    <row r="87" spans="1:11" x14ac:dyDescent="0.25">
      <c r="A87" s="10"/>
      <c r="B87" s="9"/>
      <c r="D87" s="7"/>
      <c r="E87" s="11"/>
      <c r="F87" s="11"/>
      <c r="G87" s="11"/>
      <c r="H87" s="11"/>
      <c r="I87" s="11"/>
      <c r="J87" s="11"/>
      <c r="K87" s="11"/>
    </row>
    <row r="88" spans="1:11" x14ac:dyDescent="0.25">
      <c r="A88" s="10"/>
      <c r="B88" s="9"/>
      <c r="D88" s="7"/>
      <c r="E88" s="11"/>
      <c r="F88" s="11"/>
      <c r="G88" s="11"/>
      <c r="H88" s="11"/>
      <c r="I88" s="11"/>
      <c r="J88" s="11"/>
      <c r="K88" s="11"/>
    </row>
    <row r="89" spans="1:11" x14ac:dyDescent="0.25">
      <c r="A89" s="10"/>
      <c r="B89" s="9"/>
      <c r="D89" s="7"/>
      <c r="E89" s="11"/>
      <c r="F89" s="11"/>
      <c r="G89" s="11"/>
      <c r="H89" s="11"/>
      <c r="I89" s="11"/>
      <c r="J89" s="11"/>
      <c r="K89" s="11"/>
    </row>
    <row r="90" spans="1:11" x14ac:dyDescent="0.25">
      <c r="A90" s="10"/>
      <c r="B90" s="9"/>
      <c r="D90" s="7"/>
      <c r="E90" s="11"/>
      <c r="F90" s="11"/>
      <c r="G90" s="11"/>
      <c r="H90" s="11"/>
      <c r="I90" s="11"/>
      <c r="J90" s="11"/>
      <c r="K90" s="11"/>
    </row>
    <row r="91" spans="1:11" x14ac:dyDescent="0.25">
      <c r="A91" s="10"/>
      <c r="B91" s="9"/>
      <c r="D91" s="7"/>
      <c r="E91" s="11"/>
      <c r="F91" s="11"/>
      <c r="G91" s="11"/>
      <c r="H91" s="11"/>
      <c r="I91" s="11"/>
      <c r="J91" s="11"/>
      <c r="K91" s="11"/>
    </row>
    <row r="92" spans="1:11" x14ac:dyDescent="0.25">
      <c r="A92" s="10"/>
      <c r="B92" s="9"/>
      <c r="D92" s="7"/>
      <c r="E92" s="11"/>
      <c r="F92" s="11"/>
      <c r="G92" s="11"/>
      <c r="H92" s="11"/>
      <c r="I92" s="11"/>
      <c r="J92" s="11"/>
      <c r="K92" s="11"/>
    </row>
    <row r="93" spans="1:11" x14ac:dyDescent="0.25">
      <c r="A93" s="10"/>
      <c r="B93" s="9"/>
      <c r="D93" s="7"/>
      <c r="E93" s="11"/>
      <c r="F93" s="11"/>
      <c r="G93" s="11"/>
      <c r="H93" s="11"/>
      <c r="I93" s="11"/>
      <c r="J93" s="11"/>
      <c r="K93" s="11"/>
    </row>
    <row r="94" spans="1:11" x14ac:dyDescent="0.25">
      <c r="A94" s="7"/>
      <c r="B94" s="9"/>
      <c r="D94" s="7"/>
      <c r="E94" s="11"/>
      <c r="F94" s="11"/>
      <c r="G94" s="11"/>
      <c r="H94" s="11"/>
      <c r="I94" s="11"/>
      <c r="J94" s="11"/>
      <c r="K94" s="11"/>
    </row>
  </sheetData>
  <hyperlinks>
    <hyperlink ref="B17" r:id="rId1" xr:uid="{00000000-0004-0000-0000-000000000000}"/>
    <hyperlink ref="D17" r:id="rId2" xr:uid="{00000000-0004-0000-0000-000001000000}"/>
    <hyperlink ref="B23" r:id="rId3" display="http://www.npti.in/Download/Renewable/POWERGEN%20PRSTN_Renewable%20April2012/Solar%20Resource%20CUF%20Assessment.pdf" xr:uid="{00000000-0004-0000-0000-000002000000}"/>
    <hyperlink ref="B30" r:id="rId4" display="http://www.npti.in/Download/Renewable/POWERGEN%20PRSTN_Renewable%20April2012/Solar%20Resource%20CUF%20Assessment.pdf" xr:uid="{00000000-0004-0000-0000-000003000000}"/>
    <hyperlink ref="D31" r:id="rId5" xr:uid="{00000000-0004-0000-0000-000004000000}"/>
    <hyperlink ref="B10" r:id="rId6" xr:uid="{073BE248-47C6-47EF-A76E-DE472DDFEF1E}"/>
    <hyperlink ref="B39" r:id="rId7" xr:uid="{C96E51B1-F721-4024-AAB2-BAAC4550FA31}"/>
    <hyperlink ref="B46" r:id="rId8" xr:uid="{825AB4CC-20A3-4A5A-B220-53DAD6F5FB0D}"/>
    <hyperlink ref="D39" r:id="rId9" xr:uid="{B3CBDC2B-F95A-4819-BA7E-B9EF11C75A66}"/>
  </hyperlinks>
  <pageMargins left="0.7" right="0.7" top="0.75" bottom="0.75" header="0.3" footer="0.3"/>
  <pageSetup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opLeftCell="A4" workbookViewId="0"/>
  </sheetViews>
  <sheetFormatPr defaultRowHeight="15" x14ac:dyDescent="0.25"/>
  <sheetData>
    <row r="1" spans="1:3" x14ac:dyDescent="0.25">
      <c r="A1" s="1" t="s">
        <v>91</v>
      </c>
      <c r="B1" s="20"/>
      <c r="C1" s="20"/>
    </row>
    <row r="2" spans="1:3" x14ac:dyDescent="0.25">
      <c r="A2" s="20"/>
      <c r="B2" s="20"/>
      <c r="C2" s="20"/>
    </row>
    <row r="3" spans="1:3" x14ac:dyDescent="0.25">
      <c r="A3" s="1" t="s">
        <v>92</v>
      </c>
      <c r="B3" s="20"/>
      <c r="C3" s="20"/>
    </row>
    <row r="4" spans="1:3" x14ac:dyDescent="0.25">
      <c r="A4" s="20">
        <v>2010</v>
      </c>
      <c r="B4" s="20">
        <v>44.81</v>
      </c>
      <c r="C4" s="20"/>
    </row>
    <row r="5" spans="1:3" x14ac:dyDescent="0.25">
      <c r="A5" s="20">
        <v>2011</v>
      </c>
      <c r="B5" s="20">
        <v>53.26</v>
      </c>
      <c r="C5" s="20"/>
    </row>
    <row r="6" spans="1:3" x14ac:dyDescent="0.25">
      <c r="A6" s="20">
        <v>2012</v>
      </c>
      <c r="B6" s="20">
        <v>54.77</v>
      </c>
      <c r="C6" s="20"/>
    </row>
    <row r="7" spans="1:3" x14ac:dyDescent="0.25">
      <c r="A7" s="20">
        <v>2013</v>
      </c>
      <c r="B7" s="20">
        <v>61.89</v>
      </c>
      <c r="C7" s="20"/>
    </row>
    <row r="8" spans="1:3" x14ac:dyDescent="0.25">
      <c r="A8" s="20">
        <v>2014</v>
      </c>
      <c r="B8" s="20">
        <v>63.33</v>
      </c>
      <c r="C8" s="20"/>
    </row>
    <row r="9" spans="1:3" x14ac:dyDescent="0.25">
      <c r="A9" s="20">
        <v>2015</v>
      </c>
      <c r="B9" s="20">
        <v>66.319999999999993</v>
      </c>
      <c r="C9" s="20"/>
    </row>
    <row r="10" spans="1:3" x14ac:dyDescent="0.25">
      <c r="A10" s="20">
        <v>2016</v>
      </c>
      <c r="B10" s="20">
        <v>67.95</v>
      </c>
      <c r="C10" s="20"/>
    </row>
    <row r="11" spans="1:3" x14ac:dyDescent="0.25">
      <c r="A11" s="20">
        <v>2017</v>
      </c>
      <c r="B11" s="20">
        <v>63.92</v>
      </c>
      <c r="C11" s="20"/>
    </row>
    <row r="12" spans="1:3" x14ac:dyDescent="0.25">
      <c r="A12">
        <v>2018</v>
      </c>
      <c r="B12">
        <v>73.58</v>
      </c>
      <c r="C12" s="20"/>
    </row>
    <row r="13" spans="1:3" x14ac:dyDescent="0.25">
      <c r="A13">
        <v>2019</v>
      </c>
      <c r="B13">
        <v>70.760000000000005</v>
      </c>
      <c r="C13" s="20"/>
    </row>
    <row r="14" spans="1:3" x14ac:dyDescent="0.25">
      <c r="A14" s="1" t="s">
        <v>93</v>
      </c>
      <c r="B14" s="20"/>
      <c r="C14" s="20"/>
    </row>
    <row r="15" spans="1:3" x14ac:dyDescent="0.25">
      <c r="A15" s="20">
        <v>100000</v>
      </c>
      <c r="B15" s="20"/>
      <c r="C15" s="20"/>
    </row>
    <row r="16" spans="1:3" x14ac:dyDescent="0.25">
      <c r="A16" s="20"/>
      <c r="B16" s="20"/>
      <c r="C16" s="20"/>
    </row>
    <row r="17" spans="1:3" x14ac:dyDescent="0.25">
      <c r="A17" s="20"/>
      <c r="B17" s="20"/>
      <c r="C17" s="20"/>
    </row>
    <row r="18" spans="1:3" x14ac:dyDescent="0.25">
      <c r="A18" s="1" t="s">
        <v>94</v>
      </c>
      <c r="B18" s="20"/>
      <c r="C18" s="20"/>
    </row>
    <row r="19" spans="1:3" x14ac:dyDescent="0.25">
      <c r="A19" s="20">
        <v>10000000</v>
      </c>
      <c r="B19" s="20"/>
      <c r="C19" s="20"/>
    </row>
    <row r="20" spans="1:3" x14ac:dyDescent="0.25">
      <c r="A20" s="20"/>
      <c r="B20" s="20"/>
      <c r="C20" s="20"/>
    </row>
    <row r="21" spans="1:3" x14ac:dyDescent="0.25">
      <c r="A21" s="20"/>
      <c r="B21" s="20"/>
      <c r="C21" s="20"/>
    </row>
    <row r="22" spans="1:3" x14ac:dyDescent="0.25">
      <c r="A22" s="1" t="s">
        <v>95</v>
      </c>
      <c r="B22" s="20"/>
      <c r="C22" s="20"/>
    </row>
    <row r="23" spans="1:3" x14ac:dyDescent="0.25">
      <c r="A23" s="20">
        <f>A19/A15</f>
        <v>100</v>
      </c>
      <c r="B23" s="20"/>
      <c r="C23" s="20"/>
    </row>
    <row r="24" spans="1:3" x14ac:dyDescent="0.25">
      <c r="A24" s="20"/>
      <c r="B24" s="20"/>
      <c r="C24" s="20"/>
    </row>
    <row r="25" spans="1:3" x14ac:dyDescent="0.25">
      <c r="A25" s="20"/>
      <c r="B25" s="20"/>
      <c r="C25" s="20"/>
    </row>
    <row r="26" spans="1:3" x14ac:dyDescent="0.25">
      <c r="A26" s="1" t="s">
        <v>96</v>
      </c>
      <c r="B26" s="20"/>
      <c r="C26" s="3" t="s">
        <v>97</v>
      </c>
    </row>
    <row r="27" spans="1:3" x14ac:dyDescent="0.25">
      <c r="A27" s="17" t="s">
        <v>28</v>
      </c>
      <c r="B27" s="17" t="s">
        <v>98</v>
      </c>
      <c r="C27" s="20" t="s">
        <v>99</v>
      </c>
    </row>
    <row r="28" spans="1:3" x14ac:dyDescent="0.25">
      <c r="A28" s="20">
        <v>2010</v>
      </c>
      <c r="B28" s="48">
        <v>9.4700000000000006E-2</v>
      </c>
      <c r="C28" s="18">
        <f>C29/(1+B29)</f>
        <v>0.84470208721577789</v>
      </c>
    </row>
    <row r="29" spans="1:3" x14ac:dyDescent="0.25">
      <c r="A29" s="20">
        <v>2011</v>
      </c>
      <c r="B29" s="48">
        <v>6.4899999999999999E-2</v>
      </c>
      <c r="C29" s="18">
        <f>C30/(1+B30)</f>
        <v>0.8995232526760818</v>
      </c>
    </row>
    <row r="30" spans="1:3" x14ac:dyDescent="0.25">
      <c r="A30" s="20">
        <v>2012</v>
      </c>
      <c r="B30" s="48">
        <v>0.11169999999999999</v>
      </c>
      <c r="C30" s="20">
        <v>1</v>
      </c>
    </row>
    <row r="31" spans="1:3" x14ac:dyDescent="0.25">
      <c r="A31" s="20">
        <v>2013</v>
      </c>
      <c r="B31" s="48">
        <v>9.1300000000000006E-2</v>
      </c>
      <c r="C31" s="18">
        <f>C30*(1+B31)</f>
        <v>1.0912999999999999</v>
      </c>
    </row>
    <row r="32" spans="1:3" x14ac:dyDescent="0.25">
      <c r="A32" s="20">
        <v>2014</v>
      </c>
      <c r="B32" s="48">
        <v>5.8599999999999999E-2</v>
      </c>
      <c r="C32" s="18">
        <f t="shared" ref="C32:C36" si="0">C31*(1+B32)</f>
        <v>1.1552501799999999</v>
      </c>
    </row>
    <row r="33" spans="1:3" x14ac:dyDescent="0.25">
      <c r="A33" s="20">
        <v>2015</v>
      </c>
      <c r="B33" s="48">
        <v>6.3200000000000006E-2</v>
      </c>
      <c r="C33" s="18">
        <f t="shared" si="0"/>
        <v>1.2282619913759998</v>
      </c>
    </row>
    <row r="34" spans="1:3" x14ac:dyDescent="0.25">
      <c r="A34" s="20">
        <v>2016</v>
      </c>
      <c r="B34" s="48">
        <v>2.23E-2</v>
      </c>
      <c r="C34" s="18">
        <f t="shared" si="0"/>
        <v>1.2556522337836846</v>
      </c>
    </row>
    <row r="35" spans="1:3" x14ac:dyDescent="0.25">
      <c r="A35" s="20">
        <v>2017</v>
      </c>
      <c r="B35" s="49">
        <v>0.04</v>
      </c>
      <c r="C35" s="18">
        <f t="shared" si="0"/>
        <v>1.3058783231350322</v>
      </c>
    </row>
    <row r="36" spans="1:3" x14ac:dyDescent="0.25">
      <c r="A36">
        <v>2018</v>
      </c>
      <c r="B36" s="48">
        <v>5.2400000000000002E-2</v>
      </c>
      <c r="C36" s="18">
        <f t="shared" si="0"/>
        <v>1.3743063472673078</v>
      </c>
    </row>
    <row r="37" spans="1:3" x14ac:dyDescent="0.25">
      <c r="A37" s="1" t="s">
        <v>137</v>
      </c>
    </row>
    <row r="38" spans="1:3" x14ac:dyDescent="0.25">
      <c r="A38" s="63">
        <v>0.93</v>
      </c>
    </row>
    <row r="39" spans="1:3" x14ac:dyDescent="0.25">
      <c r="A39" s="1" t="s">
        <v>232</v>
      </c>
    </row>
    <row r="40" spans="1:3" x14ac:dyDescent="0.25">
      <c r="A40" s="63">
        <v>0.9</v>
      </c>
    </row>
  </sheetData>
  <hyperlinks>
    <hyperlink ref="C2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"/>
  <sheetViews>
    <sheetView workbookViewId="0"/>
  </sheetViews>
  <sheetFormatPr defaultRowHeight="15" x14ac:dyDescent="0.25"/>
  <cols>
    <col min="1" max="1" width="20.85546875" bestFit="1" customWidth="1"/>
    <col min="2" max="2" width="27" bestFit="1" customWidth="1"/>
    <col min="3" max="3" width="11.7109375" bestFit="1" customWidth="1"/>
    <col min="4" max="8" width="9.5703125" bestFit="1" customWidth="1"/>
  </cols>
  <sheetData>
    <row r="1" spans="1:14" s="20" customFormat="1" x14ac:dyDescent="0.25">
      <c r="A1" s="50" t="s">
        <v>117</v>
      </c>
      <c r="B1" s="50"/>
      <c r="C1" s="50"/>
      <c r="D1" s="50"/>
      <c r="E1" s="50"/>
      <c r="F1" s="50"/>
      <c r="G1" s="50"/>
      <c r="H1" s="50"/>
      <c r="I1" s="50"/>
    </row>
    <row r="2" spans="1:14" x14ac:dyDescent="0.25">
      <c r="A2" t="s">
        <v>115</v>
      </c>
      <c r="B2" t="s">
        <v>116</v>
      </c>
      <c r="C2">
        <v>2017</v>
      </c>
      <c r="D2">
        <f>C2+5</f>
        <v>2022</v>
      </c>
      <c r="E2" s="20">
        <f t="shared" ref="E2:I2" si="0">D2+5</f>
        <v>2027</v>
      </c>
      <c r="F2" s="20">
        <f t="shared" si="0"/>
        <v>2032</v>
      </c>
      <c r="G2" s="20">
        <f t="shared" si="0"/>
        <v>2037</v>
      </c>
      <c r="H2" s="20">
        <f t="shared" si="0"/>
        <v>2042</v>
      </c>
      <c r="I2" s="20">
        <f t="shared" si="0"/>
        <v>2047</v>
      </c>
    </row>
    <row r="3" spans="1:14" x14ac:dyDescent="0.25">
      <c r="A3" t="s">
        <v>17</v>
      </c>
      <c r="C3">
        <v>3.7790714285714289E-2</v>
      </c>
      <c r="D3">
        <v>3.9716428571428576E-2</v>
      </c>
      <c r="E3">
        <v>4.1642142857142864E-2</v>
      </c>
      <c r="F3">
        <v>4.3567857142857144E-2</v>
      </c>
      <c r="G3">
        <v>4.5493571428571439E-2</v>
      </c>
      <c r="H3">
        <v>4.7419285714285719E-2</v>
      </c>
      <c r="I3">
        <v>4.9345000000000007E-2</v>
      </c>
    </row>
    <row r="4" spans="1:14" x14ac:dyDescent="0.25">
      <c r="A4" t="s">
        <v>71</v>
      </c>
      <c r="B4" t="s">
        <v>112</v>
      </c>
      <c r="C4">
        <v>4.9715169121125002E-2</v>
      </c>
      <c r="D4">
        <v>5.2033642962990803E-2</v>
      </c>
      <c r="E4">
        <v>5.4460239155648904E-2</v>
      </c>
      <c r="F4">
        <v>5.7000000000000002E-2</v>
      </c>
      <c r="G4">
        <v>5.9658202945350007E-2</v>
      </c>
      <c r="H4">
        <v>6.2440371555589007E-2</v>
      </c>
      <c r="I4">
        <v>6.535228698677871E-2</v>
      </c>
    </row>
    <row r="5" spans="1:14" x14ac:dyDescent="0.25">
      <c r="A5" t="s">
        <v>71</v>
      </c>
      <c r="B5" t="s">
        <v>113</v>
      </c>
      <c r="C5">
        <v>5.4948344818085602E-2</v>
      </c>
      <c r="D5">
        <v>5.7510868538042499E-2</v>
      </c>
      <c r="E5">
        <v>6.0192895908875103E-2</v>
      </c>
      <c r="F5">
        <v>6.3E-2</v>
      </c>
      <c r="G5">
        <v>6.5938013781702706E-2</v>
      </c>
      <c r="H5">
        <v>6.9013042245650913E-2</v>
      </c>
      <c r="I5">
        <v>7.2231475090650213E-2</v>
      </c>
    </row>
    <row r="6" spans="1:14" x14ac:dyDescent="0.25">
      <c r="A6" t="s">
        <v>71</v>
      </c>
      <c r="B6" t="s">
        <v>114</v>
      </c>
      <c r="C6">
        <v>6.3452255325646412E-2</v>
      </c>
      <c r="D6">
        <v>6.6411360097501412E-2</v>
      </c>
      <c r="E6">
        <v>6.9508463132867709E-2</v>
      </c>
      <c r="F6">
        <v>7.2750000000000009E-2</v>
      </c>
      <c r="G6">
        <v>7.6142706390775708E-2</v>
      </c>
      <c r="H6">
        <v>7.96936321170017E-2</v>
      </c>
      <c r="I6">
        <v>8.3410155759441301E-2</v>
      </c>
    </row>
    <row r="7" spans="1:14" x14ac:dyDescent="0.25">
      <c r="A7" t="s">
        <v>71</v>
      </c>
      <c r="B7" t="s">
        <v>111</v>
      </c>
      <c r="C7">
        <v>9.5459666182181213E-2</v>
      </c>
      <c r="D7">
        <v>9.991144102091111E-2</v>
      </c>
      <c r="E7">
        <v>0.10457082499978701</v>
      </c>
      <c r="F7">
        <v>0.1094475</v>
      </c>
      <c r="G7">
        <v>0.11455159941861802</v>
      </c>
      <c r="H7">
        <v>0.119893729225093</v>
      </c>
      <c r="I7">
        <v>0.125484989999745</v>
      </c>
    </row>
    <row r="8" spans="1:14" x14ac:dyDescent="0.25">
      <c r="A8" t="s">
        <v>19</v>
      </c>
      <c r="B8" t="s">
        <v>118</v>
      </c>
      <c r="C8" s="20">
        <v>8.1443750000000009E-2</v>
      </c>
      <c r="D8" s="20">
        <v>7.98875E-2</v>
      </c>
      <c r="E8" s="20">
        <v>7.8331250000000005E-2</v>
      </c>
      <c r="F8" s="20">
        <v>7.677500000000001E-2</v>
      </c>
      <c r="G8" s="20">
        <v>7.5218750000000001E-2</v>
      </c>
      <c r="H8" s="20">
        <v>7.3662500000000006E-2</v>
      </c>
      <c r="I8" s="20">
        <v>7.2106249999999997E-2</v>
      </c>
    </row>
    <row r="9" spans="1:14" x14ac:dyDescent="0.25">
      <c r="A9" t="s">
        <v>19</v>
      </c>
      <c r="B9" t="s">
        <v>119</v>
      </c>
      <c r="C9">
        <v>0.20606250000000001</v>
      </c>
      <c r="D9">
        <v>0.20212500000000003</v>
      </c>
      <c r="E9">
        <v>0.19818750000000002</v>
      </c>
      <c r="F9">
        <v>0.19425000000000003</v>
      </c>
      <c r="G9">
        <v>0.19031250000000002</v>
      </c>
      <c r="H9">
        <v>0.18637500000000001</v>
      </c>
      <c r="I9">
        <v>0.18243750000000003</v>
      </c>
    </row>
    <row r="10" spans="1:14" x14ac:dyDescent="0.25">
      <c r="A10" t="s">
        <v>23</v>
      </c>
      <c r="B10" t="s">
        <v>126</v>
      </c>
      <c r="C10" s="20">
        <f>0.000135214285714286*(10^3)</f>
        <v>0.13521428571428601</v>
      </c>
      <c r="D10" s="20">
        <f>0.000128428571428571*(10^3)</f>
        <v>0.128428571428571</v>
      </c>
      <c r="E10" s="20">
        <f>0.000121642857142857*(10^3)</f>
        <v>0.121642857142857</v>
      </c>
      <c r="F10" s="20">
        <f>0.000114857142857143*(10^3)</f>
        <v>0.114857142857143</v>
      </c>
      <c r="G10" s="20">
        <f>0.000108071428571429*(10^3)</f>
        <v>0.108071428571429</v>
      </c>
      <c r="H10" s="20">
        <f>0.000101285714285714*(10^3)</f>
        <v>0.10128571428571399</v>
      </c>
      <c r="I10" s="20">
        <f>0.0000945*(10^3)</f>
        <v>9.4500000000000001E-2</v>
      </c>
    </row>
    <row r="11" spans="1:14" x14ac:dyDescent="0.25">
      <c r="A11" t="s">
        <v>23</v>
      </c>
      <c r="B11" t="s">
        <v>127</v>
      </c>
      <c r="C11" s="20">
        <f>0.000065*(10^3)</f>
        <v>6.4999999999999988E-2</v>
      </c>
      <c r="D11" s="20">
        <f>0.000065*(10^3)</f>
        <v>6.4999999999999988E-2</v>
      </c>
      <c r="E11" s="20">
        <f>0.000065*(10^3)</f>
        <v>6.4999999999999988E-2</v>
      </c>
      <c r="F11" s="20">
        <f>0.000065*(10^3)</f>
        <v>6.4999999999999988E-2</v>
      </c>
      <c r="G11" s="20">
        <f>0.0000645*(10^3)</f>
        <v>6.4500000000000002E-2</v>
      </c>
      <c r="H11" s="20">
        <f>0.000064*(10^3)</f>
        <v>6.4000000000000001E-2</v>
      </c>
      <c r="I11" s="20">
        <f>0.0000635*(10^3)</f>
        <v>6.3500000000000001E-2</v>
      </c>
    </row>
    <row r="12" spans="1:14" x14ac:dyDescent="0.25">
      <c r="A12" t="s">
        <v>120</v>
      </c>
      <c r="B12" t="s">
        <v>121</v>
      </c>
      <c r="C12">
        <v>6.8159999999999984E-2</v>
      </c>
      <c r="D12">
        <v>6.4559999999999992E-2</v>
      </c>
      <c r="E12">
        <v>6.3199999999999992E-2</v>
      </c>
      <c r="F12">
        <v>6.2999999999999987E-2</v>
      </c>
      <c r="G12">
        <v>6.239999999999999E-2</v>
      </c>
      <c r="H12">
        <v>6.2299999999999987E-2</v>
      </c>
      <c r="I12">
        <v>6.2199999999999991E-2</v>
      </c>
    </row>
    <row r="13" spans="1:14" x14ac:dyDescent="0.25">
      <c r="A13" t="s">
        <v>26</v>
      </c>
      <c r="B13" t="s">
        <v>122</v>
      </c>
      <c r="C13" s="20">
        <v>0.12918000000000002</v>
      </c>
      <c r="D13" s="20">
        <v>0.13639680000000001</v>
      </c>
      <c r="E13" s="20">
        <v>0.14572838400000002</v>
      </c>
      <c r="F13" s="20">
        <v>0.15654512640000001</v>
      </c>
      <c r="G13" s="20">
        <v>0.15351787008000001</v>
      </c>
      <c r="H13" s="20">
        <v>0.15121715527679999</v>
      </c>
      <c r="I13" s="20">
        <v>0.149560640618496</v>
      </c>
      <c r="N13" t="s">
        <v>123</v>
      </c>
    </row>
    <row r="14" spans="1:14" x14ac:dyDescent="0.25">
      <c r="A14" t="s">
        <v>24</v>
      </c>
      <c r="C14" s="20">
        <f>0.0000595*(10^3)</f>
        <v>5.9500000000000004E-2</v>
      </c>
      <c r="D14" s="20">
        <f>0.0000595*(10^3)</f>
        <v>5.9500000000000004E-2</v>
      </c>
      <c r="E14" s="20">
        <f>0.000059*(10^3)</f>
        <v>5.8999999999999997E-2</v>
      </c>
      <c r="F14" s="20">
        <f>0.0000585*(10^3)</f>
        <v>5.8499999999999996E-2</v>
      </c>
      <c r="G14" s="20">
        <f>0.000058*(10^3)</f>
        <v>5.8000000000000003E-2</v>
      </c>
      <c r="H14" s="20">
        <f>0.000058*(10^3)</f>
        <v>5.8000000000000003E-2</v>
      </c>
      <c r="I14" s="20">
        <f>0.0000575*(10^3)</f>
        <v>5.7500000000000002E-2</v>
      </c>
    </row>
    <row r="15" spans="1:14" x14ac:dyDescent="0.25">
      <c r="A15" t="s">
        <v>25</v>
      </c>
      <c r="C15" s="20">
        <f>0.0001575*(10^3)</f>
        <v>0.1575</v>
      </c>
      <c r="D15" s="20">
        <f>0.0001475*(10^3)</f>
        <v>0.14750000000000002</v>
      </c>
      <c r="E15" s="20">
        <f>0.0001415*(10^3)</f>
        <v>0.14149999999999999</v>
      </c>
      <c r="F15" s="20">
        <f>0.000139*(10^3)</f>
        <v>0.13899999999999998</v>
      </c>
      <c r="G15" s="20">
        <f>0.0001375*(10^3)</f>
        <v>0.13750000000000001</v>
      </c>
      <c r="H15" s="20">
        <f>0.0001365*(10^3)</f>
        <v>0.13650000000000001</v>
      </c>
      <c r="I15" s="20">
        <f>0.000136*(10^3)</f>
        <v>0.13600000000000001</v>
      </c>
    </row>
    <row r="16" spans="1:14" x14ac:dyDescent="0.25">
      <c r="A16" t="s">
        <v>20</v>
      </c>
      <c r="C16">
        <v>4.4999999999999998E-2</v>
      </c>
      <c r="D16">
        <v>4.4999999999999998E-2</v>
      </c>
      <c r="E16">
        <v>4.4999999999999998E-2</v>
      </c>
      <c r="F16">
        <v>4.4999999999999998E-2</v>
      </c>
      <c r="G16">
        <v>4.4999999999999998E-2</v>
      </c>
      <c r="H16">
        <v>4.4999999999999998E-2</v>
      </c>
      <c r="I16">
        <v>4.4999999999999998E-2</v>
      </c>
    </row>
    <row r="18" spans="1:9" x14ac:dyDescent="0.25">
      <c r="A18" s="50" t="s">
        <v>124</v>
      </c>
      <c r="B18" s="50"/>
      <c r="C18" s="50"/>
      <c r="D18" s="50"/>
      <c r="E18" s="50"/>
      <c r="F18" s="50"/>
      <c r="G18" s="50"/>
      <c r="H18" s="50"/>
      <c r="I18" s="50"/>
    </row>
    <row r="19" spans="1:9" x14ac:dyDescent="0.25">
      <c r="A19" s="20" t="s">
        <v>115</v>
      </c>
      <c r="B19" s="20" t="s">
        <v>116</v>
      </c>
      <c r="C19" s="20">
        <v>2017</v>
      </c>
      <c r="D19" s="20">
        <f>C19+5</f>
        <v>2022</v>
      </c>
      <c r="E19" s="20">
        <f t="shared" ref="E19:I19" si="1">D19+5</f>
        <v>2027</v>
      </c>
      <c r="F19" s="20">
        <f t="shared" si="1"/>
        <v>2032</v>
      </c>
      <c r="G19" s="20">
        <f t="shared" si="1"/>
        <v>2037</v>
      </c>
      <c r="H19" s="20">
        <f t="shared" si="1"/>
        <v>2042</v>
      </c>
      <c r="I19" s="20">
        <f t="shared" si="1"/>
        <v>2047</v>
      </c>
    </row>
    <row r="20" spans="1:9" x14ac:dyDescent="0.25">
      <c r="A20" s="20" t="s">
        <v>17</v>
      </c>
      <c r="B20" s="20"/>
      <c r="C20" s="4">
        <f>C3/'Conversion Factors'!$B$6*10^12/10^3</f>
        <v>689989.30592868885</v>
      </c>
      <c r="D20" s="4">
        <f>D3/'Conversion Factors'!$B$6*10^12/10^3</f>
        <v>725149.32575184549</v>
      </c>
      <c r="E20" s="4">
        <f>E3/'Conversion Factors'!$B$6*10^12/10^3</f>
        <v>760309.34557500202</v>
      </c>
      <c r="F20" s="4">
        <f>F3/'Conversion Factors'!$B$6*10^12/10^3</f>
        <v>795469.36539815855</v>
      </c>
      <c r="G20" s="4">
        <f>G3/'Conversion Factors'!$B$6*10^12/10^3</f>
        <v>830629.38522131531</v>
      </c>
      <c r="H20" s="4">
        <f>H3/'Conversion Factors'!$B$6*10^12/10^3</f>
        <v>865789.40504447173</v>
      </c>
      <c r="I20" s="4">
        <f>I3/'Conversion Factors'!$B$6*10^12/10^3</f>
        <v>900949.42486762838</v>
      </c>
    </row>
    <row r="21" spans="1:9" x14ac:dyDescent="0.25">
      <c r="A21" s="20" t="s">
        <v>71</v>
      </c>
      <c r="B21" s="20" t="s">
        <v>112</v>
      </c>
      <c r="C21" s="4">
        <f>C4/'Conversion Factors'!$B$6*10^12/10^3</f>
        <v>907708.03580655472</v>
      </c>
      <c r="D21" s="4">
        <f>D4/'Conversion Factors'!$B$6*10^12/10^3</f>
        <v>950039.12658372836</v>
      </c>
      <c r="E21" s="4">
        <f>E4/'Conversion Factors'!$B$6*10^12/10^3</f>
        <v>994344.33367991436</v>
      </c>
      <c r="F21" s="4">
        <f>F4/'Conversion Factors'!$B$6*10^12/10^3</f>
        <v>1040715.7202848275</v>
      </c>
      <c r="G21" s="4">
        <f>G4/'Conversion Factors'!$B$6*10^12/10^3</f>
        <v>1089249.6429678658</v>
      </c>
      <c r="H21" s="4">
        <f>H4/'Conversion Factors'!$B$6*10^12/10^3</f>
        <v>1140046.9519004747</v>
      </c>
      <c r="I21" s="4">
        <f>I4/'Conversion Factors'!$B$6*10^12/10^3</f>
        <v>1193213.2004158974</v>
      </c>
    </row>
    <row r="22" spans="1:9" x14ac:dyDescent="0.25">
      <c r="A22" s="20" t="s">
        <v>71</v>
      </c>
      <c r="B22" s="20" t="s">
        <v>113</v>
      </c>
      <c r="C22" s="4">
        <f>C5/'Conversion Factors'!$B$6*10^12/10^3</f>
        <v>1003256.2501019828</v>
      </c>
      <c r="D22" s="4">
        <f>D5/'Conversion Factors'!$B$6*10^12/10^3</f>
        <v>1050043.2451714897</v>
      </c>
      <c r="E22" s="4">
        <f>E5/'Conversion Factors'!$B$6*10^12/10^3</f>
        <v>1099012.1582777998</v>
      </c>
      <c r="F22" s="4">
        <f>F5/'Conversion Factors'!$B$6*10^12/10^3</f>
        <v>1150264.743472704</v>
      </c>
      <c r="G22" s="4">
        <f>G5/'Conversion Factors'!$B$6*10^12/10^3</f>
        <v>1203907.500122379</v>
      </c>
      <c r="H22" s="4">
        <f>H5/'Conversion Factors'!$B$6*10^12/10^3</f>
        <v>1260051.8942057863</v>
      </c>
      <c r="I22" s="4">
        <f>I5/'Conversion Factors'!$B$6*10^12/10^3</f>
        <v>1318814.5899333616</v>
      </c>
    </row>
    <row r="23" spans="1:9" x14ac:dyDescent="0.25">
      <c r="A23" s="20" t="s">
        <v>71</v>
      </c>
      <c r="B23" s="20" t="s">
        <v>114</v>
      </c>
      <c r="C23" s="4">
        <f>C6/'Conversion Factors'!$B$6*10^12/10^3</f>
        <v>1158522.0983320505</v>
      </c>
      <c r="D23" s="4">
        <f>D6/'Conversion Factors'!$B$6*10^12/10^3</f>
        <v>1212549.9378766005</v>
      </c>
      <c r="E23" s="4">
        <f>E6/'Conversion Factors'!$B$6*10^12/10^3</f>
        <v>1269097.3732493646</v>
      </c>
      <c r="F23" s="4">
        <f>F6/'Conversion Factors'!$B$6*10^12/10^3</f>
        <v>1328281.9061530035</v>
      </c>
      <c r="G23" s="4">
        <f>G6/'Conversion Factors'!$B$6*10^12/10^3</f>
        <v>1390226.5179984607</v>
      </c>
      <c r="H23" s="4">
        <f>H6/'Conversion Factors'!$B$6*10^12/10^3</f>
        <v>1455059.9254519208</v>
      </c>
      <c r="I23" s="4">
        <f>I6/'Conversion Factors'!$B$6*10^12/10^3</f>
        <v>1522916.8478992386</v>
      </c>
    </row>
    <row r="24" spans="1:9" x14ac:dyDescent="0.25">
      <c r="A24" s="20" t="s">
        <v>71</v>
      </c>
      <c r="B24" s="20" t="s">
        <v>111</v>
      </c>
      <c r="C24" s="4">
        <f>C7/'Conversion Factors'!$B$6*10^12/10^3</f>
        <v>1742918.8640164544</v>
      </c>
      <c r="D24" s="4">
        <f>D7/'Conversion Factors'!$B$6*10^12/10^3</f>
        <v>1824200.1281889922</v>
      </c>
      <c r="E24" s="4">
        <f>E7/'Conversion Factors'!$B$6*10^12/10^3</f>
        <v>1909271.9554461751</v>
      </c>
      <c r="F24" s="4">
        <f>F7/'Conversion Factors'!$B$6*10^12/10^3</f>
        <v>1998311.1192258536</v>
      </c>
      <c r="G24" s="4">
        <f>G7/'Conversion Factors'!$B$6*10^12/10^3</f>
        <v>2091502.6368197557</v>
      </c>
      <c r="H24" s="4">
        <f>H7/'Conversion Factors'!$B$6*10^12/10^3</f>
        <v>2189040.1538267848</v>
      </c>
      <c r="I24" s="4">
        <f>I7/'Conversion Factors'!$B$6*10^12/10^3</f>
        <v>2291126.346535421</v>
      </c>
    </row>
    <row r="25" spans="1:9" x14ac:dyDescent="0.25">
      <c r="A25" s="20" t="s">
        <v>19</v>
      </c>
      <c r="B25" s="20" t="s">
        <v>118</v>
      </c>
      <c r="C25" s="4">
        <f>C8/'Conversion Factors'!$B$6*10^12/10^3</f>
        <v>1487013.8762096041</v>
      </c>
      <c r="D25" s="4">
        <f>D8/'Conversion Factors'!$B$6*10^12/10^3</f>
        <v>1458599.5983202483</v>
      </c>
      <c r="E25" s="4">
        <f>E8/'Conversion Factors'!$B$6*10^12/10^3</f>
        <v>1430185.3204308928</v>
      </c>
      <c r="F25" s="4">
        <f>F8/'Conversion Factors'!$B$6*10^12/10^3</f>
        <v>1401771.0425415372</v>
      </c>
      <c r="G25" s="4">
        <f>G8/'Conversion Factors'!$B$6*10^12/10^3</f>
        <v>1373356.7646521816</v>
      </c>
      <c r="H25" s="4">
        <f>H8/'Conversion Factors'!$B$6*10^12/10^3</f>
        <v>1344942.4867628263</v>
      </c>
      <c r="I25" s="4">
        <f>I8/'Conversion Factors'!$B$6*10^12/10^3</f>
        <v>1316528.2088734708</v>
      </c>
    </row>
    <row r="26" spans="1:9" x14ac:dyDescent="0.25">
      <c r="A26" s="20" t="s">
        <v>19</v>
      </c>
      <c r="B26" s="20" t="s">
        <v>119</v>
      </c>
      <c r="C26" s="4">
        <f>C9/'Conversion Factors'!$B$6*10^12/10^3</f>
        <v>3762324.2651086361</v>
      </c>
      <c r="D26" s="4">
        <f>D9/'Conversion Factors'!$B$6*10^12/10^3</f>
        <v>3690432.7186415927</v>
      </c>
      <c r="E26" s="4">
        <f>E9/'Conversion Factors'!$B$6*10^12/10^3</f>
        <v>3618541.1721745483</v>
      </c>
      <c r="F26" s="4">
        <f>F9/'Conversion Factors'!$B$6*10^12/10^3</f>
        <v>3546649.6257075048</v>
      </c>
      <c r="G26" s="4">
        <f>G9/'Conversion Factors'!$B$6*10^12/10^3</f>
        <v>3474758.0792404604</v>
      </c>
      <c r="H26" s="4">
        <f>H9/'Conversion Factors'!$B$6*10^12/10^3</f>
        <v>3402866.532773416</v>
      </c>
      <c r="I26" s="4">
        <f>I9/'Conversion Factors'!$B$6*10^12/10^3</f>
        <v>3330974.9863063726</v>
      </c>
    </row>
    <row r="27" spans="1:9" x14ac:dyDescent="0.25">
      <c r="A27" s="20" t="s">
        <v>23</v>
      </c>
      <c r="B27" s="20" t="s">
        <v>126</v>
      </c>
      <c r="C27" s="4">
        <f>C10/'Conversion Factors'!$B$6*10^12/10^3</f>
        <v>2468765.4868410807</v>
      </c>
      <c r="D27" s="4">
        <f>D10/'Conversion Factors'!$B$6*10^12/10^3</f>
        <v>2344870.7582357312</v>
      </c>
      <c r="E27" s="4">
        <f>E10/'Conversion Factors'!$B$6*10^12/10^3</f>
        <v>2220976.0296303998</v>
      </c>
      <c r="F27" s="4">
        <f>F10/'Conversion Factors'!$B$6*10^12/10^3</f>
        <v>2097081.3010250684</v>
      </c>
      <c r="G27" s="4">
        <f>G10/'Conversion Factors'!$B$6*10^12/10^3</f>
        <v>1973186.572419737</v>
      </c>
      <c r="H27" s="4">
        <f>H10/'Conversion Factors'!$B$6*10^12/10^3</f>
        <v>1849291.843814387</v>
      </c>
      <c r="I27" s="4">
        <f>I10/'Conversion Factors'!$B$6*10^12/10^3</f>
        <v>1725397.1152090558</v>
      </c>
    </row>
    <row r="28" spans="1:9" x14ac:dyDescent="0.25">
      <c r="A28" s="20" t="s">
        <v>23</v>
      </c>
      <c r="B28" s="20" t="s">
        <v>127</v>
      </c>
      <c r="C28" s="4">
        <f>C11/'Conversion Factors'!$B$6*10^12/10^3</f>
        <v>1186781.0845353294</v>
      </c>
      <c r="D28" s="4">
        <f>D11/'Conversion Factors'!$B$6*10^12/10^3</f>
        <v>1186781.0845353294</v>
      </c>
      <c r="E28" s="4">
        <f>E11/'Conversion Factors'!$B$6*10^12/10^3</f>
        <v>1186781.0845353294</v>
      </c>
      <c r="F28" s="4">
        <f>F11/'Conversion Factors'!$B$6*10^12/10^3</f>
        <v>1186781.0845353294</v>
      </c>
      <c r="G28" s="4">
        <f>G11/'Conversion Factors'!$B$6*10^12/10^3</f>
        <v>1177651.9992696731</v>
      </c>
      <c r="H28" s="4">
        <f>H11/'Conversion Factors'!$B$6*10^12/10^3</f>
        <v>1168522.9140040167</v>
      </c>
      <c r="I28" s="4">
        <f>I11/'Conversion Factors'!$B$6*10^12/10^3</f>
        <v>1159393.8287383604</v>
      </c>
    </row>
    <row r="29" spans="1:9" x14ac:dyDescent="0.25">
      <c r="A29" s="20" t="s">
        <v>120</v>
      </c>
      <c r="B29" s="20" t="s">
        <v>121</v>
      </c>
      <c r="C29" s="4">
        <f>C12/'Conversion Factors'!$B$6*10^12/10^3</f>
        <v>1244476.9034142776</v>
      </c>
      <c r="D29" s="4">
        <f>D12/'Conversion Factors'!$B$6*10^12/10^3</f>
        <v>1178747.4895015517</v>
      </c>
      <c r="E29" s="4">
        <f>E12/'Conversion Factors'!$B$6*10^12/10^3</f>
        <v>1153916.3775789663</v>
      </c>
      <c r="F29" s="4">
        <f>F12/'Conversion Factors'!$B$6*10^12/10^3</f>
        <v>1150264.7434727037</v>
      </c>
      <c r="G29" s="4">
        <f>G12/'Conversion Factors'!$B$6*10^12/10^3</f>
        <v>1139309.8411539162</v>
      </c>
      <c r="H29" s="4">
        <f>H12/'Conversion Factors'!$B$6*10^12/10^3</f>
        <v>1137484.0241007847</v>
      </c>
      <c r="I29" s="4">
        <f>I12/'Conversion Factors'!$B$6*10^12/10^3</f>
        <v>1135658.2070476536</v>
      </c>
    </row>
    <row r="30" spans="1:9" x14ac:dyDescent="0.25">
      <c r="A30" s="20" t="s">
        <v>26</v>
      </c>
      <c r="B30" s="20" t="s">
        <v>122</v>
      </c>
      <c r="C30" s="4">
        <f>C13/'Conversion Factors'!$B$6*10^12/10^3</f>
        <v>2358590.4692349825</v>
      </c>
      <c r="D30" s="4">
        <f>D13/'Conversion Factors'!$B$6*10^12/10^3</f>
        <v>2490356.0343253608</v>
      </c>
      <c r="E30" s="4">
        <f>E13/'Conversion Factors'!$B$6*10^12/10^3</f>
        <v>2660733.6863246309</v>
      </c>
      <c r="F30" s="4">
        <f>F13/'Conversion Factors'!$B$6*10^12/10^3</f>
        <v>2858227.6136571118</v>
      </c>
      <c r="G30" s="4">
        <f>G13/'Conversion Factors'!$B$6*10^12/10^3</f>
        <v>2802955.4515245571</v>
      </c>
      <c r="H30" s="4">
        <f>H13/'Conversion Factors'!$B$6*10^12/10^3</f>
        <v>2760948.6083038161</v>
      </c>
      <c r="I30" s="4">
        <f>I13/'Conversion Factors'!$B$6*10^12/10^3</f>
        <v>2730703.6811848823</v>
      </c>
    </row>
    <row r="31" spans="1:9" x14ac:dyDescent="0.25">
      <c r="A31" s="20" t="s">
        <v>24</v>
      </c>
      <c r="B31" s="20"/>
      <c r="C31" s="4">
        <f>C14/'Conversion Factors'!$B$6*10^12/10^3</f>
        <v>1086361.1466131094</v>
      </c>
      <c r="D31" s="4">
        <f>D14/'Conversion Factors'!$B$6*10^12/10^3</f>
        <v>1086361.1466131094</v>
      </c>
      <c r="E31" s="4">
        <f>E14/'Conversion Factors'!$B$6*10^12/10^3</f>
        <v>1077232.0613474529</v>
      </c>
      <c r="F31" s="4">
        <f>F14/'Conversion Factors'!$B$6*10^12/10^3</f>
        <v>1068102.9760817965</v>
      </c>
      <c r="G31" s="4">
        <f>G14/'Conversion Factors'!$B$6*10^12/10^3</f>
        <v>1058973.8908161402</v>
      </c>
      <c r="H31" s="4">
        <f>H14/'Conversion Factors'!$B$6*10^12/10^3</f>
        <v>1058973.8908161402</v>
      </c>
      <c r="I31" s="4">
        <f>I14/'Conversion Factors'!$B$6*10^12/10^3</f>
        <v>1049844.8055504838</v>
      </c>
    </row>
    <row r="32" spans="1:9" x14ac:dyDescent="0.25">
      <c r="A32" s="20" t="s">
        <v>25</v>
      </c>
      <c r="B32" s="20"/>
      <c r="C32" s="4">
        <f>C15/'Conversion Factors'!$B$6*10^12/10^3</f>
        <v>2875661.8586817603</v>
      </c>
      <c r="D32" s="4">
        <f>D15/'Conversion Factors'!$B$6*10^12/10^3</f>
        <v>2693080.1533686323</v>
      </c>
      <c r="E32" s="4">
        <f>E15/'Conversion Factors'!$B$6*10^12/10^3</f>
        <v>2583531.1301807556</v>
      </c>
      <c r="F32" s="4">
        <f>F15/'Conversion Factors'!$B$6*10^12/10^3</f>
        <v>2537885.7038524733</v>
      </c>
      <c r="G32" s="4">
        <f>G15/'Conversion Factors'!$B$6*10^12/10^3</f>
        <v>2510498.4480555048</v>
      </c>
      <c r="H32" s="4">
        <f>H15/'Conversion Factors'!$B$6*10^12/10^3</f>
        <v>2492240.2775241924</v>
      </c>
      <c r="I32" s="4">
        <f>I15/'Conversion Factors'!$B$6*10^12/10^3</f>
        <v>2483111.1922585354</v>
      </c>
    </row>
    <row r="33" spans="1:9" x14ac:dyDescent="0.25">
      <c r="A33" s="20" t="s">
        <v>20</v>
      </c>
      <c r="B33" s="20"/>
      <c r="C33" s="4">
        <f>C16/'Conversion Factors'!$B$6*10^12/10^3</f>
        <v>821617.67390907416</v>
      </c>
      <c r="D33" s="4">
        <f>D16/'Conversion Factors'!$B$6*10^12/10^3</f>
        <v>821617.67390907416</v>
      </c>
      <c r="E33" s="4">
        <f>E16/'Conversion Factors'!$B$6*10^12/10^3</f>
        <v>821617.67390907416</v>
      </c>
      <c r="F33" s="4">
        <f>F16/'Conversion Factors'!$B$6*10^12/10^3</f>
        <v>821617.67390907416</v>
      </c>
      <c r="G33" s="4">
        <f>G16/'Conversion Factors'!$B$6*10^12/10^3</f>
        <v>821617.67390907416</v>
      </c>
      <c r="H33" s="4">
        <f>H16/'Conversion Factors'!$B$6*10^12/10^3</f>
        <v>821617.67390907416</v>
      </c>
      <c r="I33" s="4">
        <f>I16/'Conversion Factors'!$B$6*10^12/10^3</f>
        <v>821617.67390907416</v>
      </c>
    </row>
    <row r="35" spans="1:9" x14ac:dyDescent="0.25">
      <c r="A35" s="51" t="s">
        <v>125</v>
      </c>
      <c r="B35" s="51"/>
      <c r="C35" s="51"/>
      <c r="D35" s="51"/>
      <c r="E35" s="51"/>
      <c r="F35" s="51"/>
      <c r="G35" s="51"/>
      <c r="H35" s="51"/>
      <c r="I35" s="51"/>
    </row>
    <row r="36" spans="1:9" x14ac:dyDescent="0.25">
      <c r="A36" s="20" t="s">
        <v>115</v>
      </c>
      <c r="B36" s="20" t="s">
        <v>116</v>
      </c>
      <c r="C36" s="20">
        <v>2017</v>
      </c>
      <c r="D36" s="20">
        <f>C36+5</f>
        <v>2022</v>
      </c>
      <c r="E36" s="20">
        <f t="shared" ref="E36:I36" si="2">D36+5</f>
        <v>2027</v>
      </c>
      <c r="F36" s="20">
        <f t="shared" si="2"/>
        <v>2032</v>
      </c>
      <c r="G36" s="20">
        <f t="shared" si="2"/>
        <v>2037</v>
      </c>
      <c r="H36" s="20">
        <f t="shared" si="2"/>
        <v>2042</v>
      </c>
      <c r="I36" s="20">
        <f t="shared" si="2"/>
        <v>2047</v>
      </c>
    </row>
    <row r="37" spans="1:9" x14ac:dyDescent="0.25">
      <c r="A37" s="20" t="s">
        <v>71</v>
      </c>
      <c r="B37" s="20" t="s">
        <v>112</v>
      </c>
      <c r="C37" s="16">
        <v>5.2694700000000001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</row>
    <row r="38" spans="1:9" x14ac:dyDescent="0.25">
      <c r="A38" s="20" t="s">
        <v>71</v>
      </c>
      <c r="B38" s="20" t="s">
        <v>113</v>
      </c>
      <c r="C38" s="16">
        <v>5.2694700000000001</v>
      </c>
      <c r="D38" s="16">
        <v>11.223305300940533</v>
      </c>
      <c r="E38" s="16">
        <v>8.3639776393072864</v>
      </c>
      <c r="F38" s="16">
        <v>3.9041751522583534</v>
      </c>
      <c r="G38" s="16">
        <v>2.003787829112035</v>
      </c>
      <c r="H38" s="16">
        <v>1.106129559254851</v>
      </c>
      <c r="I38" s="16">
        <v>0.45366202535004463</v>
      </c>
    </row>
    <row r="39" spans="1:9" x14ac:dyDescent="0.25">
      <c r="A39" s="20" t="s">
        <v>71</v>
      </c>
      <c r="B39" s="20" t="s">
        <v>114</v>
      </c>
      <c r="C39" s="16">
        <v>0</v>
      </c>
      <c r="D39" s="16">
        <v>0.59070027899687017</v>
      </c>
      <c r="E39" s="16">
        <v>0.92933084881192074</v>
      </c>
      <c r="F39" s="16">
        <v>0.78083503045167069</v>
      </c>
      <c r="G39" s="16">
        <v>1.2022726974672213</v>
      </c>
      <c r="H39" s="16">
        <v>1.4748394123398016</v>
      </c>
      <c r="I39" s="16">
        <v>1.814648101400179</v>
      </c>
    </row>
    <row r="40" spans="1:9" x14ac:dyDescent="0.25">
      <c r="A40" s="20" t="s">
        <v>71</v>
      </c>
      <c r="B40" s="20" t="s">
        <v>111</v>
      </c>
      <c r="C40" s="16">
        <v>0</v>
      </c>
      <c r="D40" s="16">
        <v>0</v>
      </c>
      <c r="E40" s="16">
        <v>0</v>
      </c>
      <c r="F40" s="16">
        <v>0.52055668696778046</v>
      </c>
      <c r="G40" s="16">
        <v>0.80151513164481425</v>
      </c>
      <c r="H40" s="16">
        <v>1.106129559254851</v>
      </c>
      <c r="I40" s="16">
        <v>2.2683101267502237</v>
      </c>
    </row>
    <row r="41" spans="1:9" x14ac:dyDescent="0.25">
      <c r="A41" s="20" t="s">
        <v>19</v>
      </c>
      <c r="B41" s="20" t="s">
        <v>118</v>
      </c>
      <c r="C41" s="16">
        <v>0.56000000000000016</v>
      </c>
      <c r="D41" s="16">
        <v>0.41999999999999982</v>
      </c>
      <c r="E41" s="16">
        <v>0.34400000000000008</v>
      </c>
      <c r="F41" s="16">
        <v>0.4840000000000001</v>
      </c>
      <c r="G41" s="16">
        <v>0.24399999999999994</v>
      </c>
      <c r="H41" s="16">
        <v>0.5239999999999998</v>
      </c>
      <c r="I41" s="16">
        <v>0.32400000000000001</v>
      </c>
    </row>
    <row r="42" spans="1:9" x14ac:dyDescent="0.25">
      <c r="A42" s="20" t="s">
        <v>19</v>
      </c>
      <c r="B42" s="20" t="s">
        <v>119</v>
      </c>
      <c r="C42" s="16">
        <v>0.4</v>
      </c>
      <c r="D42" s="16">
        <v>0</v>
      </c>
      <c r="E42" s="16">
        <v>0.2</v>
      </c>
      <c r="F42" s="16">
        <v>0</v>
      </c>
      <c r="G42" s="16">
        <v>0.72000000000000008</v>
      </c>
      <c r="H42" s="16">
        <v>0.52999999999999992</v>
      </c>
      <c r="I42" s="16">
        <v>0.21999999999999992</v>
      </c>
    </row>
    <row r="43" spans="1:9" x14ac:dyDescent="0.25">
      <c r="A43" s="20" t="s">
        <v>23</v>
      </c>
      <c r="B43" s="20" t="s">
        <v>126</v>
      </c>
      <c r="C43" s="16">
        <v>8</v>
      </c>
      <c r="D43" s="16">
        <v>12</v>
      </c>
      <c r="E43" s="16">
        <v>2</v>
      </c>
      <c r="F43" s="16">
        <v>3</v>
      </c>
      <c r="G43" s="16">
        <v>3</v>
      </c>
      <c r="H43" s="16">
        <v>3</v>
      </c>
      <c r="I43" s="16">
        <v>3</v>
      </c>
    </row>
    <row r="44" spans="1:9" x14ac:dyDescent="0.25">
      <c r="A44" s="20" t="s">
        <v>23</v>
      </c>
      <c r="B44" s="20" t="s">
        <v>127</v>
      </c>
      <c r="C44" s="16">
        <v>2.1</v>
      </c>
      <c r="D44" s="16">
        <v>3.5</v>
      </c>
      <c r="E44" s="16">
        <v>2.5</v>
      </c>
      <c r="F44" s="16">
        <v>2</v>
      </c>
      <c r="G44" s="16">
        <v>1</v>
      </c>
      <c r="H44" s="16">
        <v>2.5</v>
      </c>
      <c r="I44" s="16">
        <v>1.5</v>
      </c>
    </row>
    <row r="46" spans="1:9" x14ac:dyDescent="0.25">
      <c r="A46" s="51" t="s">
        <v>128</v>
      </c>
      <c r="B46" s="51"/>
      <c r="C46" s="51"/>
      <c r="D46" s="51"/>
      <c r="E46" s="51"/>
      <c r="F46" s="51"/>
      <c r="G46" s="51"/>
      <c r="H46" s="51"/>
      <c r="I46" s="20"/>
    </row>
    <row r="47" spans="1:9" x14ac:dyDescent="0.25">
      <c r="A47" t="s">
        <v>101</v>
      </c>
      <c r="B47">
        <v>2017</v>
      </c>
      <c r="C47" s="4">
        <v>2022</v>
      </c>
      <c r="D47" s="20">
        <v>2027</v>
      </c>
      <c r="E47" s="4">
        <v>2032</v>
      </c>
      <c r="F47" s="20">
        <v>2037</v>
      </c>
      <c r="G47" s="4">
        <v>2042</v>
      </c>
      <c r="H47" s="20">
        <v>2047</v>
      </c>
      <c r="I47" s="4"/>
    </row>
    <row r="48" spans="1:9" x14ac:dyDescent="0.25">
      <c r="A48" s="20" t="s">
        <v>14</v>
      </c>
      <c r="B48" s="4">
        <f>SUMPRODUCT(C37:C40,C21:C24)/SUM(C37:C40)</f>
        <v>955482.14295426896</v>
      </c>
      <c r="C48" s="4">
        <f t="shared" ref="C48:H48" si="3">SUMPRODUCT(D37:D40,D21:D24)/SUM(D37:D40)</f>
        <v>1058168.5798067451</v>
      </c>
      <c r="D48" s="4">
        <f t="shared" si="3"/>
        <v>1116020.6797749563</v>
      </c>
      <c r="E48" s="4">
        <f t="shared" si="3"/>
        <v>1261771.9554500636</v>
      </c>
      <c r="F48" s="4">
        <f t="shared" si="3"/>
        <v>1437322.232824679</v>
      </c>
      <c r="G48" s="4">
        <f t="shared" si="3"/>
        <v>1616751.5845905396</v>
      </c>
      <c r="H48" s="4">
        <f t="shared" si="3"/>
        <v>1886611.371420742</v>
      </c>
    </row>
    <row r="49" spans="1:8" x14ac:dyDescent="0.25">
      <c r="A49" s="20" t="s">
        <v>17</v>
      </c>
      <c r="B49" s="4">
        <f>C20</f>
        <v>689989.30592868885</v>
      </c>
      <c r="C49" s="4">
        <f t="shared" ref="C49:H49" si="4">D20</f>
        <v>725149.32575184549</v>
      </c>
      <c r="D49" s="4">
        <f t="shared" si="4"/>
        <v>760309.34557500202</v>
      </c>
      <c r="E49" s="4">
        <f t="shared" si="4"/>
        <v>795469.36539815855</v>
      </c>
      <c r="F49" s="4">
        <f t="shared" si="4"/>
        <v>830629.38522131531</v>
      </c>
      <c r="G49" s="4">
        <f t="shared" si="4"/>
        <v>865789.40504447173</v>
      </c>
      <c r="H49" s="4">
        <f t="shared" si="4"/>
        <v>900949.42486762838</v>
      </c>
    </row>
    <row r="50" spans="1:8" x14ac:dyDescent="0.25">
      <c r="A50" s="20" t="s">
        <v>19</v>
      </c>
      <c r="B50" s="4">
        <f>SUMPRODUCT(C41:C42,C25:C26)/SUM(C41:C42)</f>
        <v>2435059.8715842008</v>
      </c>
      <c r="C50" s="4">
        <f t="shared" ref="C50:H50" si="5">SUMPRODUCT(D41:D42,D25:D26)/SUM(D41:D42)</f>
        <v>1458599.5983202483</v>
      </c>
      <c r="D50" s="4">
        <f t="shared" si="5"/>
        <v>2234727.9129837072</v>
      </c>
      <c r="E50" s="4">
        <f t="shared" si="5"/>
        <v>1401771.0425415372</v>
      </c>
      <c r="F50" s="4">
        <f t="shared" si="5"/>
        <v>2942868.1199463322</v>
      </c>
      <c r="G50" s="4">
        <f t="shared" si="5"/>
        <v>2379761.9785897834</v>
      </c>
      <c r="H50" s="4">
        <f t="shared" si="5"/>
        <v>2131194.1850411883</v>
      </c>
    </row>
    <row r="51" spans="1:8" x14ac:dyDescent="0.25">
      <c r="A51" s="20" t="s">
        <v>23</v>
      </c>
      <c r="B51" s="4">
        <f>SUMPRODUCT(C43:C44,C27:C28)/SUM(C43:C44)</f>
        <v>2202214.2744804788</v>
      </c>
      <c r="C51" s="4">
        <f t="shared" ref="C51:H51" si="6">SUMPRODUCT(D43:D44,D27:D28)/SUM(D43:D44)</f>
        <v>2083366.6383678985</v>
      </c>
      <c r="D51" s="4">
        <f t="shared" si="6"/>
        <v>1646423.2823553607</v>
      </c>
      <c r="E51" s="4">
        <f t="shared" si="6"/>
        <v>1732961.2144291729</v>
      </c>
      <c r="F51" s="4">
        <f t="shared" si="6"/>
        <v>1774302.9291322213</v>
      </c>
      <c r="G51" s="4">
        <f t="shared" si="6"/>
        <v>1539851.4211733097</v>
      </c>
      <c r="H51" s="4">
        <f t="shared" si="6"/>
        <v>1536729.3530521572</v>
      </c>
    </row>
    <row r="52" spans="1:8" x14ac:dyDescent="0.25">
      <c r="A52" s="20" t="s">
        <v>24</v>
      </c>
      <c r="B52" s="4">
        <f>C31</f>
        <v>1086361.1466131094</v>
      </c>
      <c r="C52" s="4">
        <f t="shared" ref="C52:H52" si="7">D31</f>
        <v>1086361.1466131094</v>
      </c>
      <c r="D52" s="4">
        <f t="shared" si="7"/>
        <v>1077232.0613474529</v>
      </c>
      <c r="E52" s="4">
        <f t="shared" si="7"/>
        <v>1068102.9760817965</v>
      </c>
      <c r="F52" s="4">
        <f t="shared" si="7"/>
        <v>1058973.8908161402</v>
      </c>
      <c r="G52" s="4">
        <f t="shared" si="7"/>
        <v>1058973.8908161402</v>
      </c>
      <c r="H52" s="4">
        <f t="shared" si="7"/>
        <v>1049844.8055504838</v>
      </c>
    </row>
    <row r="53" spans="1:8" x14ac:dyDescent="0.25">
      <c r="A53" s="20" t="s">
        <v>27</v>
      </c>
      <c r="B53" s="4">
        <f>C29</f>
        <v>1244476.9034142776</v>
      </c>
      <c r="C53" s="4">
        <f t="shared" ref="C53:H53" si="8">D29</f>
        <v>1178747.4895015517</v>
      </c>
      <c r="D53" s="4">
        <f t="shared" si="8"/>
        <v>1153916.3775789663</v>
      </c>
      <c r="E53" s="4">
        <f t="shared" si="8"/>
        <v>1150264.7434727037</v>
      </c>
      <c r="F53" s="4">
        <f t="shared" si="8"/>
        <v>1139309.8411539162</v>
      </c>
      <c r="G53" s="4">
        <f t="shared" si="8"/>
        <v>1137484.0241007847</v>
      </c>
      <c r="H53" s="4">
        <f t="shared" si="8"/>
        <v>1135658.2070476536</v>
      </c>
    </row>
    <row r="54" spans="1:8" x14ac:dyDescent="0.25">
      <c r="A54" s="20" t="s">
        <v>26</v>
      </c>
      <c r="B54" s="4">
        <f>C30</f>
        <v>2358590.4692349825</v>
      </c>
      <c r="C54" s="4">
        <f t="shared" ref="C54:H54" si="9">D30</f>
        <v>2490356.0343253608</v>
      </c>
      <c r="D54" s="4">
        <f t="shared" si="9"/>
        <v>2660733.6863246309</v>
      </c>
      <c r="E54" s="4">
        <f t="shared" si="9"/>
        <v>2858227.6136571118</v>
      </c>
      <c r="F54" s="4">
        <f t="shared" si="9"/>
        <v>2802955.4515245571</v>
      </c>
      <c r="G54" s="4">
        <f t="shared" si="9"/>
        <v>2760948.6083038161</v>
      </c>
      <c r="H54" s="4">
        <f t="shared" si="9"/>
        <v>2730703.6811848823</v>
      </c>
    </row>
    <row r="55" spans="1:8" x14ac:dyDescent="0.25">
      <c r="A55" s="20" t="s">
        <v>20</v>
      </c>
      <c r="B55" s="4">
        <f>C33</f>
        <v>821617.67390907416</v>
      </c>
      <c r="C55" s="4">
        <f t="shared" ref="C55:H55" si="10">D33</f>
        <v>821617.67390907416</v>
      </c>
      <c r="D55" s="4">
        <f t="shared" si="10"/>
        <v>821617.67390907416</v>
      </c>
      <c r="E55" s="4">
        <f t="shared" si="10"/>
        <v>821617.67390907416</v>
      </c>
      <c r="F55" s="4">
        <f t="shared" si="10"/>
        <v>821617.67390907416</v>
      </c>
      <c r="G55" s="4">
        <f t="shared" si="10"/>
        <v>821617.67390907416</v>
      </c>
      <c r="H55" s="4">
        <f t="shared" si="10"/>
        <v>821617.67390907416</v>
      </c>
    </row>
    <row r="56" spans="1:8" x14ac:dyDescent="0.25">
      <c r="A56" s="20" t="s">
        <v>21</v>
      </c>
      <c r="C56" s="20"/>
      <c r="D56" s="20"/>
      <c r="E56" s="20"/>
      <c r="F56" s="20"/>
      <c r="G56" s="20"/>
      <c r="H56" s="20"/>
    </row>
    <row r="57" spans="1:8" x14ac:dyDescent="0.25">
      <c r="A57" s="20" t="s">
        <v>74</v>
      </c>
      <c r="C57" s="20"/>
      <c r="D57" s="20"/>
      <c r="E57" s="20"/>
      <c r="F57" s="20"/>
      <c r="G57" s="20"/>
      <c r="H57" s="20"/>
    </row>
    <row r="58" spans="1:8" x14ac:dyDescent="0.25">
      <c r="A58" s="20" t="s">
        <v>18</v>
      </c>
      <c r="C58" s="20"/>
      <c r="D58" s="20"/>
      <c r="E58" s="20"/>
      <c r="F58" s="20"/>
      <c r="G58" s="20"/>
      <c r="H58" s="20"/>
    </row>
    <row r="59" spans="1:8" x14ac:dyDescent="0.25">
      <c r="A59" s="20" t="s">
        <v>75</v>
      </c>
      <c r="C59" s="20"/>
      <c r="D59" s="20"/>
      <c r="E59" s="20"/>
      <c r="F59" s="20"/>
      <c r="G59" s="20"/>
      <c r="H59" s="20"/>
    </row>
    <row r="60" spans="1:8" x14ac:dyDescent="0.25">
      <c r="A60" s="20" t="s">
        <v>25</v>
      </c>
      <c r="B60" s="4">
        <f>C32</f>
        <v>2875661.8586817603</v>
      </c>
      <c r="C60" s="4">
        <f t="shared" ref="C60:H60" si="11">D32</f>
        <v>2693080.1533686323</v>
      </c>
      <c r="D60" s="4">
        <f t="shared" si="11"/>
        <v>2583531.1301807556</v>
      </c>
      <c r="E60" s="4">
        <f t="shared" si="11"/>
        <v>2537885.7038524733</v>
      </c>
      <c r="F60" s="4">
        <f t="shared" si="11"/>
        <v>2510498.4480555048</v>
      </c>
      <c r="G60" s="4">
        <f t="shared" si="11"/>
        <v>2492240.2775241924</v>
      </c>
      <c r="H60" s="4">
        <f t="shared" si="11"/>
        <v>2483111.1922585354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cols>
    <col min="1" max="1" width="11.42578125" customWidth="1"/>
  </cols>
  <sheetData>
    <row r="1" spans="1:2" x14ac:dyDescent="0.25">
      <c r="A1">
        <v>27.5</v>
      </c>
      <c r="B1" t="s">
        <v>129</v>
      </c>
    </row>
    <row r="2" spans="1:2" x14ac:dyDescent="0.25">
      <c r="A2" s="4">
        <f>A1*'Conversion Factors'!A19/'Conversion Factors'!B6</f>
        <v>5020996.8961110096</v>
      </c>
      <c r="B2" t="s">
        <v>130</v>
      </c>
    </row>
    <row r="7" spans="1:2" x14ac:dyDescent="0.25">
      <c r="A7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D8" sqref="D8"/>
    </sheetView>
  </sheetViews>
  <sheetFormatPr defaultRowHeight="15" x14ac:dyDescent="0.25"/>
  <cols>
    <col min="1" max="1" width="31.28515625" bestFit="1" customWidth="1"/>
    <col min="2" max="2" width="20.140625" bestFit="1" customWidth="1"/>
    <col min="3" max="3" width="22.85546875" bestFit="1" customWidth="1"/>
    <col min="4" max="4" width="20.140625" bestFit="1" customWidth="1"/>
  </cols>
  <sheetData>
    <row r="1" spans="1:5" x14ac:dyDescent="0.25">
      <c r="A1" s="102" t="s">
        <v>101</v>
      </c>
      <c r="B1" s="100" t="s">
        <v>135</v>
      </c>
      <c r="C1" s="100"/>
      <c r="D1" s="101"/>
    </row>
    <row r="2" spans="1:5" x14ac:dyDescent="0.25">
      <c r="A2" s="103"/>
      <c r="B2" s="52" t="s">
        <v>133</v>
      </c>
      <c r="C2" s="52" t="s">
        <v>76</v>
      </c>
      <c r="D2" s="53" t="s">
        <v>134</v>
      </c>
    </row>
    <row r="3" spans="1:5" x14ac:dyDescent="0.25">
      <c r="A3" s="54" t="s">
        <v>14</v>
      </c>
      <c r="B3" s="55"/>
      <c r="C3" s="56">
        <v>2.75</v>
      </c>
      <c r="D3" s="57">
        <v>40.75</v>
      </c>
    </row>
    <row r="4" spans="1:5" x14ac:dyDescent="0.25">
      <c r="A4" s="54" t="s">
        <v>17</v>
      </c>
      <c r="B4" s="55"/>
      <c r="C4" s="56">
        <v>3</v>
      </c>
      <c r="D4" s="57">
        <v>11</v>
      </c>
    </row>
    <row r="5" spans="1:5" x14ac:dyDescent="0.25">
      <c r="A5" s="54" t="s">
        <v>19</v>
      </c>
      <c r="B5" s="55"/>
      <c r="C5" s="56">
        <v>3.5</v>
      </c>
      <c r="D5" s="57">
        <v>108.5</v>
      </c>
    </row>
    <row r="6" spans="1:5" x14ac:dyDescent="0.25">
      <c r="A6" s="54" t="s">
        <v>23</v>
      </c>
      <c r="B6" s="55"/>
      <c r="C6" s="56"/>
      <c r="D6" s="57"/>
    </row>
    <row r="7" spans="1:5" x14ac:dyDescent="0.25">
      <c r="A7" s="54" t="s">
        <v>24</v>
      </c>
      <c r="B7" s="55"/>
      <c r="C7" s="62">
        <v>0</v>
      </c>
      <c r="D7" s="57">
        <v>28</v>
      </c>
    </row>
    <row r="8" spans="1:5" x14ac:dyDescent="0.25">
      <c r="A8" s="54" t="s">
        <v>27</v>
      </c>
      <c r="B8" s="55"/>
      <c r="C8" s="62">
        <v>0</v>
      </c>
      <c r="D8" s="57">
        <v>9</v>
      </c>
    </row>
    <row r="9" spans="1:5" x14ac:dyDescent="0.25">
      <c r="A9" s="54" t="s">
        <v>26</v>
      </c>
      <c r="B9" s="55"/>
      <c r="C9" s="62">
        <v>0</v>
      </c>
      <c r="D9" s="57">
        <v>75</v>
      </c>
    </row>
    <row r="10" spans="1:5" x14ac:dyDescent="0.25">
      <c r="A10" s="54" t="s">
        <v>20</v>
      </c>
      <c r="B10" s="55"/>
      <c r="C10" s="56">
        <v>10</v>
      </c>
      <c r="D10" s="57">
        <v>50</v>
      </c>
      <c r="E10" t="s">
        <v>177</v>
      </c>
    </row>
    <row r="11" spans="1:5" x14ac:dyDescent="0.25">
      <c r="A11" s="54" t="s">
        <v>21</v>
      </c>
      <c r="B11" s="55"/>
      <c r="C11" s="62">
        <v>24</v>
      </c>
      <c r="D11" s="57">
        <v>0</v>
      </c>
    </row>
    <row r="12" spans="1:5" x14ac:dyDescent="0.25">
      <c r="A12" s="54" t="s">
        <v>74</v>
      </c>
      <c r="B12" s="56">
        <f>B13</f>
        <v>700</v>
      </c>
      <c r="C12" s="56">
        <f t="shared" ref="C12:D12" si="0">C13</f>
        <v>4.75</v>
      </c>
      <c r="D12" s="57">
        <f t="shared" si="0"/>
        <v>5.5</v>
      </c>
      <c r="E12" t="s">
        <v>176</v>
      </c>
    </row>
    <row r="13" spans="1:5" x14ac:dyDescent="0.25">
      <c r="A13" s="54" t="s">
        <v>18</v>
      </c>
      <c r="B13" s="56">
        <v>700</v>
      </c>
      <c r="C13" s="56">
        <v>4.75</v>
      </c>
      <c r="D13" s="57">
        <v>5.5</v>
      </c>
    </row>
    <row r="14" spans="1:5" x14ac:dyDescent="0.25">
      <c r="A14" s="54" t="s">
        <v>75</v>
      </c>
      <c r="B14" s="55"/>
      <c r="C14" s="56">
        <f>C3</f>
        <v>2.75</v>
      </c>
      <c r="D14" s="57">
        <f>D3</f>
        <v>40.75</v>
      </c>
      <c r="E14" t="s">
        <v>178</v>
      </c>
    </row>
    <row r="15" spans="1:5" ht="15.75" thickBot="1" x14ac:dyDescent="0.3">
      <c r="A15" s="58" t="s">
        <v>25</v>
      </c>
      <c r="B15" s="59"/>
      <c r="C15" s="60">
        <v>0</v>
      </c>
      <c r="D15" s="61">
        <v>80</v>
      </c>
    </row>
    <row r="16" spans="1:5" ht="15.75" thickBot="1" x14ac:dyDescent="0.3"/>
    <row r="17" spans="1:4" x14ac:dyDescent="0.25">
      <c r="A17" s="102" t="s">
        <v>101</v>
      </c>
      <c r="B17" s="100" t="s">
        <v>136</v>
      </c>
      <c r="C17" s="100"/>
      <c r="D17" s="101"/>
    </row>
    <row r="18" spans="1:4" x14ac:dyDescent="0.25">
      <c r="A18" s="103"/>
      <c r="B18" s="52" t="s">
        <v>133</v>
      </c>
      <c r="C18" s="52" t="s">
        <v>76</v>
      </c>
      <c r="D18" s="53" t="s">
        <v>134</v>
      </c>
    </row>
    <row r="19" spans="1:4" x14ac:dyDescent="0.25">
      <c r="A19" s="54" t="s">
        <v>14</v>
      </c>
      <c r="B19" s="64"/>
      <c r="C19" s="65">
        <f>C3*'Conversion Factors'!$A$40</f>
        <v>2.4750000000000001</v>
      </c>
      <c r="D19" s="65">
        <f>D3*'Conversion Factors'!$A$40</f>
        <v>36.675000000000004</v>
      </c>
    </row>
    <row r="20" spans="1:4" x14ac:dyDescent="0.25">
      <c r="A20" s="54" t="s">
        <v>17</v>
      </c>
      <c r="B20" s="64"/>
      <c r="C20" s="65">
        <f>C4*'Conversion Factors'!$A$40</f>
        <v>2.7</v>
      </c>
      <c r="D20" s="65">
        <f>D4*'Conversion Factors'!$A$40</f>
        <v>9.9</v>
      </c>
    </row>
    <row r="21" spans="1:4" x14ac:dyDescent="0.25">
      <c r="A21" s="54" t="s">
        <v>19</v>
      </c>
      <c r="B21" s="64"/>
      <c r="C21" s="65">
        <f>C5*'Conversion Factors'!$A$40</f>
        <v>3.15</v>
      </c>
      <c r="D21" s="65">
        <f>D5*'Conversion Factors'!$A$40</f>
        <v>97.65</v>
      </c>
    </row>
    <row r="22" spans="1:4" x14ac:dyDescent="0.25">
      <c r="A22" s="54" t="s">
        <v>23</v>
      </c>
      <c r="B22" s="64"/>
      <c r="C22" s="65">
        <f>C6*'Conversion Factors'!$A$40</f>
        <v>0</v>
      </c>
      <c r="D22" s="65">
        <f>D6*'Conversion Factors'!$A$40</f>
        <v>0</v>
      </c>
    </row>
    <row r="23" spans="1:4" x14ac:dyDescent="0.25">
      <c r="A23" s="54" t="s">
        <v>24</v>
      </c>
      <c r="B23" s="64"/>
      <c r="C23" s="65">
        <f>C7*'Conversion Factors'!$A$40</f>
        <v>0</v>
      </c>
      <c r="D23" s="65">
        <f>D7*'Conversion Factors'!$A$40</f>
        <v>25.2</v>
      </c>
    </row>
    <row r="24" spans="1:4" x14ac:dyDescent="0.25">
      <c r="A24" s="54" t="s">
        <v>27</v>
      </c>
      <c r="B24" s="64"/>
      <c r="C24" s="65">
        <f>C8*'Conversion Factors'!$A$40</f>
        <v>0</v>
      </c>
      <c r="D24" s="65">
        <f>D8*'Conversion Factors'!$A$40</f>
        <v>8.1</v>
      </c>
    </row>
    <row r="25" spans="1:4" x14ac:dyDescent="0.25">
      <c r="A25" s="54" t="s">
        <v>26</v>
      </c>
      <c r="B25" s="64"/>
      <c r="C25" s="65">
        <f>C9*'Conversion Factors'!$A$40</f>
        <v>0</v>
      </c>
      <c r="D25" s="65">
        <f>D9*'Conversion Factors'!$A$40</f>
        <v>67.5</v>
      </c>
    </row>
    <row r="26" spans="1:4" x14ac:dyDescent="0.25">
      <c r="A26" s="54" t="s">
        <v>20</v>
      </c>
      <c r="B26" s="64"/>
      <c r="C26" s="65">
        <f>C10*'Conversion Factors'!$A$40</f>
        <v>9</v>
      </c>
      <c r="D26" s="65">
        <f>D10*'Conversion Factors'!$A$40</f>
        <v>45</v>
      </c>
    </row>
    <row r="27" spans="1:4" x14ac:dyDescent="0.25">
      <c r="A27" s="54" t="s">
        <v>21</v>
      </c>
      <c r="B27" s="64"/>
      <c r="C27" s="65">
        <f>C11*'Conversion Factors'!$A$40</f>
        <v>21.6</v>
      </c>
      <c r="D27" s="65">
        <f>D11*'Conversion Factors'!$A$40</f>
        <v>0</v>
      </c>
    </row>
    <row r="28" spans="1:4" x14ac:dyDescent="0.25">
      <c r="A28" s="54" t="s">
        <v>74</v>
      </c>
      <c r="B28" s="65">
        <f>B12*'Conversion Factors'!$A$38</f>
        <v>651</v>
      </c>
      <c r="C28" s="65">
        <f>C12*'Conversion Factors'!$A$40</f>
        <v>4.2750000000000004</v>
      </c>
      <c r="D28" s="65">
        <f>D12*'Conversion Factors'!$A$40</f>
        <v>4.95</v>
      </c>
    </row>
    <row r="29" spans="1:4" x14ac:dyDescent="0.25">
      <c r="A29" s="54" t="s">
        <v>18</v>
      </c>
      <c r="B29" s="65">
        <f>B13*'Conversion Factors'!$A$38</f>
        <v>651</v>
      </c>
      <c r="C29" s="65">
        <f>C13*'Conversion Factors'!$A$40</f>
        <v>4.2750000000000004</v>
      </c>
      <c r="D29" s="65">
        <f>D13*'Conversion Factors'!$A$40</f>
        <v>4.95</v>
      </c>
    </row>
    <row r="30" spans="1:4" x14ac:dyDescent="0.25">
      <c r="A30" s="54" t="s">
        <v>75</v>
      </c>
      <c r="B30" s="64"/>
      <c r="C30" s="65">
        <f>C14*'Conversion Factors'!$A$40</f>
        <v>2.4750000000000001</v>
      </c>
      <c r="D30" s="65">
        <f>D14*'Conversion Factors'!$A$40</f>
        <v>36.675000000000004</v>
      </c>
    </row>
    <row r="31" spans="1:4" ht="15.75" thickBot="1" x14ac:dyDescent="0.3">
      <c r="A31" s="58" t="s">
        <v>25</v>
      </c>
      <c r="B31" s="66"/>
      <c r="C31" s="65">
        <f>C15*'Conversion Factors'!$A$40</f>
        <v>0</v>
      </c>
      <c r="D31" s="65">
        <f>D15*'Conversion Factors'!$A$40</f>
        <v>72</v>
      </c>
    </row>
  </sheetData>
  <mergeCells count="4">
    <mergeCell ref="B1:D1"/>
    <mergeCell ref="A1:A2"/>
    <mergeCell ref="A17:A18"/>
    <mergeCell ref="B17:D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E3" sqref="E3"/>
    </sheetView>
  </sheetViews>
  <sheetFormatPr defaultRowHeight="15" x14ac:dyDescent="0.25"/>
  <cols>
    <col min="1" max="1" width="20.5703125" customWidth="1"/>
  </cols>
  <sheetData>
    <row r="1" spans="1:8" x14ac:dyDescent="0.25">
      <c r="A1" s="51" t="s">
        <v>128</v>
      </c>
      <c r="B1" s="51"/>
      <c r="C1" s="51"/>
      <c r="D1" s="51"/>
      <c r="E1" s="51"/>
      <c r="F1" s="51"/>
      <c r="G1" s="51"/>
      <c r="H1" s="51"/>
    </row>
    <row r="2" spans="1:8" x14ac:dyDescent="0.25">
      <c r="A2" s="20" t="s">
        <v>101</v>
      </c>
      <c r="B2" s="20">
        <v>2017</v>
      </c>
      <c r="C2" s="4">
        <v>2022</v>
      </c>
      <c r="D2" s="20">
        <v>2027</v>
      </c>
      <c r="E2" s="4">
        <v>2032</v>
      </c>
      <c r="F2" s="20">
        <v>2037</v>
      </c>
      <c r="G2" s="4">
        <v>2042</v>
      </c>
      <c r="H2" s="20">
        <v>2047</v>
      </c>
    </row>
    <row r="3" spans="1:8" x14ac:dyDescent="0.25">
      <c r="A3" s="20" t="s">
        <v>14</v>
      </c>
      <c r="B3" s="4">
        <f>IESS!B48</f>
        <v>955482.14295426896</v>
      </c>
      <c r="C3" s="4">
        <f>IESS!C48</f>
        <v>1058168.5798067451</v>
      </c>
      <c r="D3" s="4">
        <f>IESS!D48</f>
        <v>1116020.6797749563</v>
      </c>
      <c r="E3" s="4">
        <f>IESS!E48</f>
        <v>1261771.9554500636</v>
      </c>
      <c r="F3" s="4">
        <f>IESS!F48</f>
        <v>1437322.232824679</v>
      </c>
      <c r="G3" s="4">
        <f>IESS!G48</f>
        <v>1616751.5845905396</v>
      </c>
      <c r="H3" s="4">
        <f>IESS!H48</f>
        <v>1886611.371420742</v>
      </c>
    </row>
    <row r="4" spans="1:8" x14ac:dyDescent="0.25">
      <c r="A4" s="20" t="s">
        <v>17</v>
      </c>
      <c r="B4" s="4">
        <f>IESS!B49</f>
        <v>689989.30592868885</v>
      </c>
      <c r="C4" s="4">
        <f>IESS!C49</f>
        <v>725149.32575184549</v>
      </c>
      <c r="D4" s="4">
        <f>IESS!D49</f>
        <v>760309.34557500202</v>
      </c>
      <c r="E4" s="4">
        <f>IESS!E49</f>
        <v>795469.36539815855</v>
      </c>
      <c r="F4" s="4">
        <f>IESS!F49</f>
        <v>830629.38522131531</v>
      </c>
      <c r="G4" s="4">
        <f>IESS!G49</f>
        <v>865789.40504447173</v>
      </c>
      <c r="H4" s="4">
        <f>IESS!H49</f>
        <v>900949.42486762838</v>
      </c>
    </row>
    <row r="5" spans="1:8" x14ac:dyDescent="0.25">
      <c r="A5" s="20" t="s">
        <v>19</v>
      </c>
      <c r="B5" s="4">
        <f>IESS!B50</f>
        <v>2435059.8715842008</v>
      </c>
      <c r="C5" s="4">
        <f>IESS!C50</f>
        <v>1458599.5983202483</v>
      </c>
      <c r="D5" s="4">
        <f>IESS!D50</f>
        <v>2234727.9129837072</v>
      </c>
      <c r="E5" s="4">
        <f>IESS!E50</f>
        <v>1401771.0425415372</v>
      </c>
      <c r="F5" s="4">
        <f>IESS!F50</f>
        <v>2942868.1199463322</v>
      </c>
      <c r="G5" s="4">
        <f>IESS!G50</f>
        <v>2379761.9785897834</v>
      </c>
      <c r="H5" s="4">
        <f>IESS!H50</f>
        <v>2131194.1850411883</v>
      </c>
    </row>
    <row r="6" spans="1:8" x14ac:dyDescent="0.25">
      <c r="A6" s="20" t="s">
        <v>23</v>
      </c>
      <c r="B6" s="4">
        <f>IESS!B51</f>
        <v>2202214.2744804788</v>
      </c>
      <c r="C6" s="4">
        <f>IESS!C51</f>
        <v>2083366.6383678985</v>
      </c>
      <c r="D6" s="4">
        <f>IESS!D51</f>
        <v>1646423.2823553607</v>
      </c>
      <c r="E6" s="4">
        <f>IESS!E51</f>
        <v>1732961.2144291729</v>
      </c>
      <c r="F6" s="4">
        <f>IESS!F51</f>
        <v>1774302.9291322213</v>
      </c>
      <c r="G6" s="4">
        <f>IESS!G51</f>
        <v>1539851.4211733097</v>
      </c>
      <c r="H6" s="4">
        <f>IESS!H51</f>
        <v>1536729.3530521572</v>
      </c>
    </row>
    <row r="7" spans="1:8" x14ac:dyDescent="0.25">
      <c r="A7" s="20" t="s">
        <v>24</v>
      </c>
      <c r="B7" s="4">
        <f>IESS!B52</f>
        <v>1086361.1466131094</v>
      </c>
      <c r="C7" s="4">
        <f>IESS!C52</f>
        <v>1086361.1466131094</v>
      </c>
      <c r="D7" s="4">
        <f>IESS!D52</f>
        <v>1077232.0613474529</v>
      </c>
      <c r="E7" s="4">
        <f>IESS!E52</f>
        <v>1068102.9760817965</v>
      </c>
      <c r="F7" s="4">
        <f>IESS!F52</f>
        <v>1058973.8908161402</v>
      </c>
      <c r="G7" s="4">
        <f>IESS!G52</f>
        <v>1058973.8908161402</v>
      </c>
      <c r="H7" s="4">
        <f>IESS!H52</f>
        <v>1049844.8055504838</v>
      </c>
    </row>
    <row r="8" spans="1:8" x14ac:dyDescent="0.25">
      <c r="A8" s="20" t="s">
        <v>27</v>
      </c>
      <c r="B8" s="4">
        <f>IESS!B53</f>
        <v>1244476.9034142776</v>
      </c>
      <c r="C8" s="4">
        <f>IESS!C53</f>
        <v>1178747.4895015517</v>
      </c>
      <c r="D8" s="4">
        <f>IESS!D53</f>
        <v>1153916.3775789663</v>
      </c>
      <c r="E8" s="4">
        <f>IESS!E53</f>
        <v>1150264.7434727037</v>
      </c>
      <c r="F8" s="4">
        <f>IESS!F53</f>
        <v>1139309.8411539162</v>
      </c>
      <c r="G8" s="4">
        <f>IESS!G53</f>
        <v>1137484.0241007847</v>
      </c>
      <c r="H8" s="4">
        <f>IESS!H53</f>
        <v>1135658.2070476536</v>
      </c>
    </row>
    <row r="9" spans="1:8" x14ac:dyDescent="0.25">
      <c r="A9" s="20" t="s">
        <v>26</v>
      </c>
      <c r="B9" s="4">
        <f>IESS!B54</f>
        <v>2358590.4692349825</v>
      </c>
      <c r="C9" s="4">
        <f>IESS!C54</f>
        <v>2490356.0343253608</v>
      </c>
      <c r="D9" s="4">
        <f>IESS!D54</f>
        <v>2660733.6863246309</v>
      </c>
      <c r="E9" s="4">
        <f>IESS!E54</f>
        <v>2858227.6136571118</v>
      </c>
      <c r="F9" s="4">
        <f>IESS!F54</f>
        <v>2802955.4515245571</v>
      </c>
      <c r="G9" s="4">
        <f>IESS!G54</f>
        <v>2760948.6083038161</v>
      </c>
      <c r="H9" s="4">
        <f>IESS!H54</f>
        <v>2730703.6811848823</v>
      </c>
    </row>
    <row r="10" spans="1:8" x14ac:dyDescent="0.25">
      <c r="A10" s="20" t="s">
        <v>20</v>
      </c>
      <c r="B10" s="4">
        <f>IESS!B55</f>
        <v>821617.67390907416</v>
      </c>
      <c r="C10" s="4">
        <f>IESS!C55</f>
        <v>821617.67390907416</v>
      </c>
      <c r="D10" s="4">
        <f>IESS!D55</f>
        <v>821617.67390907416</v>
      </c>
      <c r="E10" s="4">
        <f>IESS!E55</f>
        <v>821617.67390907416</v>
      </c>
      <c r="F10" s="4">
        <f>IESS!F55</f>
        <v>821617.67390907416</v>
      </c>
      <c r="G10" s="4">
        <f>IESS!G55</f>
        <v>821617.67390907416</v>
      </c>
      <c r="H10" s="4">
        <f>IESS!H55</f>
        <v>821617.67390907416</v>
      </c>
    </row>
    <row r="11" spans="1:8" x14ac:dyDescent="0.25">
      <c r="A11" s="20" t="s">
        <v>21</v>
      </c>
      <c r="B11" s="4">
        <f>Geothermal!$A$2</f>
        <v>5020996.8961110096</v>
      </c>
      <c r="C11" s="4">
        <f>Geothermal!$A$2</f>
        <v>5020996.8961110096</v>
      </c>
      <c r="D11" s="4">
        <f>Geothermal!$A$2</f>
        <v>5020996.8961110096</v>
      </c>
      <c r="E11" s="4">
        <f>Geothermal!$A$2</f>
        <v>5020996.8961110096</v>
      </c>
      <c r="F11" s="4">
        <f>Geothermal!$A$2</f>
        <v>5020996.8961110096</v>
      </c>
      <c r="G11" s="4">
        <f>Geothermal!$A$2</f>
        <v>5020996.8961110096</v>
      </c>
      <c r="H11" s="4">
        <f>Geothermal!$A$2</f>
        <v>5020996.8961110096</v>
      </c>
    </row>
    <row r="12" spans="1:8" x14ac:dyDescent="0.25">
      <c r="A12" s="20" t="s">
        <v>74</v>
      </c>
      <c r="B12" s="4"/>
      <c r="C12" s="4"/>
      <c r="D12" s="4"/>
      <c r="E12" s="4"/>
      <c r="F12" s="4"/>
      <c r="G12" s="4"/>
      <c r="H12" s="4"/>
    </row>
    <row r="13" spans="1:8" x14ac:dyDescent="0.25">
      <c r="A13" s="20" t="s">
        <v>18</v>
      </c>
      <c r="B13" s="4"/>
      <c r="C13" s="4"/>
      <c r="D13" s="4"/>
      <c r="E13" s="4"/>
      <c r="F13" s="4"/>
      <c r="G13" s="4"/>
      <c r="H13" s="4"/>
    </row>
    <row r="14" spans="1:8" x14ac:dyDescent="0.25">
      <c r="A14" s="20" t="s">
        <v>75</v>
      </c>
      <c r="B14" s="4"/>
      <c r="C14" s="4"/>
      <c r="D14" s="4"/>
      <c r="E14" s="4"/>
      <c r="F14" s="4"/>
      <c r="G14" s="4"/>
      <c r="H14" s="4"/>
    </row>
    <row r="15" spans="1:8" x14ac:dyDescent="0.25">
      <c r="A15" s="20" t="s">
        <v>25</v>
      </c>
      <c r="B15" s="4">
        <f>IESS!B60</f>
        <v>2875661.8586817603</v>
      </c>
      <c r="C15" s="4">
        <f>IESS!C60</f>
        <v>2693080.1533686323</v>
      </c>
      <c r="D15" s="4">
        <f>IESS!D60</f>
        <v>2583531.1301807556</v>
      </c>
      <c r="E15" s="4">
        <f>IESS!E60</f>
        <v>2537885.7038524733</v>
      </c>
      <c r="F15" s="4">
        <f>IESS!F60</f>
        <v>2510498.4480555048</v>
      </c>
      <c r="G15" s="4">
        <f>IESS!G60</f>
        <v>2492240.2775241924</v>
      </c>
      <c r="H15" s="4">
        <f>IESS!H60</f>
        <v>2483111.1922585354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/>
  </sheetViews>
  <sheetFormatPr defaultRowHeight="15" x14ac:dyDescent="0.25"/>
  <cols>
    <col min="1" max="1" width="29" customWidth="1"/>
    <col min="2" max="2" width="11.42578125" customWidth="1"/>
    <col min="3" max="3" width="9.7109375" bestFit="1" customWidth="1"/>
    <col min="4" max="4" width="18.7109375" bestFit="1" customWidth="1"/>
    <col min="5" max="5" width="19" customWidth="1"/>
    <col min="6" max="6" width="12" bestFit="1" customWidth="1"/>
    <col min="7" max="7" width="16" bestFit="1" customWidth="1"/>
    <col min="8" max="8" width="12" bestFit="1" customWidth="1"/>
  </cols>
  <sheetData>
    <row r="1" spans="1:9" s="20" customFormat="1" x14ac:dyDescent="0.25">
      <c r="A1" s="51" t="s">
        <v>216</v>
      </c>
    </row>
    <row r="2" spans="1:9" x14ac:dyDescent="0.2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</row>
    <row r="3" spans="1:9" x14ac:dyDescent="0.25">
      <c r="A3" t="s">
        <v>90</v>
      </c>
      <c r="B3" t="s">
        <v>110</v>
      </c>
      <c r="C3">
        <v>12</v>
      </c>
      <c r="D3" t="s">
        <v>109</v>
      </c>
      <c r="E3">
        <v>2016</v>
      </c>
      <c r="F3" s="4">
        <f>C3*'Conversion Factors'!A19/'Conversion Factors'!C34/'Conversion Factors'!B6</f>
        <v>1744894.3304591603</v>
      </c>
      <c r="G3" s="20" t="s">
        <v>100</v>
      </c>
      <c r="H3" s="20" t="s">
        <v>40</v>
      </c>
      <c r="I3" t="s">
        <v>9</v>
      </c>
    </row>
    <row r="4" spans="1:9" x14ac:dyDescent="0.25">
      <c r="A4" t="s">
        <v>226</v>
      </c>
      <c r="E4">
        <v>18.600000000000001</v>
      </c>
      <c r="F4" t="s">
        <v>188</v>
      </c>
    </row>
    <row r="5" spans="1:9" x14ac:dyDescent="0.25">
      <c r="A5" s="51" t="s">
        <v>206</v>
      </c>
      <c r="B5" s="51"/>
      <c r="C5" s="51"/>
      <c r="D5" s="51"/>
      <c r="E5" s="51"/>
    </row>
    <row r="6" spans="1:9" x14ac:dyDescent="0.25">
      <c r="A6" t="s">
        <v>208</v>
      </c>
      <c r="B6" t="s">
        <v>209</v>
      </c>
    </row>
    <row r="7" spans="1:9" x14ac:dyDescent="0.25">
      <c r="A7" t="s">
        <v>231</v>
      </c>
      <c r="B7">
        <v>6</v>
      </c>
    </row>
    <row r="9" spans="1:9" x14ac:dyDescent="0.25">
      <c r="A9" s="1" t="s">
        <v>210</v>
      </c>
      <c r="B9" s="1" t="s">
        <v>215</v>
      </c>
    </row>
    <row r="10" spans="1:9" x14ac:dyDescent="0.25">
      <c r="A10" s="82" t="s">
        <v>211</v>
      </c>
      <c r="B10" s="86">
        <v>24</v>
      </c>
    </row>
    <row r="11" spans="1:9" x14ac:dyDescent="0.25">
      <c r="A11" s="83" t="s">
        <v>212</v>
      </c>
      <c r="B11" s="87">
        <v>19.5</v>
      </c>
    </row>
    <row r="12" spans="1:9" ht="30.75" customHeight="1" x14ac:dyDescent="0.25">
      <c r="A12" s="84" t="s">
        <v>213</v>
      </c>
      <c r="B12" s="88">
        <v>17.829999999999998</v>
      </c>
      <c r="F12" s="20"/>
      <c r="G12" s="20"/>
      <c r="H12" s="20"/>
    </row>
    <row r="13" spans="1:9" x14ac:dyDescent="0.25">
      <c r="A13" s="85" t="s">
        <v>214</v>
      </c>
      <c r="B13" s="89">
        <f>AVERAGE(B10:B12)</f>
        <v>20.443333333333332</v>
      </c>
      <c r="E13" s="20" t="s">
        <v>217</v>
      </c>
      <c r="F13" s="20" t="s">
        <v>106</v>
      </c>
      <c r="G13" s="20" t="s">
        <v>107</v>
      </c>
      <c r="H13" s="20" t="s">
        <v>108</v>
      </c>
    </row>
    <row r="14" spans="1:9" x14ac:dyDescent="0.25">
      <c r="E14">
        <v>2018</v>
      </c>
      <c r="F14" s="4">
        <f>B13*'Conversion Factors'!A19/'Conversion Factors'!C36/'Conversion Factors'!B6</f>
        <v>2715972.8030847143</v>
      </c>
      <c r="G14" s="20" t="s">
        <v>100</v>
      </c>
      <c r="H14" s="20" t="s">
        <v>70</v>
      </c>
      <c r="I14" t="s">
        <v>207</v>
      </c>
    </row>
    <row r="15" spans="1:9" x14ac:dyDescent="0.25">
      <c r="A15" s="90" t="s">
        <v>223</v>
      </c>
    </row>
    <row r="17" spans="1:1" x14ac:dyDescent="0.25">
      <c r="A17" s="1" t="s">
        <v>11</v>
      </c>
    </row>
    <row r="18" spans="1:1" x14ac:dyDescent="0.25">
      <c r="A18" t="s">
        <v>229</v>
      </c>
    </row>
    <row r="19" spans="1:1" x14ac:dyDescent="0.25">
      <c r="A19" t="s">
        <v>230</v>
      </c>
    </row>
    <row r="20" spans="1:1" x14ac:dyDescent="0.25">
      <c r="A20" t="s">
        <v>225</v>
      </c>
    </row>
    <row r="21" spans="1:1" x14ac:dyDescent="0.25">
      <c r="A21" t="s">
        <v>227</v>
      </c>
    </row>
    <row r="22" spans="1:1" x14ac:dyDescent="0.25">
      <c r="A22" t="s">
        <v>228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5"/>
  <sheetViews>
    <sheetView workbookViewId="0">
      <selection activeCell="C6" sqref="C6"/>
    </sheetView>
  </sheetViews>
  <sheetFormatPr defaultRowHeight="15" x14ac:dyDescent="0.25"/>
  <cols>
    <col min="1" max="2" width="20.7109375" style="43" customWidth="1"/>
    <col min="3" max="3" width="21" style="43" customWidth="1"/>
    <col min="4" max="8" width="20.7109375" style="43" customWidth="1"/>
  </cols>
  <sheetData>
    <row r="1" spans="1:8" x14ac:dyDescent="0.25">
      <c r="A1" s="22"/>
      <c r="B1" s="22"/>
      <c r="C1" s="23" t="s">
        <v>29</v>
      </c>
      <c r="D1" s="23" t="s">
        <v>29</v>
      </c>
      <c r="E1" s="23" t="s">
        <v>29</v>
      </c>
      <c r="F1" s="23" t="s">
        <v>30</v>
      </c>
      <c r="G1" s="23" t="s">
        <v>30</v>
      </c>
      <c r="H1" s="23" t="s">
        <v>30</v>
      </c>
    </row>
    <row r="2" spans="1:8" ht="45" x14ac:dyDescent="0.25">
      <c r="A2" s="24" t="s">
        <v>31</v>
      </c>
      <c r="B2" s="106" t="s">
        <v>32</v>
      </c>
      <c r="C2" s="108" t="s">
        <v>33</v>
      </c>
      <c r="D2" s="108" t="s">
        <v>34</v>
      </c>
      <c r="E2" s="108" t="s">
        <v>35</v>
      </c>
      <c r="F2" s="110" t="s">
        <v>36</v>
      </c>
      <c r="G2" s="110" t="s">
        <v>37</v>
      </c>
      <c r="H2" s="104" t="s">
        <v>38</v>
      </c>
    </row>
    <row r="3" spans="1:8" ht="30" x14ac:dyDescent="0.25">
      <c r="A3" s="23" t="s">
        <v>39</v>
      </c>
      <c r="B3" s="107"/>
      <c r="C3" s="109"/>
      <c r="D3" s="109"/>
      <c r="E3" s="109"/>
      <c r="F3" s="111"/>
      <c r="G3" s="111"/>
      <c r="H3" s="105"/>
    </row>
    <row r="4" spans="1:8" x14ac:dyDescent="0.25">
      <c r="A4" s="23" t="s">
        <v>40</v>
      </c>
      <c r="B4" s="25">
        <v>1000</v>
      </c>
      <c r="C4" s="22"/>
      <c r="D4" s="22"/>
      <c r="E4" s="22"/>
      <c r="F4" s="22"/>
      <c r="G4" s="22"/>
      <c r="H4" s="22"/>
    </row>
    <row r="5" spans="1:8" ht="28.5" x14ac:dyDescent="0.25">
      <c r="A5" s="26" t="s">
        <v>41</v>
      </c>
      <c r="B5" s="25">
        <v>1000</v>
      </c>
      <c r="C5" s="27">
        <v>2217840</v>
      </c>
      <c r="D5" s="27">
        <v>2461143</v>
      </c>
      <c r="E5" s="27">
        <v>2090180</v>
      </c>
      <c r="F5" s="27">
        <v>2800491</v>
      </c>
      <c r="G5" s="27">
        <v>3433006</v>
      </c>
      <c r="H5" s="27">
        <v>2848907</v>
      </c>
    </row>
    <row r="6" spans="1:8" ht="28.5" x14ac:dyDescent="0.25">
      <c r="A6" s="28" t="s">
        <v>42</v>
      </c>
      <c r="B6" s="28" t="s">
        <v>43</v>
      </c>
      <c r="C6" s="29">
        <v>3641</v>
      </c>
      <c r="D6" s="29">
        <v>4076</v>
      </c>
      <c r="E6" s="29">
        <v>3393</v>
      </c>
      <c r="F6" s="29">
        <v>4589</v>
      </c>
      <c r="G6" s="29">
        <v>5763</v>
      </c>
      <c r="H6" s="29">
        <v>4652</v>
      </c>
    </row>
    <row r="7" spans="1:8" x14ac:dyDescent="0.25">
      <c r="A7" s="30" t="s">
        <v>44</v>
      </c>
      <c r="B7" s="31"/>
      <c r="C7" s="31"/>
      <c r="D7" s="31"/>
      <c r="E7" s="31"/>
      <c r="F7" s="31"/>
      <c r="G7" s="31"/>
      <c r="H7" s="31"/>
    </row>
    <row r="8" spans="1:8" ht="28.5" x14ac:dyDescent="0.25">
      <c r="A8" s="32" t="s">
        <v>45</v>
      </c>
      <c r="B8" s="33">
        <v>1000</v>
      </c>
      <c r="C8" s="34">
        <v>2217840</v>
      </c>
      <c r="D8" s="34">
        <v>2461143</v>
      </c>
      <c r="E8" s="34">
        <v>2090180</v>
      </c>
      <c r="F8" s="34">
        <v>2800491</v>
      </c>
      <c r="G8" s="34">
        <v>3433006</v>
      </c>
      <c r="H8" s="34">
        <v>2848907</v>
      </c>
    </row>
    <row r="9" spans="1:8" x14ac:dyDescent="0.25">
      <c r="A9" s="35" t="s">
        <v>46</v>
      </c>
      <c r="B9" s="31"/>
      <c r="C9" s="31"/>
      <c r="D9" s="31"/>
      <c r="E9" s="31"/>
      <c r="F9" s="31"/>
      <c r="G9" s="31"/>
      <c r="H9" s="31"/>
    </row>
    <row r="10" spans="1:8" x14ac:dyDescent="0.25">
      <c r="A10" s="32" t="s">
        <v>47</v>
      </c>
      <c r="B10" s="33">
        <v>1000</v>
      </c>
      <c r="C10" s="36">
        <v>16571</v>
      </c>
      <c r="D10" s="34">
        <v>16571</v>
      </c>
      <c r="E10" s="34">
        <v>16571</v>
      </c>
      <c r="F10" s="36">
        <v>29871</v>
      </c>
      <c r="G10" s="36">
        <v>34299</v>
      </c>
      <c r="H10" s="36">
        <v>30210</v>
      </c>
    </row>
    <row r="11" spans="1:8" ht="30" x14ac:dyDescent="0.25">
      <c r="A11" s="35" t="s">
        <v>48</v>
      </c>
      <c r="B11" s="31"/>
      <c r="C11" s="31"/>
      <c r="D11" s="31"/>
      <c r="E11" s="31"/>
      <c r="F11" s="31"/>
      <c r="G11" s="31"/>
      <c r="H11" s="31"/>
    </row>
    <row r="12" spans="1:8" x14ac:dyDescent="0.25">
      <c r="A12" s="32" t="s">
        <v>49</v>
      </c>
      <c r="B12" s="33">
        <v>1000</v>
      </c>
      <c r="C12" s="36">
        <v>2455</v>
      </c>
      <c r="D12" s="36">
        <v>1276</v>
      </c>
      <c r="E12" s="37">
        <v>0</v>
      </c>
      <c r="F12" s="37">
        <v>0</v>
      </c>
      <c r="G12" s="37">
        <v>0</v>
      </c>
      <c r="H12" s="37">
        <v>0</v>
      </c>
    </row>
    <row r="13" spans="1:8" ht="42.75" x14ac:dyDescent="0.25">
      <c r="A13" s="32" t="s">
        <v>50</v>
      </c>
      <c r="B13" s="33">
        <v>1000</v>
      </c>
      <c r="C13" s="37">
        <v>0</v>
      </c>
      <c r="D13" s="37">
        <v>0</v>
      </c>
      <c r="E13" s="36">
        <v>1174</v>
      </c>
      <c r="F13" s="36">
        <v>1593</v>
      </c>
      <c r="G13" s="36">
        <v>1415</v>
      </c>
      <c r="H13" s="36">
        <v>1340</v>
      </c>
    </row>
    <row r="14" spans="1:8" x14ac:dyDescent="0.25">
      <c r="A14" s="32" t="s">
        <v>51</v>
      </c>
      <c r="B14" s="33">
        <v>1000</v>
      </c>
      <c r="C14" s="37">
        <v>0</v>
      </c>
      <c r="D14" s="36">
        <v>1751</v>
      </c>
      <c r="E14" s="36">
        <v>1593</v>
      </c>
      <c r="F14" s="37">
        <v>296</v>
      </c>
      <c r="G14" s="36">
        <v>1068</v>
      </c>
      <c r="H14" s="37">
        <v>296</v>
      </c>
    </row>
    <row r="15" spans="1:8" x14ac:dyDescent="0.25">
      <c r="A15" s="32" t="s">
        <v>52</v>
      </c>
      <c r="B15" s="33">
        <v>1000</v>
      </c>
      <c r="C15" s="37">
        <v>440</v>
      </c>
      <c r="D15" s="37">
        <v>440</v>
      </c>
      <c r="E15" s="37">
        <v>440</v>
      </c>
      <c r="F15" s="37">
        <v>451</v>
      </c>
      <c r="G15" s="37">
        <v>407</v>
      </c>
      <c r="H15" s="37">
        <v>440</v>
      </c>
    </row>
    <row r="16" spans="1:8" ht="28.5" x14ac:dyDescent="0.25">
      <c r="A16" s="32" t="s">
        <v>53</v>
      </c>
      <c r="B16" s="33">
        <v>1000</v>
      </c>
      <c r="C16" s="37">
        <v>721</v>
      </c>
      <c r="D16" s="36">
        <v>2740</v>
      </c>
      <c r="E16" s="37">
        <v>473</v>
      </c>
      <c r="F16" s="37">
        <v>0</v>
      </c>
      <c r="G16" s="37">
        <v>0</v>
      </c>
      <c r="H16" s="37">
        <v>0</v>
      </c>
    </row>
    <row r="17" spans="1:8" ht="28.5" x14ac:dyDescent="0.25">
      <c r="A17" s="32" t="s">
        <v>54</v>
      </c>
      <c r="B17" s="33">
        <v>1000</v>
      </c>
      <c r="C17" s="36">
        <v>2877</v>
      </c>
      <c r="D17" s="34">
        <v>10954</v>
      </c>
      <c r="E17" s="36">
        <v>1884</v>
      </c>
      <c r="F17" s="37">
        <v>0</v>
      </c>
      <c r="G17" s="37">
        <v>0</v>
      </c>
      <c r="H17" s="37">
        <v>0</v>
      </c>
    </row>
    <row r="18" spans="1:8" ht="28.5" x14ac:dyDescent="0.25">
      <c r="A18" s="32" t="s">
        <v>55</v>
      </c>
      <c r="B18" s="33">
        <v>1000</v>
      </c>
      <c r="C18" s="36">
        <v>5051</v>
      </c>
      <c r="D18" s="36">
        <v>2635</v>
      </c>
      <c r="E18" s="37">
        <v>617</v>
      </c>
      <c r="F18" s="37">
        <v>0</v>
      </c>
      <c r="G18" s="37">
        <v>0</v>
      </c>
      <c r="H18" s="37">
        <v>0</v>
      </c>
    </row>
    <row r="19" spans="1:8" x14ac:dyDescent="0.25">
      <c r="A19" s="32" t="s">
        <v>56</v>
      </c>
      <c r="B19" s="33">
        <v>1000</v>
      </c>
      <c r="C19" s="37">
        <v>0</v>
      </c>
      <c r="D19" s="37">
        <v>16</v>
      </c>
      <c r="E19" s="37">
        <v>14</v>
      </c>
      <c r="F19" s="37">
        <v>24</v>
      </c>
      <c r="G19" s="37">
        <v>85</v>
      </c>
      <c r="H19" s="37">
        <v>24</v>
      </c>
    </row>
    <row r="20" spans="1:8" x14ac:dyDescent="0.25">
      <c r="A20" s="32" t="s">
        <v>57</v>
      </c>
      <c r="B20" s="33">
        <v>1000</v>
      </c>
      <c r="C20" s="37">
        <v>577</v>
      </c>
      <c r="D20" s="37">
        <v>609</v>
      </c>
      <c r="E20" s="37">
        <v>587</v>
      </c>
      <c r="F20" s="37">
        <v>186</v>
      </c>
      <c r="G20" s="37">
        <v>186</v>
      </c>
      <c r="H20" s="37">
        <v>186</v>
      </c>
    </row>
    <row r="21" spans="1:8" ht="28.5" x14ac:dyDescent="0.25">
      <c r="A21" s="32" t="s">
        <v>58</v>
      </c>
      <c r="B21" s="33">
        <v>1000</v>
      </c>
      <c r="C21" s="36">
        <v>1153</v>
      </c>
      <c r="D21" s="36">
        <v>1153</v>
      </c>
      <c r="E21" s="36">
        <v>1153</v>
      </c>
      <c r="F21" s="37">
        <v>399</v>
      </c>
      <c r="G21" s="37">
        <v>399</v>
      </c>
      <c r="H21" s="37">
        <v>399</v>
      </c>
    </row>
    <row r="22" spans="1:8" x14ac:dyDescent="0.25">
      <c r="A22" s="32" t="s">
        <v>59</v>
      </c>
      <c r="B22" s="33">
        <v>1000</v>
      </c>
      <c r="C22" s="37">
        <v>367</v>
      </c>
      <c r="D22" s="37">
        <v>415</v>
      </c>
      <c r="E22" s="37">
        <v>378</v>
      </c>
      <c r="F22" s="37">
        <v>33</v>
      </c>
      <c r="G22" s="37">
        <v>61</v>
      </c>
      <c r="H22" s="37">
        <v>42</v>
      </c>
    </row>
    <row r="23" spans="1:8" x14ac:dyDescent="0.25">
      <c r="A23" s="32" t="s">
        <v>60</v>
      </c>
      <c r="B23" s="33">
        <v>1000</v>
      </c>
      <c r="C23" s="36">
        <v>1080</v>
      </c>
      <c r="D23" s="37">
        <v>913</v>
      </c>
      <c r="E23" s="37">
        <v>880</v>
      </c>
      <c r="F23" s="37">
        <v>191</v>
      </c>
      <c r="G23" s="37">
        <v>189</v>
      </c>
      <c r="H23" s="37">
        <v>184</v>
      </c>
    </row>
    <row r="24" spans="1:8" x14ac:dyDescent="0.25">
      <c r="A24" s="32" t="s">
        <v>61</v>
      </c>
      <c r="B24" s="33">
        <v>1000</v>
      </c>
      <c r="C24" s="36">
        <v>3241</v>
      </c>
      <c r="D24" s="36">
        <v>3422</v>
      </c>
      <c r="E24" s="36">
        <v>3301</v>
      </c>
      <c r="F24" s="37">
        <v>431</v>
      </c>
      <c r="G24" s="37">
        <v>425</v>
      </c>
      <c r="H24" s="37">
        <v>414</v>
      </c>
    </row>
    <row r="25" spans="1:8" x14ac:dyDescent="0.25">
      <c r="A25" s="32" t="s">
        <v>62</v>
      </c>
      <c r="B25" s="33">
        <v>1000</v>
      </c>
      <c r="C25" s="36">
        <v>2401</v>
      </c>
      <c r="D25" s="36">
        <v>2380</v>
      </c>
      <c r="E25" s="36">
        <v>2428</v>
      </c>
      <c r="F25" s="36">
        <v>2272</v>
      </c>
      <c r="G25" s="36">
        <v>2218</v>
      </c>
      <c r="H25" s="36">
        <v>2280</v>
      </c>
    </row>
    <row r="26" spans="1:8" x14ac:dyDescent="0.25">
      <c r="A26" s="32" t="s">
        <v>63</v>
      </c>
      <c r="B26" s="33">
        <v>1000</v>
      </c>
      <c r="C26" s="38" t="s">
        <v>64</v>
      </c>
      <c r="D26" s="38" t="s">
        <v>64</v>
      </c>
      <c r="E26" s="38" t="s">
        <v>64</v>
      </c>
      <c r="F26" s="37">
        <v>555</v>
      </c>
      <c r="G26" s="37">
        <v>272</v>
      </c>
      <c r="H26" s="37">
        <v>65</v>
      </c>
    </row>
    <row r="27" spans="1:8" x14ac:dyDescent="0.25">
      <c r="A27" s="32" t="s">
        <v>65</v>
      </c>
      <c r="B27" s="33">
        <v>1000</v>
      </c>
      <c r="C27" s="36">
        <v>20364</v>
      </c>
      <c r="D27" s="34">
        <v>28705</v>
      </c>
      <c r="E27" s="34">
        <v>14924</v>
      </c>
      <c r="F27" s="36">
        <v>6430</v>
      </c>
      <c r="G27" s="36">
        <v>6725</v>
      </c>
      <c r="H27" s="36">
        <v>5668</v>
      </c>
    </row>
    <row r="28" spans="1:8" x14ac:dyDescent="0.25">
      <c r="A28" s="39" t="s">
        <v>66</v>
      </c>
      <c r="B28" s="39" t="s">
        <v>67</v>
      </c>
      <c r="C28" s="40">
        <v>3.73</v>
      </c>
      <c r="D28" s="40">
        <v>5.76</v>
      </c>
      <c r="E28" s="40">
        <v>3.07</v>
      </c>
      <c r="F28" s="40">
        <v>1.42</v>
      </c>
      <c r="G28" s="40">
        <v>1.52</v>
      </c>
      <c r="H28" s="40">
        <v>1.24</v>
      </c>
    </row>
    <row r="29" spans="1:8" ht="28.5" x14ac:dyDescent="0.25">
      <c r="A29" s="28" t="s">
        <v>68</v>
      </c>
      <c r="B29" s="41">
        <v>1000</v>
      </c>
      <c r="C29" s="29">
        <v>36935</v>
      </c>
      <c r="D29" s="42">
        <v>45276</v>
      </c>
      <c r="E29" s="42">
        <v>31495</v>
      </c>
      <c r="F29" s="29">
        <v>36301</v>
      </c>
      <c r="G29" s="29">
        <v>41023</v>
      </c>
      <c r="H29" s="29">
        <v>35878</v>
      </c>
    </row>
    <row r="30" spans="1:8" ht="28.5" x14ac:dyDescent="0.25">
      <c r="A30" s="39" t="s">
        <v>68</v>
      </c>
      <c r="B30" s="39" t="s">
        <v>67</v>
      </c>
      <c r="C30" s="40">
        <v>7.69</v>
      </c>
      <c r="D30" s="40">
        <v>9.51</v>
      </c>
      <c r="E30" s="40">
        <v>6.48</v>
      </c>
      <c r="F30" s="40">
        <v>7.99</v>
      </c>
      <c r="G30" s="40">
        <v>9.25</v>
      </c>
      <c r="H30" s="40">
        <v>7.87</v>
      </c>
    </row>
    <row r="32" spans="1:8" x14ac:dyDescent="0.25">
      <c r="B32" s="43" t="s">
        <v>69</v>
      </c>
    </row>
    <row r="33" spans="1:4" x14ac:dyDescent="0.25">
      <c r="A33" s="44" t="s">
        <v>70</v>
      </c>
      <c r="B33" s="45">
        <f>D6/AVERAGE(C6,E6)</f>
        <v>1.1589422803525733</v>
      </c>
      <c r="C33" s="45"/>
      <c r="D33" s="45"/>
    </row>
    <row r="34" spans="1:4" x14ac:dyDescent="0.25">
      <c r="A34" s="44" t="s">
        <v>66</v>
      </c>
      <c r="B34" s="45">
        <f>D28/(AVERAGE(C28,E28))</f>
        <v>1.6941176470588235</v>
      </c>
      <c r="C34" s="45"/>
      <c r="D34" s="45"/>
    </row>
    <row r="35" spans="1:4" x14ac:dyDescent="0.25">
      <c r="A35" s="44" t="s">
        <v>47</v>
      </c>
      <c r="B35" s="45">
        <f>D10/AVERAGE(E10,C10)</f>
        <v>1</v>
      </c>
      <c r="C35" s="45"/>
      <c r="D35" s="45"/>
    </row>
  </sheetData>
  <mergeCells count="7">
    <mergeCell ref="H2:H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5"/>
  <sheetViews>
    <sheetView workbookViewId="0">
      <selection activeCell="O13" sqref="O13"/>
    </sheetView>
  </sheetViews>
  <sheetFormatPr defaultRowHeight="15" x14ac:dyDescent="0.25"/>
  <cols>
    <col min="2" max="2" width="12.7109375" customWidth="1"/>
    <col min="13" max="13" width="7.5703125" customWidth="1"/>
  </cols>
  <sheetData>
    <row r="1" spans="1:13" x14ac:dyDescent="0.25">
      <c r="A1" s="67" t="s">
        <v>138</v>
      </c>
      <c r="B1" s="68"/>
      <c r="C1" s="68"/>
      <c r="D1" s="68"/>
      <c r="E1" s="68"/>
      <c r="F1" s="68"/>
      <c r="G1" s="68"/>
    </row>
    <row r="2" spans="1:13" x14ac:dyDescent="0.25">
      <c r="A2" s="67" t="s">
        <v>180</v>
      </c>
      <c r="B2" s="68"/>
      <c r="C2" s="68"/>
      <c r="D2" s="68"/>
      <c r="E2" s="68"/>
      <c r="F2" s="68"/>
      <c r="G2" s="68"/>
    </row>
    <row r="3" spans="1:13" ht="15" customHeight="1" x14ac:dyDescent="0.25">
      <c r="A3" s="112" t="s">
        <v>139</v>
      </c>
      <c r="B3" s="112" t="s">
        <v>140</v>
      </c>
      <c r="C3" s="79" t="s">
        <v>141</v>
      </c>
      <c r="D3" s="76"/>
      <c r="E3" s="76"/>
      <c r="F3" s="76"/>
      <c r="G3" s="76"/>
      <c r="H3" s="76"/>
      <c r="I3" s="76"/>
      <c r="J3" s="76"/>
      <c r="K3" s="76"/>
      <c r="L3" s="76"/>
      <c r="M3" s="76"/>
    </row>
    <row r="4" spans="1:13" x14ac:dyDescent="0.25">
      <c r="A4" s="112"/>
      <c r="B4" s="112"/>
      <c r="C4" s="75">
        <v>2017</v>
      </c>
      <c r="D4" s="75">
        <v>2018</v>
      </c>
      <c r="E4" s="75">
        <v>2019</v>
      </c>
      <c r="F4" s="75">
        <v>2020</v>
      </c>
      <c r="G4" s="75">
        <v>2021</v>
      </c>
      <c r="H4" s="75">
        <v>2022</v>
      </c>
      <c r="I4" s="75">
        <v>2023</v>
      </c>
      <c r="J4" s="75">
        <v>2024</v>
      </c>
      <c r="K4" s="75">
        <v>2025</v>
      </c>
      <c r="L4" s="75">
        <v>2026</v>
      </c>
      <c r="M4" s="77">
        <v>2027</v>
      </c>
    </row>
    <row r="5" spans="1:13" x14ac:dyDescent="0.25">
      <c r="A5" s="69">
        <v>1</v>
      </c>
      <c r="B5" s="70" t="s">
        <v>142</v>
      </c>
      <c r="C5" s="71">
        <v>6.5</v>
      </c>
      <c r="D5" s="72">
        <v>6.76</v>
      </c>
      <c r="E5" s="72">
        <v>7.03</v>
      </c>
      <c r="F5" s="72">
        <v>7.31</v>
      </c>
      <c r="G5" s="72">
        <v>7.6</v>
      </c>
      <c r="H5" s="71">
        <v>7.9</v>
      </c>
      <c r="I5" s="71">
        <v>8.1999999999999993</v>
      </c>
      <c r="J5" s="71">
        <v>8.5</v>
      </c>
      <c r="K5" s="71">
        <v>8.9</v>
      </c>
      <c r="L5" s="72">
        <v>9.25</v>
      </c>
      <c r="M5" s="78">
        <f>(($L5-$C5)/COUNT($D$4:$L$4))+L5</f>
        <v>9.5555555555555554</v>
      </c>
    </row>
    <row r="6" spans="1:13" x14ac:dyDescent="0.25">
      <c r="A6" s="69">
        <v>2</v>
      </c>
      <c r="B6" s="70" t="s">
        <v>143</v>
      </c>
      <c r="C6" s="69">
        <v>10</v>
      </c>
      <c r="D6" s="71">
        <v>10.4</v>
      </c>
      <c r="E6" s="71">
        <v>10.8</v>
      </c>
      <c r="F6" s="71">
        <v>11.2</v>
      </c>
      <c r="G6" s="71">
        <v>11.7</v>
      </c>
      <c r="H6" s="71">
        <v>12.2</v>
      </c>
      <c r="I6" s="71">
        <v>12.7</v>
      </c>
      <c r="J6" s="71">
        <v>13.2</v>
      </c>
      <c r="K6" s="71">
        <v>13.7</v>
      </c>
      <c r="L6" s="71">
        <v>14.2</v>
      </c>
      <c r="M6" s="78">
        <f t="shared" ref="M6:M12" si="0">(($L6-$C6)/COUNT($D$4:$L$4))+L6</f>
        <v>14.666666666666666</v>
      </c>
    </row>
    <row r="7" spans="1:13" x14ac:dyDescent="0.25">
      <c r="A7" s="69">
        <v>3</v>
      </c>
      <c r="B7" s="70" t="s">
        <v>144</v>
      </c>
      <c r="C7" s="71">
        <v>5.5</v>
      </c>
      <c r="D7" s="71">
        <v>5.5</v>
      </c>
      <c r="E7" s="71">
        <v>5.5</v>
      </c>
      <c r="F7" s="71">
        <v>5.5</v>
      </c>
      <c r="G7" s="71">
        <v>5.5</v>
      </c>
      <c r="H7" s="71">
        <v>5.5</v>
      </c>
      <c r="I7" s="71">
        <v>5.5</v>
      </c>
      <c r="J7" s="71">
        <v>5.5</v>
      </c>
      <c r="K7" s="71">
        <v>5.5</v>
      </c>
      <c r="L7" s="71">
        <v>5.5</v>
      </c>
      <c r="M7" s="78">
        <f t="shared" si="0"/>
        <v>5.5</v>
      </c>
    </row>
    <row r="8" spans="1:13" x14ac:dyDescent="0.25">
      <c r="A8" s="69">
        <v>4</v>
      </c>
      <c r="B8" s="70" t="s">
        <v>145</v>
      </c>
      <c r="C8" s="69">
        <v>6</v>
      </c>
      <c r="D8" s="69">
        <v>6</v>
      </c>
      <c r="E8" s="69">
        <v>6</v>
      </c>
      <c r="F8" s="69">
        <v>6</v>
      </c>
      <c r="G8" s="69">
        <v>6</v>
      </c>
      <c r="H8" s="69">
        <v>6</v>
      </c>
      <c r="I8" s="69">
        <v>6</v>
      </c>
      <c r="J8" s="69">
        <v>6</v>
      </c>
      <c r="K8" s="69">
        <v>6</v>
      </c>
      <c r="L8" s="69">
        <v>6</v>
      </c>
      <c r="M8" s="78">
        <f t="shared" si="0"/>
        <v>6</v>
      </c>
    </row>
    <row r="9" spans="1:13" x14ac:dyDescent="0.25">
      <c r="A9" s="69">
        <v>5</v>
      </c>
      <c r="B9" s="70" t="s">
        <v>146</v>
      </c>
      <c r="C9" s="71">
        <v>5.7</v>
      </c>
      <c r="D9" s="71">
        <v>5.7</v>
      </c>
      <c r="E9" s="71">
        <v>5.7</v>
      </c>
      <c r="F9" s="71">
        <v>5.7</v>
      </c>
      <c r="G9" s="71">
        <v>5.7</v>
      </c>
      <c r="H9" s="71">
        <v>5.7</v>
      </c>
      <c r="I9" s="71">
        <v>5.7</v>
      </c>
      <c r="J9" s="71">
        <v>5.7</v>
      </c>
      <c r="K9" s="71">
        <v>5.7</v>
      </c>
      <c r="L9" s="71">
        <v>5.7</v>
      </c>
      <c r="M9" s="78">
        <f t="shared" si="0"/>
        <v>5.7</v>
      </c>
    </row>
    <row r="10" spans="1:13" x14ac:dyDescent="0.25">
      <c r="A10" s="69">
        <v>6</v>
      </c>
      <c r="B10" s="70" t="s">
        <v>147</v>
      </c>
      <c r="C10" s="71">
        <v>6.5</v>
      </c>
      <c r="D10" s="72">
        <v>6.76</v>
      </c>
      <c r="E10" s="72">
        <v>7.03</v>
      </c>
      <c r="F10" s="72">
        <v>7.31</v>
      </c>
      <c r="G10" s="72">
        <v>7.6</v>
      </c>
      <c r="H10" s="71">
        <v>7.9</v>
      </c>
      <c r="I10" s="71">
        <v>8.1999999999999993</v>
      </c>
      <c r="J10" s="71">
        <v>8.5</v>
      </c>
      <c r="K10" s="71">
        <v>8.9</v>
      </c>
      <c r="L10" s="72">
        <v>9.25</v>
      </c>
      <c r="M10" s="78">
        <f t="shared" si="0"/>
        <v>9.5555555555555554</v>
      </c>
    </row>
    <row r="11" spans="1:13" ht="25.5" x14ac:dyDescent="0.25">
      <c r="A11" s="69">
        <v>7</v>
      </c>
      <c r="B11" s="73" t="s">
        <v>148</v>
      </c>
      <c r="C11" s="69">
        <v>10</v>
      </c>
      <c r="D11" s="71">
        <v>10.4</v>
      </c>
      <c r="E11" s="71">
        <v>10.8</v>
      </c>
      <c r="F11" s="71">
        <v>11.2</v>
      </c>
      <c r="G11" s="71">
        <v>11.7</v>
      </c>
      <c r="H11" s="71">
        <v>12.2</v>
      </c>
      <c r="I11" s="71">
        <v>12.7</v>
      </c>
      <c r="J11" s="71">
        <v>13.2</v>
      </c>
      <c r="K11" s="71">
        <v>13.7</v>
      </c>
      <c r="L11" s="71">
        <v>14.2</v>
      </c>
      <c r="M11" s="78">
        <f t="shared" si="0"/>
        <v>14.666666666666666</v>
      </c>
    </row>
    <row r="12" spans="1:13" x14ac:dyDescent="0.25">
      <c r="A12" s="69">
        <v>8</v>
      </c>
      <c r="B12" s="73" t="s">
        <v>149</v>
      </c>
      <c r="C12" s="74"/>
      <c r="D12" s="74"/>
      <c r="E12" s="74"/>
      <c r="F12" s="74"/>
      <c r="G12" s="74"/>
      <c r="H12" s="71">
        <v>20</v>
      </c>
      <c r="I12" s="71">
        <v>20.8</v>
      </c>
      <c r="J12" s="71">
        <v>21.6</v>
      </c>
      <c r="K12" s="71">
        <v>22.5</v>
      </c>
      <c r="L12" s="71">
        <v>23.4</v>
      </c>
      <c r="M12" s="78">
        <f t="shared" si="0"/>
        <v>26</v>
      </c>
    </row>
    <row r="13" spans="1:13" ht="15" customHeight="1" x14ac:dyDescent="0.25"/>
    <row r="14" spans="1:13" x14ac:dyDescent="0.25">
      <c r="A14" s="67" t="s">
        <v>138</v>
      </c>
      <c r="B14" s="68"/>
      <c r="C14" s="68"/>
      <c r="D14" s="68"/>
      <c r="E14" s="68"/>
      <c r="F14" s="68"/>
      <c r="G14" s="68"/>
      <c r="H14" s="20"/>
      <c r="I14" s="20"/>
      <c r="J14" s="20"/>
      <c r="K14" s="20"/>
      <c r="L14" s="20"/>
      <c r="M14" s="20"/>
    </row>
    <row r="15" spans="1:13" x14ac:dyDescent="0.25">
      <c r="A15" s="67" t="s">
        <v>180</v>
      </c>
      <c r="B15" s="68"/>
      <c r="C15" s="68"/>
      <c r="D15" s="68"/>
      <c r="E15" s="68"/>
      <c r="F15" s="68"/>
      <c r="G15" s="68"/>
      <c r="H15" s="20"/>
      <c r="I15" s="20"/>
      <c r="J15" s="20"/>
      <c r="K15" s="20"/>
      <c r="L15" s="20"/>
      <c r="M15" s="20"/>
    </row>
    <row r="16" spans="1:13" x14ac:dyDescent="0.25">
      <c r="A16" s="112" t="s">
        <v>139</v>
      </c>
      <c r="B16" s="112" t="s">
        <v>140</v>
      </c>
      <c r="C16" s="79" t="s">
        <v>150</v>
      </c>
      <c r="D16" s="76"/>
      <c r="E16" s="76"/>
      <c r="F16" s="76"/>
      <c r="G16" s="76"/>
      <c r="H16" s="76"/>
      <c r="I16" s="76"/>
      <c r="J16" s="76"/>
      <c r="K16" s="76"/>
      <c r="L16" s="76"/>
      <c r="M16" s="76"/>
    </row>
    <row r="17" spans="1:13" x14ac:dyDescent="0.25">
      <c r="A17" s="112"/>
      <c r="B17" s="112"/>
      <c r="C17" s="75">
        <v>2017</v>
      </c>
      <c r="D17" s="75">
        <v>2018</v>
      </c>
      <c r="E17" s="75">
        <v>2019</v>
      </c>
      <c r="F17" s="75">
        <v>2020</v>
      </c>
      <c r="G17" s="75">
        <v>2021</v>
      </c>
      <c r="H17" s="75">
        <v>2022</v>
      </c>
      <c r="I17" s="75">
        <v>2023</v>
      </c>
      <c r="J17" s="75">
        <v>2024</v>
      </c>
      <c r="K17" s="75">
        <v>2025</v>
      </c>
      <c r="L17" s="75">
        <v>2026</v>
      </c>
      <c r="M17" s="77">
        <v>2027</v>
      </c>
    </row>
    <row r="18" spans="1:13" x14ac:dyDescent="0.25">
      <c r="A18" s="69">
        <v>1</v>
      </c>
      <c r="B18" s="70" t="s">
        <v>151</v>
      </c>
      <c r="C18" s="69">
        <f>C5/'Conversion Factors'!$C$35*'Conversion Factors'!$A$19/'Conversion Factors'!$B$6</f>
        <v>908799.13044747908</v>
      </c>
      <c r="D18" s="69">
        <f>D5/'Conversion Factors'!$C$35*'Conversion Factors'!$A$19/'Conversion Factors'!$B$6</f>
        <v>945151.09566537838</v>
      </c>
      <c r="E18" s="69">
        <f>E5/'Conversion Factors'!$C$35*'Conversion Factors'!$A$19/'Conversion Factors'!$B$6</f>
        <v>982901.21339165827</v>
      </c>
      <c r="F18" s="69">
        <f>F5/'Conversion Factors'!$C$35*'Conversion Factors'!$A$19/'Conversion Factors'!$B$6</f>
        <v>1022049.483626319</v>
      </c>
      <c r="G18" s="69">
        <f>G5/'Conversion Factors'!$C$35*'Conversion Factors'!$A$19/'Conversion Factors'!$B$6</f>
        <v>1062595.9063693604</v>
      </c>
      <c r="H18" s="69">
        <f>H5/'Conversion Factors'!$C$35*'Conversion Factors'!$A$19/'Conversion Factors'!$B$6</f>
        <v>1104540.4816207823</v>
      </c>
      <c r="I18" s="69">
        <f>I5/'Conversion Factors'!$C$35*'Conversion Factors'!$A$19/'Conversion Factors'!$B$6</f>
        <v>1146485.0568722044</v>
      </c>
      <c r="J18" s="69">
        <f>J5/'Conversion Factors'!$C$35*'Conversion Factors'!$A$19/'Conversion Factors'!$B$6</f>
        <v>1188429.6321236268</v>
      </c>
      <c r="K18" s="69">
        <f>K5/'Conversion Factors'!$C$35*'Conversion Factors'!$A$19/'Conversion Factors'!$B$6</f>
        <v>1244355.7324588562</v>
      </c>
      <c r="L18" s="69">
        <f>L5/'Conversion Factors'!$C$35*'Conversion Factors'!$A$19/'Conversion Factors'!$B$6</f>
        <v>1293291.0702521817</v>
      </c>
      <c r="M18" s="69">
        <f>M5/'Conversion Factors'!$C$35*'Conversion Factors'!$A$19/'Conversion Factors'!$B$6</f>
        <v>1336012.3968971488</v>
      </c>
    </row>
    <row r="19" spans="1:13" x14ac:dyDescent="0.25">
      <c r="A19" s="69">
        <v>2</v>
      </c>
      <c r="B19" s="70" t="s">
        <v>143</v>
      </c>
      <c r="C19" s="69">
        <f>C6/'Conversion Factors'!$C$35*'Conversion Factors'!$A$19/'Conversion Factors'!$B$6</f>
        <v>1398152.5083807372</v>
      </c>
      <c r="D19" s="69">
        <f>D6/'Conversion Factors'!$C$35*'Conversion Factors'!$A$19/'Conversion Factors'!$B$6</f>
        <v>1454078.6087159668</v>
      </c>
      <c r="E19" s="69">
        <f>E6/'Conversion Factors'!$C$35*'Conversion Factors'!$A$19/'Conversion Factors'!$B$6</f>
        <v>1510004.7090511965</v>
      </c>
      <c r="F19" s="69">
        <f>F6/'Conversion Factors'!$C$35*'Conversion Factors'!$A$19/'Conversion Factors'!$B$6</f>
        <v>1565930.8093864257</v>
      </c>
      <c r="G19" s="69">
        <f>G6/'Conversion Factors'!$C$35*'Conversion Factors'!$A$19/'Conversion Factors'!$B$6</f>
        <v>1635838.4348054626</v>
      </c>
      <c r="H19" s="69">
        <f>H6/'Conversion Factors'!$C$35*'Conversion Factors'!$A$19/'Conversion Factors'!$B$6</f>
        <v>1705746.0602244993</v>
      </c>
      <c r="I19" s="69">
        <f>I6/'Conversion Factors'!$C$35*'Conversion Factors'!$A$19/'Conversion Factors'!$B$6</f>
        <v>1775653.6856435363</v>
      </c>
      <c r="J19" s="69">
        <f>J6/'Conversion Factors'!$C$35*'Conversion Factors'!$A$19/'Conversion Factors'!$B$6</f>
        <v>1845561.3110625728</v>
      </c>
      <c r="K19" s="69">
        <f>K6/'Conversion Factors'!$C$35*'Conversion Factors'!$A$19/'Conversion Factors'!$B$6</f>
        <v>1915468.9364816097</v>
      </c>
      <c r="L19" s="69">
        <f>L6/'Conversion Factors'!$C$35*'Conversion Factors'!$A$19/'Conversion Factors'!$B$6</f>
        <v>1985376.5619006469</v>
      </c>
      <c r="M19" s="69">
        <f>M6/'Conversion Factors'!$C$35*'Conversion Factors'!$A$19/'Conversion Factors'!$B$6</f>
        <v>2050623.6789584146</v>
      </c>
    </row>
    <row r="20" spans="1:13" x14ac:dyDescent="0.25">
      <c r="A20" s="69">
        <v>3</v>
      </c>
      <c r="B20" s="70" t="s">
        <v>144</v>
      </c>
      <c r="C20" s="69">
        <f>C7/'Conversion Factors'!$C$35*'Conversion Factors'!$A$19/'Conversion Factors'!$B$6</f>
        <v>768983.87960940553</v>
      </c>
      <c r="D20" s="69">
        <f>D7/'Conversion Factors'!$C$35*'Conversion Factors'!$A$19/'Conversion Factors'!$B$6</f>
        <v>768983.87960940553</v>
      </c>
      <c r="E20" s="69">
        <f>E7/'Conversion Factors'!$C$35*'Conversion Factors'!$A$19/'Conversion Factors'!$B$6</f>
        <v>768983.87960940553</v>
      </c>
      <c r="F20" s="69">
        <f>F7/'Conversion Factors'!$C$35*'Conversion Factors'!$A$19/'Conversion Factors'!$B$6</f>
        <v>768983.87960940553</v>
      </c>
      <c r="G20" s="69">
        <f>G7/'Conversion Factors'!$C$35*'Conversion Factors'!$A$19/'Conversion Factors'!$B$6</f>
        <v>768983.87960940553</v>
      </c>
      <c r="H20" s="69">
        <f>H7/'Conversion Factors'!$C$35*'Conversion Factors'!$A$19/'Conversion Factors'!$B$6</f>
        <v>768983.87960940553</v>
      </c>
      <c r="I20" s="69">
        <f>I7/'Conversion Factors'!$C$35*'Conversion Factors'!$A$19/'Conversion Factors'!$B$6</f>
        <v>768983.87960940553</v>
      </c>
      <c r="J20" s="69">
        <f>J7/'Conversion Factors'!$C$35*'Conversion Factors'!$A$19/'Conversion Factors'!$B$6</f>
        <v>768983.87960940553</v>
      </c>
      <c r="K20" s="69">
        <f>K7/'Conversion Factors'!$C$35*'Conversion Factors'!$A$19/'Conversion Factors'!$B$6</f>
        <v>768983.87960940553</v>
      </c>
      <c r="L20" s="69">
        <f>L7/'Conversion Factors'!$C$35*'Conversion Factors'!$A$19/'Conversion Factors'!$B$6</f>
        <v>768983.87960940553</v>
      </c>
      <c r="M20" s="69">
        <f>M7/'Conversion Factors'!$C$35*'Conversion Factors'!$A$19/'Conversion Factors'!$B$6</f>
        <v>768983.87960940553</v>
      </c>
    </row>
    <row r="21" spans="1:13" x14ac:dyDescent="0.25">
      <c r="A21" s="69">
        <v>4</v>
      </c>
      <c r="B21" s="70" t="s">
        <v>145</v>
      </c>
      <c r="C21" s="69">
        <f>C8/'Conversion Factors'!$C$35*'Conversion Factors'!$A$19/'Conversion Factors'!$B$6</f>
        <v>838891.50502844236</v>
      </c>
      <c r="D21" s="69">
        <f>D8/'Conversion Factors'!$C$35*'Conversion Factors'!$A$19/'Conversion Factors'!$B$6</f>
        <v>838891.50502844236</v>
      </c>
      <c r="E21" s="69">
        <f>E8/'Conversion Factors'!$C$35*'Conversion Factors'!$A$19/'Conversion Factors'!$B$6</f>
        <v>838891.50502844236</v>
      </c>
      <c r="F21" s="69">
        <f>F8/'Conversion Factors'!$C$35*'Conversion Factors'!$A$19/'Conversion Factors'!$B$6</f>
        <v>838891.50502844236</v>
      </c>
      <c r="G21" s="69">
        <f>G8/'Conversion Factors'!$C$35*'Conversion Factors'!$A$19/'Conversion Factors'!$B$6</f>
        <v>838891.50502844236</v>
      </c>
      <c r="H21" s="69">
        <f>H8/'Conversion Factors'!$C$35*'Conversion Factors'!$A$19/'Conversion Factors'!$B$6</f>
        <v>838891.50502844236</v>
      </c>
      <c r="I21" s="69">
        <f>I8/'Conversion Factors'!$C$35*'Conversion Factors'!$A$19/'Conversion Factors'!$B$6</f>
        <v>838891.50502844236</v>
      </c>
      <c r="J21" s="69">
        <f>J8/'Conversion Factors'!$C$35*'Conversion Factors'!$A$19/'Conversion Factors'!$B$6</f>
        <v>838891.50502844236</v>
      </c>
      <c r="K21" s="69">
        <f>K8/'Conversion Factors'!$C$35*'Conversion Factors'!$A$19/'Conversion Factors'!$B$6</f>
        <v>838891.50502844236</v>
      </c>
      <c r="L21" s="69">
        <f>L8/'Conversion Factors'!$C$35*'Conversion Factors'!$A$19/'Conversion Factors'!$B$6</f>
        <v>838891.50502844236</v>
      </c>
      <c r="M21" s="69">
        <f>M8/'Conversion Factors'!$C$35*'Conversion Factors'!$A$19/'Conversion Factors'!$B$6</f>
        <v>838891.50502844236</v>
      </c>
    </row>
    <row r="22" spans="1:13" x14ac:dyDescent="0.25">
      <c r="A22" s="69">
        <v>5</v>
      </c>
      <c r="B22" s="70" t="s">
        <v>146</v>
      </c>
      <c r="C22" s="69">
        <f>C9/'Conversion Factors'!$C$35*'Conversion Factors'!$A$19/'Conversion Factors'!$B$6</f>
        <v>796946.92977702012</v>
      </c>
      <c r="D22" s="69">
        <f>D9/'Conversion Factors'!$C$35*'Conversion Factors'!$A$19/'Conversion Factors'!$B$6</f>
        <v>796946.92977702012</v>
      </c>
      <c r="E22" s="69">
        <f>E9/'Conversion Factors'!$C$35*'Conversion Factors'!$A$19/'Conversion Factors'!$B$6</f>
        <v>796946.92977702012</v>
      </c>
      <c r="F22" s="69">
        <f>F9/'Conversion Factors'!$C$35*'Conversion Factors'!$A$19/'Conversion Factors'!$B$6</f>
        <v>796946.92977702012</v>
      </c>
      <c r="G22" s="69">
        <f>G9/'Conversion Factors'!$C$35*'Conversion Factors'!$A$19/'Conversion Factors'!$B$6</f>
        <v>796946.92977702012</v>
      </c>
      <c r="H22" s="69">
        <f>H9/'Conversion Factors'!$C$35*'Conversion Factors'!$A$19/'Conversion Factors'!$B$6</f>
        <v>796946.92977702012</v>
      </c>
      <c r="I22" s="69">
        <f>I9/'Conversion Factors'!$C$35*'Conversion Factors'!$A$19/'Conversion Factors'!$B$6</f>
        <v>796946.92977702012</v>
      </c>
      <c r="J22" s="69">
        <f>J9/'Conversion Factors'!$C$35*'Conversion Factors'!$A$19/'Conversion Factors'!$B$6</f>
        <v>796946.92977702012</v>
      </c>
      <c r="K22" s="69">
        <f>K9/'Conversion Factors'!$C$35*'Conversion Factors'!$A$19/'Conversion Factors'!$B$6</f>
        <v>796946.92977702012</v>
      </c>
      <c r="L22" s="69">
        <f>L9/'Conversion Factors'!$C$35*'Conversion Factors'!$A$19/'Conversion Factors'!$B$6</f>
        <v>796946.92977702012</v>
      </c>
      <c r="M22" s="69">
        <f>M9/'Conversion Factors'!$C$35*'Conversion Factors'!$A$19/'Conversion Factors'!$B$6</f>
        <v>796946.92977702012</v>
      </c>
    </row>
    <row r="23" spans="1:13" x14ac:dyDescent="0.25">
      <c r="A23" s="69">
        <v>6</v>
      </c>
      <c r="B23" s="70" t="s">
        <v>152</v>
      </c>
      <c r="C23" s="69">
        <f>C10/'Conversion Factors'!$C$35*'Conversion Factors'!$A$19/'Conversion Factors'!$B$6</f>
        <v>908799.13044747908</v>
      </c>
      <c r="D23" s="69">
        <f>D10/'Conversion Factors'!$C$35*'Conversion Factors'!$A$19/'Conversion Factors'!$B$6</f>
        <v>945151.09566537838</v>
      </c>
      <c r="E23" s="69">
        <f>E10/'Conversion Factors'!$C$35*'Conversion Factors'!$A$19/'Conversion Factors'!$B$6</f>
        <v>982901.21339165827</v>
      </c>
      <c r="F23" s="69">
        <f>F10/'Conversion Factors'!$C$35*'Conversion Factors'!$A$19/'Conversion Factors'!$B$6</f>
        <v>1022049.483626319</v>
      </c>
      <c r="G23" s="69">
        <f>G10/'Conversion Factors'!$C$35*'Conversion Factors'!$A$19/'Conversion Factors'!$B$6</f>
        <v>1062595.9063693604</v>
      </c>
      <c r="H23" s="69">
        <f>H10/'Conversion Factors'!$C$35*'Conversion Factors'!$A$19/'Conversion Factors'!$B$6</f>
        <v>1104540.4816207823</v>
      </c>
      <c r="I23" s="69">
        <f>I10/'Conversion Factors'!$C$35*'Conversion Factors'!$A$19/'Conversion Factors'!$B$6</f>
        <v>1146485.0568722044</v>
      </c>
      <c r="J23" s="69">
        <f>J10/'Conversion Factors'!$C$35*'Conversion Factors'!$A$19/'Conversion Factors'!$B$6</f>
        <v>1188429.6321236268</v>
      </c>
      <c r="K23" s="69">
        <f>K10/'Conversion Factors'!$C$35*'Conversion Factors'!$A$19/'Conversion Factors'!$B$6</f>
        <v>1244355.7324588562</v>
      </c>
      <c r="L23" s="69">
        <f>L10/'Conversion Factors'!$C$35*'Conversion Factors'!$A$19/'Conversion Factors'!$B$6</f>
        <v>1293291.0702521817</v>
      </c>
      <c r="M23" s="69">
        <f>M10/'Conversion Factors'!$C$35*'Conversion Factors'!$A$19/'Conversion Factors'!$B$6</f>
        <v>1336012.3968971488</v>
      </c>
    </row>
    <row r="24" spans="1:13" ht="25.5" x14ac:dyDescent="0.25">
      <c r="A24" s="69">
        <v>7</v>
      </c>
      <c r="B24" s="73" t="s">
        <v>148</v>
      </c>
      <c r="C24" s="69">
        <f>C11/'Conversion Factors'!$C$35*'Conversion Factors'!$A$19/'Conversion Factors'!$B$6</f>
        <v>1398152.5083807372</v>
      </c>
      <c r="D24" s="69">
        <f>D11/'Conversion Factors'!$C$35*'Conversion Factors'!$A$19/'Conversion Factors'!$B$6</f>
        <v>1454078.6087159668</v>
      </c>
      <c r="E24" s="69">
        <f>E11/'Conversion Factors'!$C$35*'Conversion Factors'!$A$19/'Conversion Factors'!$B$6</f>
        <v>1510004.7090511965</v>
      </c>
      <c r="F24" s="69">
        <f>F11/'Conversion Factors'!$C$35*'Conversion Factors'!$A$19/'Conversion Factors'!$B$6</f>
        <v>1565930.8093864257</v>
      </c>
      <c r="G24" s="69">
        <f>G11/'Conversion Factors'!$C$35*'Conversion Factors'!$A$19/'Conversion Factors'!$B$6</f>
        <v>1635838.4348054626</v>
      </c>
      <c r="H24" s="69">
        <f>H11/'Conversion Factors'!$C$35*'Conversion Factors'!$A$19/'Conversion Factors'!$B$6</f>
        <v>1705746.0602244993</v>
      </c>
      <c r="I24" s="69">
        <f>I11/'Conversion Factors'!$C$35*'Conversion Factors'!$A$19/'Conversion Factors'!$B$6</f>
        <v>1775653.6856435363</v>
      </c>
      <c r="J24" s="69">
        <f>J11/'Conversion Factors'!$C$35*'Conversion Factors'!$A$19/'Conversion Factors'!$B$6</f>
        <v>1845561.3110625728</v>
      </c>
      <c r="K24" s="69">
        <f>K11/'Conversion Factors'!$C$35*'Conversion Factors'!$A$19/'Conversion Factors'!$B$6</f>
        <v>1915468.9364816097</v>
      </c>
      <c r="L24" s="69">
        <f>L11/'Conversion Factors'!$C$35*'Conversion Factors'!$A$19/'Conversion Factors'!$B$6</f>
        <v>1985376.5619006469</v>
      </c>
      <c r="M24" s="69">
        <f>M11/'Conversion Factors'!$C$35*'Conversion Factors'!$A$19/'Conversion Factors'!$B$6</f>
        <v>2050623.6789584146</v>
      </c>
    </row>
    <row r="25" spans="1:13" x14ac:dyDescent="0.25">
      <c r="A25" s="69">
        <v>8</v>
      </c>
      <c r="B25" s="73" t="s">
        <v>149</v>
      </c>
      <c r="C25" s="69"/>
      <c r="D25" s="69"/>
      <c r="E25" s="69"/>
      <c r="F25" s="69"/>
      <c r="G25" s="69"/>
      <c r="H25" s="69">
        <f>H12/'Conversion Factors'!$C$35*'Conversion Factors'!$A$19/'Conversion Factors'!$B$6</f>
        <v>2796305.0167614743</v>
      </c>
      <c r="I25" s="69">
        <f>I12/'Conversion Factors'!$C$35*'Conversion Factors'!$A$19/'Conversion Factors'!$B$6</f>
        <v>2908157.2174319336</v>
      </c>
      <c r="J25" s="69">
        <f>J12/'Conversion Factors'!$C$35*'Conversion Factors'!$A$19/'Conversion Factors'!$B$6</f>
        <v>3020009.4181023929</v>
      </c>
      <c r="K25" s="69">
        <f>K12/'Conversion Factors'!$C$35*'Conversion Factors'!$A$19/'Conversion Factors'!$B$6</f>
        <v>3145843.1438566591</v>
      </c>
      <c r="L25" s="69">
        <f>L12/'Conversion Factors'!$C$35*'Conversion Factors'!$A$19/'Conversion Factors'!$B$6</f>
        <v>3271676.8696109252</v>
      </c>
      <c r="M25" s="69">
        <f>M12/'Conversion Factors'!$C$35*'Conversion Factors'!$A$19/'Conversion Factors'!$B$6</f>
        <v>3635196.5217899163</v>
      </c>
    </row>
  </sheetData>
  <mergeCells count="4">
    <mergeCell ref="A16:A17"/>
    <mergeCell ref="B16:B17"/>
    <mergeCell ref="A3:A4"/>
    <mergeCell ref="B3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9"/>
  <sheetViews>
    <sheetView workbookViewId="0">
      <selection activeCell="B13" sqref="B13"/>
    </sheetView>
  </sheetViews>
  <sheetFormatPr defaultColWidth="9.140625" defaultRowHeight="15" x14ac:dyDescent="0.25"/>
  <cols>
    <col min="1" max="1" width="9.140625" style="20"/>
    <col min="2" max="2" width="17.28515625" style="20" customWidth="1"/>
    <col min="3" max="3" width="31" style="20" customWidth="1"/>
    <col min="4" max="5" width="17.28515625" style="20" customWidth="1"/>
    <col min="6" max="6" width="23.140625" style="20" customWidth="1"/>
    <col min="7" max="7" width="17.28515625" style="20" customWidth="1"/>
    <col min="8" max="8" width="22.5703125" style="20" customWidth="1"/>
    <col min="9" max="9" width="17.28515625" style="20" customWidth="1"/>
    <col min="10" max="10" width="22.42578125" style="20" customWidth="1"/>
    <col min="11" max="11" width="20.85546875" style="20" customWidth="1"/>
    <col min="12" max="12" width="28.140625" style="20" customWidth="1"/>
    <col min="13" max="13" width="19.140625" style="20" bestFit="1" customWidth="1"/>
    <col min="14" max="14" width="22.140625" style="20" bestFit="1" customWidth="1"/>
    <col min="15" max="16384" width="9.140625" style="20"/>
  </cols>
  <sheetData>
    <row r="1" spans="1:14" x14ac:dyDescent="0.25">
      <c r="A1" s="13" t="s">
        <v>28</v>
      </c>
      <c r="B1" s="13" t="s">
        <v>77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</row>
    <row r="2" spans="1:14" x14ac:dyDescent="0.25">
      <c r="A2" s="1">
        <v>2016</v>
      </c>
      <c r="B2" s="4">
        <f>TREND(B3:B4,$A3:$A4,$A2)</f>
        <v>934944.85558377951</v>
      </c>
      <c r="C2" s="4">
        <f>TREND(C3:C4,$A3:$A4,$A2)</f>
        <v>682957.30196405761</v>
      </c>
      <c r="D2" s="4">
        <f>TREND(D3:D4,$A3:$A4,$A2)</f>
        <v>2630351.9262370467</v>
      </c>
      <c r="E2" s="4">
        <f>TREND(E3:E4,$A3:$A4,$A2)</f>
        <v>2225983.8017029911</v>
      </c>
      <c r="F2" s="19">
        <f>IESS!B53</f>
        <v>1244476.9034142776</v>
      </c>
      <c r="G2" s="19">
        <f>'Combined Capital Costs'!B7</f>
        <v>1086361.1466131094</v>
      </c>
      <c r="H2" s="4">
        <f>TREND(H3:H4,$A3:$A4,$A2)</f>
        <v>2332237.3562169075</v>
      </c>
      <c r="I2" s="4">
        <f>TREND(I3:I4,$A3:$A4,$A2)</f>
        <v>821617.67390907416</v>
      </c>
      <c r="J2" s="4">
        <f>TREND(J3:J4,$A3:$A4,$A2)</f>
        <v>5020996.8961110096</v>
      </c>
      <c r="K2" s="4">
        <f>L2</f>
        <v>651000</v>
      </c>
      <c r="L2" s="4">
        <f>Lazard!B28*10^3</f>
        <v>651000</v>
      </c>
      <c r="M2" s="4">
        <f>B2*'Coal Cost Multipliers'!$B$33</f>
        <v>1083547.1229341729</v>
      </c>
      <c r="N2" s="4">
        <f>TREND(N3:N4,$A3:$A4,$A2)</f>
        <v>2912178.1997443885</v>
      </c>
    </row>
    <row r="3" spans="1:14" x14ac:dyDescent="0.25">
      <c r="A3" s="1">
        <v>2017</v>
      </c>
      <c r="B3" s="4">
        <f>INDEX('Combined Capital Costs'!$B$3:$H$15,MATCH("hard coal",'Combined Capital Costs'!$A$3:$A$15,0),MATCH($A3,'Combined Capital Costs'!$B$2:$H$2,0))</f>
        <v>955482.14295426896</v>
      </c>
      <c r="C3" s="4">
        <f>INDEX('Combined Capital Costs'!$B$3:$H$15,MATCH("natural gas nonpeaker",'Combined Capital Costs'!$A$3:$A$15,0),MATCH($A3,'Combined Capital Costs'!$B$2:$H$2,0))</f>
        <v>689989.30592868885</v>
      </c>
      <c r="D3" s="4">
        <f>INDEX('Combined Capital Costs'!$B$3:$H$15,MATCH("nuclear",'Combined Capital Costs'!$A$3:$A$15,0),MATCH($A3,'Combined Capital Costs'!$B$2:$H$2,0))</f>
        <v>2435059.8715842008</v>
      </c>
      <c r="E3" s="4">
        <f>INDEX('Combined Capital Costs'!$B$3:$H$15,MATCH("hydro",'Combined Capital Costs'!$A$3:$A$15,0),MATCH($A3,'Combined Capital Costs'!$B$2:$H$2,0))</f>
        <v>2202214.2744804788</v>
      </c>
      <c r="F3" s="4">
        <v>0</v>
      </c>
      <c r="G3" s="4">
        <v>0</v>
      </c>
      <c r="H3" s="4">
        <f>INDEX('Combined Capital Costs'!$B$3:$H$15,MATCH("solar thermal",'Combined Capital Costs'!$A$3:$A$15,0),MATCH($A3,'Combined Capital Costs'!$B$2:$H$2,0))</f>
        <v>2358590.4692349825</v>
      </c>
      <c r="I3" s="4">
        <f>INDEX('Combined Capital Costs'!$B$3:$H$15,MATCH("biomass",'Combined Capital Costs'!$A$3:$A$15,0),MATCH($A3,'Combined Capital Costs'!$B$2:$H$2,0))</f>
        <v>821617.67390907416</v>
      </c>
      <c r="J3" s="4">
        <f>INDEX('Combined Capital Costs'!$B$3:$H$15,MATCH("geothermal",'Combined Capital Costs'!$A$3:$A$15,0),MATCH($A3,'Combined Capital Costs'!$B$2:$H$2,0))</f>
        <v>5020996.8961110096</v>
      </c>
      <c r="K3" s="4">
        <f>K2</f>
        <v>651000</v>
      </c>
      <c r="L3" s="4">
        <f>L2</f>
        <v>651000</v>
      </c>
      <c r="M3" s="4">
        <f>B3*'Coal Cost Multipliers'!$B$33</f>
        <v>1107348.6535915839</v>
      </c>
      <c r="N3" s="4">
        <f>INDEX('Combined Capital Costs'!$B$3:$H$15,MATCH("offshore wind",'Combined Capital Costs'!$A$3:$A$15,0),MATCH($A3,'Combined Capital Costs'!$B$2:$H$2,0))</f>
        <v>2875661.8586817603</v>
      </c>
    </row>
    <row r="4" spans="1:14" x14ac:dyDescent="0.25">
      <c r="A4" s="1">
        <v>2018</v>
      </c>
      <c r="B4" s="4">
        <f>(B$8-B$3)/5+B3</f>
        <v>976019.43032476422</v>
      </c>
      <c r="C4" s="4">
        <f t="shared" ref="C4:E7" si="0">(C$8-C$3)/5+C3</f>
        <v>697021.3098933202</v>
      </c>
      <c r="D4" s="4">
        <f t="shared" si="0"/>
        <v>2239767.8169314102</v>
      </c>
      <c r="E4" s="4">
        <f t="shared" si="0"/>
        <v>2178444.7472579628</v>
      </c>
      <c r="F4" s="4">
        <v>0</v>
      </c>
      <c r="G4" s="4">
        <v>0</v>
      </c>
      <c r="H4" s="4">
        <f>(H$8-H$3)/5+H3</f>
        <v>2384943.582253058</v>
      </c>
      <c r="I4" s="4">
        <f>(I$8-I$3)/5+I3</f>
        <v>821617.67390907416</v>
      </c>
      <c r="J4" s="4">
        <f>(J$8-J$3)/5+J3</f>
        <v>5020996.8961110096</v>
      </c>
      <c r="K4" s="4">
        <f t="shared" ref="K4:L36" si="1">K3</f>
        <v>651000</v>
      </c>
      <c r="L4" s="4">
        <f t="shared" si="1"/>
        <v>651000</v>
      </c>
      <c r="M4" s="4">
        <f>B4*'Coal Cost Multipliers'!$B$33</f>
        <v>1131150.1842490018</v>
      </c>
      <c r="N4" s="4">
        <f>(N$8-N$3)/5+N3</f>
        <v>2839145.5176191349</v>
      </c>
    </row>
    <row r="5" spans="1:14" x14ac:dyDescent="0.25">
      <c r="A5" s="1">
        <v>2019</v>
      </c>
      <c r="B5" s="4">
        <f t="shared" ref="B5:B7" si="2">(B$8-B$3)/5+B4</f>
        <v>996556.71769525949</v>
      </c>
      <c r="C5" s="4">
        <f t="shared" si="0"/>
        <v>704053.31385795155</v>
      </c>
      <c r="D5" s="4">
        <f t="shared" si="0"/>
        <v>2044475.7622786197</v>
      </c>
      <c r="E5" s="4">
        <f t="shared" si="0"/>
        <v>2154675.2200354468</v>
      </c>
      <c r="F5" s="4">
        <v>0</v>
      </c>
      <c r="G5" s="4">
        <v>0</v>
      </c>
      <c r="H5" s="4">
        <f t="shared" ref="H5:J7" si="3">(H$8-H$3)/5+H4</f>
        <v>2411296.6952711334</v>
      </c>
      <c r="I5" s="4">
        <f t="shared" si="3"/>
        <v>821617.67390907416</v>
      </c>
      <c r="J5" s="4">
        <f t="shared" si="3"/>
        <v>5020996.8961110096</v>
      </c>
      <c r="K5" s="4">
        <f t="shared" si="1"/>
        <v>651000</v>
      </c>
      <c r="L5" s="4">
        <f t="shared" si="1"/>
        <v>651000</v>
      </c>
      <c r="M5" s="4">
        <f>B5*'Coal Cost Multipliers'!$B$33</f>
        <v>1154951.7149064196</v>
      </c>
      <c r="N5" s="4">
        <f t="shared" ref="N5" si="4">(N$8-N$3)/5+N4</f>
        <v>2802629.1765565095</v>
      </c>
    </row>
    <row r="6" spans="1:14" x14ac:dyDescent="0.25">
      <c r="A6" s="1">
        <v>2020</v>
      </c>
      <c r="B6" s="4">
        <f t="shared" si="2"/>
        <v>1017094.0050657548</v>
      </c>
      <c r="C6" s="4">
        <f t="shared" si="0"/>
        <v>711085.3178225829</v>
      </c>
      <c r="D6" s="4">
        <f t="shared" si="0"/>
        <v>1849183.7076258291</v>
      </c>
      <c r="E6" s="4">
        <f t="shared" si="0"/>
        <v>2130905.6928129308</v>
      </c>
      <c r="F6" s="4">
        <v>0</v>
      </c>
      <c r="G6" s="4">
        <v>0</v>
      </c>
      <c r="H6" s="4">
        <f t="shared" si="3"/>
        <v>2437649.8082892089</v>
      </c>
      <c r="I6" s="4">
        <f t="shared" si="3"/>
        <v>821617.67390907416</v>
      </c>
      <c r="J6" s="4">
        <f t="shared" si="3"/>
        <v>5020996.8961110096</v>
      </c>
      <c r="K6" s="4">
        <f t="shared" si="1"/>
        <v>651000</v>
      </c>
      <c r="L6" s="4">
        <f t="shared" si="1"/>
        <v>651000</v>
      </c>
      <c r="M6" s="4">
        <f>B6*'Coal Cost Multipliers'!$B$33</f>
        <v>1178753.2455638375</v>
      </c>
      <c r="N6" s="4">
        <f t="shared" ref="N6" si="5">(N$8-N$3)/5+N5</f>
        <v>2766112.835493884</v>
      </c>
    </row>
    <row r="7" spans="1:14" x14ac:dyDescent="0.25">
      <c r="A7" s="1">
        <v>2021</v>
      </c>
      <c r="B7" s="4">
        <f t="shared" si="2"/>
        <v>1037631.29243625</v>
      </c>
      <c r="C7" s="4">
        <f t="shared" si="0"/>
        <v>718117.32178721426</v>
      </c>
      <c r="D7" s="4">
        <f t="shared" si="0"/>
        <v>1653891.6529730386</v>
      </c>
      <c r="E7" s="4">
        <f t="shared" si="0"/>
        <v>2107136.1655904148</v>
      </c>
      <c r="F7" s="4">
        <v>0</v>
      </c>
      <c r="G7" s="4">
        <v>0</v>
      </c>
      <c r="H7" s="4">
        <f t="shared" si="3"/>
        <v>2464002.9213072844</v>
      </c>
      <c r="I7" s="4">
        <f t="shared" si="3"/>
        <v>821617.67390907416</v>
      </c>
      <c r="J7" s="4">
        <f t="shared" si="3"/>
        <v>5020996.8961110096</v>
      </c>
      <c r="K7" s="4">
        <f t="shared" si="1"/>
        <v>651000</v>
      </c>
      <c r="L7" s="4">
        <f t="shared" si="1"/>
        <v>651000</v>
      </c>
      <c r="M7" s="4">
        <f>B7*'Coal Cost Multipliers'!$B$33</f>
        <v>1202554.7762212555</v>
      </c>
      <c r="N7" s="4">
        <f t="shared" ref="N7" si="6">(N$8-N$3)/5+N6</f>
        <v>2729596.4944312586</v>
      </c>
    </row>
    <row r="8" spans="1:14" x14ac:dyDescent="0.25">
      <c r="A8" s="1">
        <v>2022</v>
      </c>
      <c r="B8" s="4">
        <f>INDEX('Combined Capital Costs'!$B$3:$H$15,MATCH("hard coal",'Combined Capital Costs'!$A$3:$A$15,0),MATCH($A8,'Combined Capital Costs'!$B$2:$H$2,0))</f>
        <v>1058168.5798067451</v>
      </c>
      <c r="C8" s="4">
        <f>INDEX('Combined Capital Costs'!$B$3:$H$15,MATCH("natural gas nonpeaker",'Combined Capital Costs'!$A$3:$A$15,0),MATCH($A8,'Combined Capital Costs'!$B$2:$H$2,0))</f>
        <v>725149.32575184549</v>
      </c>
      <c r="D8" s="4">
        <f>INDEX('Combined Capital Costs'!$B$3:$H$15,MATCH("nuclear",'Combined Capital Costs'!$A$3:$A$15,0),MATCH($A8,'Combined Capital Costs'!$B$2:$H$2,0))</f>
        <v>1458599.5983202483</v>
      </c>
      <c r="E8" s="4">
        <f>INDEX('Combined Capital Costs'!$B$3:$H$15,MATCH("hydro",'Combined Capital Costs'!$A$3:$A$15,0),MATCH($A8,'Combined Capital Costs'!$B$2:$H$2,0))</f>
        <v>2083366.6383678985</v>
      </c>
      <c r="F8" s="4">
        <v>0</v>
      </c>
      <c r="G8" s="4">
        <v>0</v>
      </c>
      <c r="H8" s="4">
        <f>INDEX('Combined Capital Costs'!$B$3:$H$15,MATCH("solar thermal",'Combined Capital Costs'!$A$3:$A$15,0),MATCH($A8,'Combined Capital Costs'!$B$2:$H$2,0))</f>
        <v>2490356.0343253608</v>
      </c>
      <c r="I8" s="4">
        <f>INDEX('Combined Capital Costs'!$B$3:$H$15,MATCH("biomass",'Combined Capital Costs'!$A$3:$A$15,0),MATCH($A8,'Combined Capital Costs'!$B$2:$H$2,0))</f>
        <v>821617.67390907416</v>
      </c>
      <c r="J8" s="4">
        <f>INDEX('Combined Capital Costs'!$B$3:$H$15,MATCH("geothermal",'Combined Capital Costs'!$A$3:$A$15,0),MATCH($A8,'Combined Capital Costs'!$B$2:$H$2,0))</f>
        <v>5020996.8961110096</v>
      </c>
      <c r="K8" s="4">
        <f t="shared" si="1"/>
        <v>651000</v>
      </c>
      <c r="L8" s="4">
        <f t="shared" si="1"/>
        <v>651000</v>
      </c>
      <c r="M8" s="4">
        <f>B8*'Coal Cost Multipliers'!$B$33</f>
        <v>1226356.3068786731</v>
      </c>
      <c r="N8" s="4">
        <f>INDEX('Combined Capital Costs'!$B$3:$H$15,MATCH("offshore wind",'Combined Capital Costs'!$A$3:$A$15,0),MATCH($A8,'Combined Capital Costs'!$B$2:$H$2,0))</f>
        <v>2693080.1533686323</v>
      </c>
    </row>
    <row r="9" spans="1:14" x14ac:dyDescent="0.25">
      <c r="A9" s="1">
        <v>2023</v>
      </c>
      <c r="B9" s="4">
        <f>(B$13-B$8)/5+B8</f>
        <v>1069738.9998003873</v>
      </c>
      <c r="C9" s="4">
        <f t="shared" ref="C9:E12" si="7">(C$13-C$8)/5+C8</f>
        <v>732181.32971647684</v>
      </c>
      <c r="D9" s="4">
        <f t="shared" si="7"/>
        <v>1613825.2612529402</v>
      </c>
      <c r="E9" s="4">
        <f t="shared" si="7"/>
        <v>1995977.967165391</v>
      </c>
      <c r="F9" s="4">
        <v>0</v>
      </c>
      <c r="G9" s="4">
        <v>0</v>
      </c>
      <c r="H9" s="4">
        <f>(H$13-H$8)/5+H8</f>
        <v>2524431.5647252146</v>
      </c>
      <c r="I9" s="4">
        <f>(I$13-I$8)/5+I8</f>
        <v>821617.67390907416</v>
      </c>
      <c r="J9" s="4">
        <f>(J$13-J$8)/5+J8</f>
        <v>5020996.8961110096</v>
      </c>
      <c r="K9" s="4">
        <f t="shared" si="1"/>
        <v>651000</v>
      </c>
      <c r="L9" s="4">
        <f t="shared" si="1"/>
        <v>651000</v>
      </c>
      <c r="M9" s="4">
        <f>B9*'Coal Cost Multipliers'!$B$33</f>
        <v>1239765.7558107418</v>
      </c>
      <c r="N9" s="4">
        <f>(N$13-N$8)/5+N8</f>
        <v>2671170.3487310568</v>
      </c>
    </row>
    <row r="10" spans="1:14" x14ac:dyDescent="0.25">
      <c r="A10" s="1">
        <v>2024</v>
      </c>
      <c r="B10" s="4">
        <f t="shared" ref="B10:B12" si="8">(B$13-B$8)/5+B9</f>
        <v>1081309.4197940296</v>
      </c>
      <c r="C10" s="4">
        <f t="shared" si="7"/>
        <v>739213.3336811082</v>
      </c>
      <c r="D10" s="4">
        <f t="shared" si="7"/>
        <v>1769050.924185632</v>
      </c>
      <c r="E10" s="4">
        <f t="shared" si="7"/>
        <v>1908589.2959628834</v>
      </c>
      <c r="F10" s="4">
        <v>0</v>
      </c>
      <c r="G10" s="4">
        <v>0</v>
      </c>
      <c r="H10" s="4">
        <f t="shared" ref="H10:J12" si="9">(H$13-H$8)/5+H9</f>
        <v>2558507.0951250684</v>
      </c>
      <c r="I10" s="4">
        <f t="shared" si="9"/>
        <v>821617.67390907416</v>
      </c>
      <c r="J10" s="4">
        <f t="shared" si="9"/>
        <v>5020996.8961110096</v>
      </c>
      <c r="K10" s="4">
        <f t="shared" si="1"/>
        <v>651000</v>
      </c>
      <c r="L10" s="4">
        <f t="shared" si="1"/>
        <v>651000</v>
      </c>
      <c r="M10" s="4">
        <f>B10*'Coal Cost Multipliers'!$B$33</f>
        <v>1253175.2047428105</v>
      </c>
      <c r="N10" s="4">
        <f t="shared" ref="N10" si="10">(N$13-N$8)/5+N9</f>
        <v>2649260.5440934813</v>
      </c>
    </row>
    <row r="11" spans="1:14" x14ac:dyDescent="0.25">
      <c r="A11" s="1">
        <v>2025</v>
      </c>
      <c r="B11" s="4">
        <f t="shared" si="8"/>
        <v>1092879.8397876718</v>
      </c>
      <c r="C11" s="4">
        <f t="shared" si="7"/>
        <v>746245.33764573955</v>
      </c>
      <c r="D11" s="4">
        <f t="shared" si="7"/>
        <v>1924276.5871183239</v>
      </c>
      <c r="E11" s="4">
        <f t="shared" si="7"/>
        <v>1821200.6247603758</v>
      </c>
      <c r="F11" s="4">
        <v>0</v>
      </c>
      <c r="G11" s="4">
        <v>0</v>
      </c>
      <c r="H11" s="4">
        <f t="shared" si="9"/>
        <v>2592582.6255249223</v>
      </c>
      <c r="I11" s="4">
        <f t="shared" si="9"/>
        <v>821617.67390907416</v>
      </c>
      <c r="J11" s="4">
        <f t="shared" si="9"/>
        <v>5020996.8961110096</v>
      </c>
      <c r="K11" s="4">
        <f t="shared" si="1"/>
        <v>651000</v>
      </c>
      <c r="L11" s="4">
        <f t="shared" si="1"/>
        <v>651000</v>
      </c>
      <c r="M11" s="4">
        <f>B11*'Coal Cost Multipliers'!$B$33</f>
        <v>1266584.6536748793</v>
      </c>
      <c r="N11" s="4">
        <f t="shared" ref="N11" si="11">(N$13-N$8)/5+N10</f>
        <v>2627350.7394559057</v>
      </c>
    </row>
    <row r="12" spans="1:14" x14ac:dyDescent="0.25">
      <c r="A12" s="1">
        <v>2026</v>
      </c>
      <c r="B12" s="4">
        <f t="shared" si="8"/>
        <v>1104450.2597813141</v>
      </c>
      <c r="C12" s="4">
        <f t="shared" si="7"/>
        <v>753277.3416103709</v>
      </c>
      <c r="D12" s="4">
        <f t="shared" si="7"/>
        <v>2079502.2500510158</v>
      </c>
      <c r="E12" s="4">
        <f t="shared" si="7"/>
        <v>1733811.9535578683</v>
      </c>
      <c r="F12" s="4">
        <v>0</v>
      </c>
      <c r="G12" s="4">
        <v>0</v>
      </c>
      <c r="H12" s="4">
        <f t="shared" si="9"/>
        <v>2626658.1559247761</v>
      </c>
      <c r="I12" s="4">
        <f t="shared" si="9"/>
        <v>821617.67390907416</v>
      </c>
      <c r="J12" s="4">
        <f t="shared" si="9"/>
        <v>5020996.8961110096</v>
      </c>
      <c r="K12" s="4">
        <f t="shared" si="1"/>
        <v>651000</v>
      </c>
      <c r="L12" s="4">
        <f t="shared" si="1"/>
        <v>651000</v>
      </c>
      <c r="M12" s="4">
        <f>B12*'Coal Cost Multipliers'!$B$33</f>
        <v>1279994.102606948</v>
      </c>
      <c r="N12" s="4">
        <f t="shared" ref="N12" si="12">(N$13-N$8)/5+N11</f>
        <v>2605440.9348183302</v>
      </c>
    </row>
    <row r="13" spans="1:14" x14ac:dyDescent="0.25">
      <c r="A13" s="1">
        <v>2027</v>
      </c>
      <c r="B13" s="4">
        <f>INDEX('Combined Capital Costs'!$B$3:$H$15,MATCH("hard coal",'Combined Capital Costs'!$A$3:$A$15,0),MATCH($A13,'Combined Capital Costs'!$B$2:$H$2,0))</f>
        <v>1116020.6797749563</v>
      </c>
      <c r="C13" s="4">
        <f>INDEX('Combined Capital Costs'!$B$3:$H$15,MATCH("natural gas nonpeaker",'Combined Capital Costs'!$A$3:$A$15,0),MATCH($A13,'Combined Capital Costs'!$B$2:$H$2,0))</f>
        <v>760309.34557500202</v>
      </c>
      <c r="D13" s="4">
        <f>INDEX('Combined Capital Costs'!$B$3:$H$15,MATCH("nuclear",'Combined Capital Costs'!$A$3:$A$15,0),MATCH($A13,'Combined Capital Costs'!$B$2:$H$2,0))</f>
        <v>2234727.9129837072</v>
      </c>
      <c r="E13" s="4">
        <f>INDEX('Combined Capital Costs'!$B$3:$H$15,MATCH("hydro",'Combined Capital Costs'!$A$3:$A$15,0),MATCH($A13,'Combined Capital Costs'!$B$2:$H$2,0))</f>
        <v>1646423.2823553607</v>
      </c>
      <c r="F13" s="4">
        <v>0</v>
      </c>
      <c r="G13" s="4">
        <v>0</v>
      </c>
      <c r="H13" s="4">
        <f>INDEX('Combined Capital Costs'!$B$3:$H$15,MATCH("solar thermal",'Combined Capital Costs'!$A$3:$A$15,0),MATCH($A13,'Combined Capital Costs'!$B$2:$H$2,0))</f>
        <v>2660733.6863246309</v>
      </c>
      <c r="I13" s="4">
        <f>INDEX('Combined Capital Costs'!$B$3:$H$15,MATCH("biomass",'Combined Capital Costs'!$A$3:$A$15,0),MATCH($A13,'Combined Capital Costs'!$B$2:$H$2,0))</f>
        <v>821617.67390907416</v>
      </c>
      <c r="J13" s="4">
        <f>INDEX('Combined Capital Costs'!$B$3:$H$15,MATCH("geothermal",'Combined Capital Costs'!$A$3:$A$15,0),MATCH($A13,'Combined Capital Costs'!$B$2:$H$2,0))</f>
        <v>5020996.8961110096</v>
      </c>
      <c r="K13" s="4">
        <f t="shared" si="1"/>
        <v>651000</v>
      </c>
      <c r="L13" s="4">
        <f t="shared" si="1"/>
        <v>651000</v>
      </c>
      <c r="M13" s="4">
        <f>B13*'Coal Cost Multipliers'!$B$33</f>
        <v>1293403.5515390169</v>
      </c>
      <c r="N13" s="4">
        <f>INDEX('Combined Capital Costs'!$B$3:$H$15,MATCH("offshore wind",'Combined Capital Costs'!$A$3:$A$15,0),MATCH($A13,'Combined Capital Costs'!$B$2:$H$2,0))</f>
        <v>2583531.1301807556</v>
      </c>
    </row>
    <row r="14" spans="1:14" x14ac:dyDescent="0.25">
      <c r="A14" s="1">
        <v>2028</v>
      </c>
      <c r="B14" s="4">
        <f>(B$18-B$13)/5+B13</f>
        <v>1145170.9349099777</v>
      </c>
      <c r="C14" s="4">
        <f t="shared" ref="C14:E17" si="13">(C$18-C$13)/5+C13</f>
        <v>767341.34953963337</v>
      </c>
      <c r="D14" s="4">
        <f t="shared" si="13"/>
        <v>2068136.5388952731</v>
      </c>
      <c r="E14" s="4">
        <f t="shared" si="13"/>
        <v>1663730.8687701232</v>
      </c>
      <c r="F14" s="4">
        <v>0</v>
      </c>
      <c r="G14" s="4">
        <v>0</v>
      </c>
      <c r="H14" s="4">
        <f>(H$18-H$13)/5+H13</f>
        <v>2700232.4717911272</v>
      </c>
      <c r="I14" s="4">
        <f>(I$18-I$13)/5+I13</f>
        <v>821617.67390907416</v>
      </c>
      <c r="J14" s="4">
        <f>(J$18-J$13)/5+J13</f>
        <v>5020996.8961110096</v>
      </c>
      <c r="K14" s="4">
        <f t="shared" si="1"/>
        <v>651000</v>
      </c>
      <c r="L14" s="4">
        <f t="shared" si="1"/>
        <v>651000</v>
      </c>
      <c r="M14" s="4">
        <f>B14*'Coal Cost Multipliers'!$B$33</f>
        <v>1327187.0146980579</v>
      </c>
      <c r="N14" s="4">
        <f>(N$18-N$13)/5+N13</f>
        <v>2574402.0449150992</v>
      </c>
    </row>
    <row r="15" spans="1:14" x14ac:dyDescent="0.25">
      <c r="A15" s="1">
        <v>2029</v>
      </c>
      <c r="B15" s="4">
        <f t="shared" ref="B15:B17" si="14">(B$18-B$13)/5+B14</f>
        <v>1174321.1900449991</v>
      </c>
      <c r="C15" s="4">
        <f t="shared" si="13"/>
        <v>774373.35350426473</v>
      </c>
      <c r="D15" s="4">
        <f t="shared" si="13"/>
        <v>1901545.1648068391</v>
      </c>
      <c r="E15" s="4">
        <f t="shared" si="13"/>
        <v>1681038.4551848858</v>
      </c>
      <c r="F15" s="4">
        <v>0</v>
      </c>
      <c r="G15" s="4">
        <v>0</v>
      </c>
      <c r="H15" s="4">
        <f t="shared" ref="H15:J17" si="15">(H$18-H$13)/5+H14</f>
        <v>2739731.2572576236</v>
      </c>
      <c r="I15" s="4">
        <f t="shared" si="15"/>
        <v>821617.67390907416</v>
      </c>
      <c r="J15" s="4">
        <f t="shared" si="15"/>
        <v>5020996.8961110096</v>
      </c>
      <c r="K15" s="4">
        <f t="shared" si="1"/>
        <v>651000</v>
      </c>
      <c r="L15" s="4">
        <f t="shared" si="1"/>
        <v>651000</v>
      </c>
      <c r="M15" s="4">
        <f>B15*'Coal Cost Multipliers'!$B$33</f>
        <v>1360970.4778570989</v>
      </c>
      <c r="N15" s="4">
        <f t="shared" ref="N15" si="16">(N$18-N$13)/5+N14</f>
        <v>2565272.9596494427</v>
      </c>
    </row>
    <row r="16" spans="1:14" x14ac:dyDescent="0.25">
      <c r="A16" s="1">
        <v>2030</v>
      </c>
      <c r="B16" s="4">
        <f t="shared" si="14"/>
        <v>1203471.4451800205</v>
      </c>
      <c r="C16" s="4">
        <f t="shared" si="13"/>
        <v>781405.35746889608</v>
      </c>
      <c r="D16" s="4">
        <f t="shared" si="13"/>
        <v>1734953.790718405</v>
      </c>
      <c r="E16" s="4">
        <f t="shared" si="13"/>
        <v>1698346.0415996483</v>
      </c>
      <c r="F16" s="4">
        <v>0</v>
      </c>
      <c r="G16" s="4">
        <v>0</v>
      </c>
      <c r="H16" s="4">
        <f t="shared" si="15"/>
        <v>2779230.04272412</v>
      </c>
      <c r="I16" s="4">
        <f t="shared" si="15"/>
        <v>821617.67390907416</v>
      </c>
      <c r="J16" s="4">
        <f t="shared" si="15"/>
        <v>5020996.8961110096</v>
      </c>
      <c r="K16" s="4">
        <f t="shared" si="1"/>
        <v>651000</v>
      </c>
      <c r="L16" s="4">
        <f t="shared" si="1"/>
        <v>651000</v>
      </c>
      <c r="M16" s="4">
        <f>B16*'Coal Cost Multipliers'!$B$33</f>
        <v>1394753.9410161399</v>
      </c>
      <c r="N16" s="4">
        <f t="shared" ref="N16" si="17">(N$18-N$13)/5+N15</f>
        <v>2556143.8743837862</v>
      </c>
    </row>
    <row r="17" spans="1:14" x14ac:dyDescent="0.25">
      <c r="A17" s="1">
        <v>2031</v>
      </c>
      <c r="B17" s="4">
        <f t="shared" si="14"/>
        <v>1232621.7003150419</v>
      </c>
      <c r="C17" s="4">
        <f t="shared" si="13"/>
        <v>788437.36143352743</v>
      </c>
      <c r="D17" s="4">
        <f t="shared" si="13"/>
        <v>1568362.416629971</v>
      </c>
      <c r="E17" s="4">
        <f t="shared" si="13"/>
        <v>1715653.6280144108</v>
      </c>
      <c r="F17" s="4">
        <v>0</v>
      </c>
      <c r="G17" s="4">
        <v>0</v>
      </c>
      <c r="H17" s="4">
        <f t="shared" si="15"/>
        <v>2818728.8281906163</v>
      </c>
      <c r="I17" s="4">
        <f t="shared" si="15"/>
        <v>821617.67390907416</v>
      </c>
      <c r="J17" s="4">
        <f t="shared" si="15"/>
        <v>5020996.8961110096</v>
      </c>
      <c r="K17" s="4">
        <f t="shared" si="1"/>
        <v>651000</v>
      </c>
      <c r="L17" s="4">
        <f t="shared" si="1"/>
        <v>651000</v>
      </c>
      <c r="M17" s="4">
        <f>B17*'Coal Cost Multipliers'!$B$33</f>
        <v>1428537.4041751809</v>
      </c>
      <c r="N17" s="4">
        <f t="shared" ref="N17" si="18">(N$18-N$13)/5+N16</f>
        <v>2547014.7891181298</v>
      </c>
    </row>
    <row r="18" spans="1:14" x14ac:dyDescent="0.25">
      <c r="A18" s="1">
        <v>2032</v>
      </c>
      <c r="B18" s="4">
        <f>INDEX('Combined Capital Costs'!$B$3:$H$15,MATCH("hard coal",'Combined Capital Costs'!$A$3:$A$15,0),MATCH($A18,'Combined Capital Costs'!$B$2:$H$2,0))</f>
        <v>1261771.9554500636</v>
      </c>
      <c r="C18" s="4">
        <f>INDEX('Combined Capital Costs'!$B$3:$H$15,MATCH("natural gas nonpeaker",'Combined Capital Costs'!$A$3:$A$15,0),MATCH($A18,'Combined Capital Costs'!$B$2:$H$2,0))</f>
        <v>795469.36539815855</v>
      </c>
      <c r="D18" s="4">
        <f>INDEX('Combined Capital Costs'!$B$3:$H$15,MATCH("nuclear",'Combined Capital Costs'!$A$3:$A$15,0),MATCH($A18,'Combined Capital Costs'!$B$2:$H$2,0))</f>
        <v>1401771.0425415372</v>
      </c>
      <c r="E18" s="4">
        <f>INDEX('Combined Capital Costs'!$B$3:$H$15,MATCH("hydro",'Combined Capital Costs'!$A$3:$A$15,0),MATCH($A18,'Combined Capital Costs'!$B$2:$H$2,0))</f>
        <v>1732961.2144291729</v>
      </c>
      <c r="F18" s="4">
        <v>0</v>
      </c>
      <c r="G18" s="4">
        <v>0</v>
      </c>
      <c r="H18" s="4">
        <f>INDEX('Combined Capital Costs'!$B$3:$H$15,MATCH("solar thermal",'Combined Capital Costs'!$A$3:$A$15,0),MATCH($A18,'Combined Capital Costs'!$B$2:$H$2,0))</f>
        <v>2858227.6136571118</v>
      </c>
      <c r="I18" s="4">
        <f>INDEX('Combined Capital Costs'!$B$3:$H$15,MATCH("biomass",'Combined Capital Costs'!$A$3:$A$15,0),MATCH($A18,'Combined Capital Costs'!$B$2:$H$2,0))</f>
        <v>821617.67390907416</v>
      </c>
      <c r="J18" s="4">
        <f>INDEX('Combined Capital Costs'!$B$3:$H$15,MATCH("geothermal",'Combined Capital Costs'!$A$3:$A$15,0),MATCH($A18,'Combined Capital Costs'!$B$2:$H$2,0))</f>
        <v>5020996.8961110096</v>
      </c>
      <c r="K18" s="4">
        <f t="shared" si="1"/>
        <v>651000</v>
      </c>
      <c r="L18" s="4">
        <f t="shared" si="1"/>
        <v>651000</v>
      </c>
      <c r="M18" s="4">
        <f>B18*'Coal Cost Multipliers'!$B$33</f>
        <v>1462320.8673342222</v>
      </c>
      <c r="N18" s="4">
        <f>INDEX('Combined Capital Costs'!$B$3:$H$15,MATCH("offshore wind",'Combined Capital Costs'!$A$3:$A$15,0),MATCH($A18,'Combined Capital Costs'!$B$2:$H$2,0))</f>
        <v>2537885.7038524733</v>
      </c>
    </row>
    <row r="19" spans="1:14" x14ac:dyDescent="0.25">
      <c r="A19" s="1">
        <v>2033</v>
      </c>
      <c r="B19" s="4">
        <f>(B$23-B$18)/5+B18</f>
        <v>1296882.0109249866</v>
      </c>
      <c r="C19" s="4">
        <f t="shared" ref="C19:E22" si="19">(C$23-C$18)/5+C18</f>
        <v>802501.3693627899</v>
      </c>
      <c r="D19" s="4">
        <f t="shared" si="19"/>
        <v>1709990.4580224962</v>
      </c>
      <c r="E19" s="4">
        <f t="shared" si="19"/>
        <v>1741229.5573697826</v>
      </c>
      <c r="F19" s="4">
        <v>0</v>
      </c>
      <c r="G19" s="4">
        <v>0</v>
      </c>
      <c r="H19" s="4">
        <f>(H$23-H$18)/5+H18</f>
        <v>2847173.1812306009</v>
      </c>
      <c r="I19" s="4">
        <f>(I$23-I$18)/5+I18</f>
        <v>821617.67390907416</v>
      </c>
      <c r="J19" s="4">
        <f>(J$23-J$18)/5+J18</f>
        <v>5020996.8961110096</v>
      </c>
      <c r="K19" s="4">
        <f t="shared" si="1"/>
        <v>651000</v>
      </c>
      <c r="L19" s="4">
        <f t="shared" si="1"/>
        <v>651000</v>
      </c>
      <c r="M19" s="4">
        <f>B19*'Coal Cost Multipliers'!$B$33</f>
        <v>1503011.3950896347</v>
      </c>
      <c r="N19" s="4">
        <f>(N$23-N$18)/5+N18</f>
        <v>2532408.2526930794</v>
      </c>
    </row>
    <row r="20" spans="1:14" x14ac:dyDescent="0.25">
      <c r="A20" s="1">
        <v>2034</v>
      </c>
      <c r="B20" s="4">
        <f t="shared" ref="B20:B22" si="20">(B$23-B$18)/5+B19</f>
        <v>1331992.0663999096</v>
      </c>
      <c r="C20" s="4">
        <f t="shared" si="19"/>
        <v>809533.37332742126</v>
      </c>
      <c r="D20" s="4">
        <f t="shared" si="19"/>
        <v>2018209.8735034552</v>
      </c>
      <c r="E20" s="4">
        <f t="shared" si="19"/>
        <v>1749497.9003103923</v>
      </c>
      <c r="F20" s="4">
        <v>0</v>
      </c>
      <c r="G20" s="4">
        <v>0</v>
      </c>
      <c r="H20" s="4">
        <f t="shared" ref="H20:J22" si="21">(H$23-H$18)/5+H19</f>
        <v>2836118.7488040901</v>
      </c>
      <c r="I20" s="4">
        <f t="shared" si="21"/>
        <v>821617.67390907416</v>
      </c>
      <c r="J20" s="4">
        <f t="shared" si="21"/>
        <v>5020996.8961110096</v>
      </c>
      <c r="K20" s="4">
        <f t="shared" si="1"/>
        <v>651000</v>
      </c>
      <c r="L20" s="4">
        <f t="shared" si="1"/>
        <v>651000</v>
      </c>
      <c r="M20" s="4">
        <f>B20*'Coal Cost Multipliers'!$B$33</f>
        <v>1543701.9228450474</v>
      </c>
      <c r="N20" s="4">
        <f t="shared" ref="N20" si="22">(N$23-N$18)/5+N19</f>
        <v>2526930.8015336855</v>
      </c>
    </row>
    <row r="21" spans="1:14" x14ac:dyDescent="0.25">
      <c r="A21" s="1">
        <v>2035</v>
      </c>
      <c r="B21" s="4">
        <f t="shared" si="20"/>
        <v>1367102.1218748325</v>
      </c>
      <c r="C21" s="4">
        <f t="shared" si="19"/>
        <v>816565.37729205261</v>
      </c>
      <c r="D21" s="4">
        <f t="shared" si="19"/>
        <v>2326429.2889844142</v>
      </c>
      <c r="E21" s="4">
        <f t="shared" si="19"/>
        <v>1757766.2432510019</v>
      </c>
      <c r="F21" s="4">
        <v>0</v>
      </c>
      <c r="G21" s="4">
        <v>0</v>
      </c>
      <c r="H21" s="4">
        <f t="shared" si="21"/>
        <v>2825064.3163775792</v>
      </c>
      <c r="I21" s="4">
        <f t="shared" si="21"/>
        <v>821617.67390907416</v>
      </c>
      <c r="J21" s="4">
        <f t="shared" si="21"/>
        <v>5020996.8961110096</v>
      </c>
      <c r="K21" s="4">
        <f t="shared" si="1"/>
        <v>651000</v>
      </c>
      <c r="L21" s="4">
        <f t="shared" si="1"/>
        <v>651000</v>
      </c>
      <c r="M21" s="4">
        <f>B21*'Coal Cost Multipliers'!$B$33</f>
        <v>1584392.4506004599</v>
      </c>
      <c r="N21" s="4">
        <f t="shared" ref="N21" si="23">(N$23-N$18)/5+N20</f>
        <v>2521453.3503742917</v>
      </c>
    </row>
    <row r="22" spans="1:14" x14ac:dyDescent="0.25">
      <c r="A22" s="1">
        <v>2036</v>
      </c>
      <c r="B22" s="4">
        <f t="shared" si="20"/>
        <v>1402212.1773497555</v>
      </c>
      <c r="C22" s="4">
        <f t="shared" si="19"/>
        <v>823597.38125668396</v>
      </c>
      <c r="D22" s="4">
        <f t="shared" si="19"/>
        <v>2634648.7044653734</v>
      </c>
      <c r="E22" s="4">
        <f t="shared" si="19"/>
        <v>1766034.5861916116</v>
      </c>
      <c r="F22" s="4">
        <v>0</v>
      </c>
      <c r="G22" s="4">
        <v>0</v>
      </c>
      <c r="H22" s="4">
        <f t="shared" si="21"/>
        <v>2814009.8839510684</v>
      </c>
      <c r="I22" s="4">
        <f t="shared" si="21"/>
        <v>821617.67390907416</v>
      </c>
      <c r="J22" s="4">
        <f t="shared" si="21"/>
        <v>5020996.8961110096</v>
      </c>
      <c r="K22" s="4">
        <f t="shared" si="1"/>
        <v>651000</v>
      </c>
      <c r="L22" s="4">
        <f t="shared" si="1"/>
        <v>651000</v>
      </c>
      <c r="M22" s="4">
        <f>B22*'Coal Cost Multipliers'!$B$33</f>
        <v>1625082.9783558727</v>
      </c>
      <c r="N22" s="4">
        <f t="shared" ref="N22" si="24">(N$23-N$18)/5+N21</f>
        <v>2515975.8992148978</v>
      </c>
    </row>
    <row r="23" spans="1:14" x14ac:dyDescent="0.25">
      <c r="A23" s="1">
        <v>2037</v>
      </c>
      <c r="B23" s="4">
        <f>INDEX('Combined Capital Costs'!$B$3:$H$15,MATCH("hard coal",'Combined Capital Costs'!$A$3:$A$15,0),MATCH($A23,'Combined Capital Costs'!$B$2:$H$2,0))</f>
        <v>1437322.232824679</v>
      </c>
      <c r="C23" s="4">
        <f>INDEX('Combined Capital Costs'!$B$3:$H$15,MATCH("natural gas nonpeaker",'Combined Capital Costs'!$A$3:$A$15,0),MATCH($A23,'Combined Capital Costs'!$B$2:$H$2,0))</f>
        <v>830629.38522131531</v>
      </c>
      <c r="D23" s="4">
        <f>INDEX('Combined Capital Costs'!$B$3:$H$15,MATCH("nuclear",'Combined Capital Costs'!$A$3:$A$15,0),MATCH($A23,'Combined Capital Costs'!$B$2:$H$2,0))</f>
        <v>2942868.1199463322</v>
      </c>
      <c r="E23" s="4">
        <f>INDEX('Combined Capital Costs'!$B$3:$H$15,MATCH("hydro",'Combined Capital Costs'!$A$3:$A$15,0),MATCH($A23,'Combined Capital Costs'!$B$2:$H$2,0))</f>
        <v>1774302.9291322213</v>
      </c>
      <c r="F23" s="4">
        <v>0</v>
      </c>
      <c r="G23" s="4">
        <v>0</v>
      </c>
      <c r="H23" s="4">
        <f>INDEX('Combined Capital Costs'!$B$3:$H$15,MATCH("solar thermal",'Combined Capital Costs'!$A$3:$A$15,0),MATCH($A23,'Combined Capital Costs'!$B$2:$H$2,0))</f>
        <v>2802955.4515245571</v>
      </c>
      <c r="I23" s="4">
        <f>INDEX('Combined Capital Costs'!$B$3:$H$15,MATCH("biomass",'Combined Capital Costs'!$A$3:$A$15,0),MATCH($A23,'Combined Capital Costs'!$B$2:$H$2,0))</f>
        <v>821617.67390907416</v>
      </c>
      <c r="J23" s="4">
        <f>INDEX('Combined Capital Costs'!$B$3:$H$15,MATCH("geothermal",'Combined Capital Costs'!$A$3:$A$15,0),MATCH($A23,'Combined Capital Costs'!$B$2:$H$2,0))</f>
        <v>5020996.8961110096</v>
      </c>
      <c r="K23" s="4">
        <f t="shared" si="1"/>
        <v>651000</v>
      </c>
      <c r="L23" s="4">
        <f t="shared" si="1"/>
        <v>651000</v>
      </c>
      <c r="M23" s="4">
        <f>B23*'Coal Cost Multipliers'!$B$33</f>
        <v>1665773.5061112856</v>
      </c>
      <c r="N23" s="4">
        <f>INDEX('Combined Capital Costs'!$B$3:$H$15,MATCH("offshore wind",'Combined Capital Costs'!$A$3:$A$15,0),MATCH($A23,'Combined Capital Costs'!$B$2:$H$2,0))</f>
        <v>2510498.4480555048</v>
      </c>
    </row>
    <row r="24" spans="1:14" x14ac:dyDescent="0.25">
      <c r="A24" s="1">
        <v>2038</v>
      </c>
      <c r="B24" s="4">
        <f>(B$28-B$23)/5+B23</f>
        <v>1473208.1031778511</v>
      </c>
      <c r="C24" s="4">
        <f t="shared" ref="C24:E27" si="25">(C$28-C$23)/5+C23</f>
        <v>837661.38918594655</v>
      </c>
      <c r="D24" s="4">
        <f t="shared" si="25"/>
        <v>2830246.8916750224</v>
      </c>
      <c r="E24" s="4">
        <f t="shared" si="25"/>
        <v>1727412.6275404389</v>
      </c>
      <c r="F24" s="4">
        <v>0</v>
      </c>
      <c r="G24" s="4">
        <v>0</v>
      </c>
      <c r="H24" s="4">
        <f>(H$28-H$23)/5+H23</f>
        <v>2794554.082880409</v>
      </c>
      <c r="I24" s="4">
        <f>(I$28-I$23)/5+I23</f>
        <v>821617.67390907416</v>
      </c>
      <c r="J24" s="4">
        <f>(J$28-J$23)/5+J23</f>
        <v>5020996.8961110096</v>
      </c>
      <c r="K24" s="4">
        <f t="shared" si="1"/>
        <v>651000</v>
      </c>
      <c r="L24" s="4">
        <f t="shared" si="1"/>
        <v>651000</v>
      </c>
      <c r="M24" s="4">
        <f>B24*'Coal Cost Multipliers'!$B$33</f>
        <v>1707363.1585308278</v>
      </c>
      <c r="N24" s="4">
        <f>(N$28-N$23)/5+N23</f>
        <v>2506846.8139492422</v>
      </c>
    </row>
    <row r="25" spans="1:14" x14ac:dyDescent="0.25">
      <c r="A25" s="1">
        <v>2039</v>
      </c>
      <c r="B25" s="4">
        <f t="shared" ref="B25:B27" si="26">(B$28-B$23)/5+B24</f>
        <v>1509093.9735310231</v>
      </c>
      <c r="C25" s="4">
        <f t="shared" si="25"/>
        <v>844693.39315057779</v>
      </c>
      <c r="D25" s="4">
        <f t="shared" si="25"/>
        <v>2717625.6634037127</v>
      </c>
      <c r="E25" s="4">
        <f t="shared" si="25"/>
        <v>1680522.3259486565</v>
      </c>
      <c r="F25" s="4">
        <v>0</v>
      </c>
      <c r="G25" s="4">
        <v>0</v>
      </c>
      <c r="H25" s="4">
        <f t="shared" ref="H25:J27" si="27">(H$28-H$23)/5+H24</f>
        <v>2786152.7142362609</v>
      </c>
      <c r="I25" s="4">
        <f t="shared" si="27"/>
        <v>821617.67390907416</v>
      </c>
      <c r="J25" s="4">
        <f t="shared" si="27"/>
        <v>5020996.8961110096</v>
      </c>
      <c r="K25" s="4">
        <f t="shared" si="1"/>
        <v>651000</v>
      </c>
      <c r="L25" s="4">
        <f t="shared" si="1"/>
        <v>651000</v>
      </c>
      <c r="M25" s="4">
        <f>B25*'Coal Cost Multipliers'!$B$33</f>
        <v>1748952.8109503698</v>
      </c>
      <c r="N25" s="4">
        <f t="shared" ref="N25" si="28">(N$28-N$23)/5+N24</f>
        <v>2503195.1798429796</v>
      </c>
    </row>
    <row r="26" spans="1:14" x14ac:dyDescent="0.25">
      <c r="A26" s="1">
        <v>2040</v>
      </c>
      <c r="B26" s="4">
        <f t="shared" si="26"/>
        <v>1544979.8438841952</v>
      </c>
      <c r="C26" s="4">
        <f t="shared" si="25"/>
        <v>851725.39711520902</v>
      </c>
      <c r="D26" s="4">
        <f t="shared" si="25"/>
        <v>2605004.4351324029</v>
      </c>
      <c r="E26" s="4">
        <f t="shared" si="25"/>
        <v>1633632.0243568742</v>
      </c>
      <c r="F26" s="4">
        <v>0</v>
      </c>
      <c r="G26" s="4">
        <v>0</v>
      </c>
      <c r="H26" s="4">
        <f t="shared" si="27"/>
        <v>2777751.3455921127</v>
      </c>
      <c r="I26" s="4">
        <f t="shared" si="27"/>
        <v>821617.67390907416</v>
      </c>
      <c r="J26" s="4">
        <f t="shared" si="27"/>
        <v>5020996.8961110096</v>
      </c>
      <c r="K26" s="4">
        <f t="shared" si="1"/>
        <v>651000</v>
      </c>
      <c r="L26" s="4">
        <f t="shared" si="1"/>
        <v>651000</v>
      </c>
      <c r="M26" s="4">
        <f>B26*'Coal Cost Multipliers'!$B$33</f>
        <v>1790542.4633699118</v>
      </c>
      <c r="N26" s="4">
        <f t="shared" ref="N26" si="29">(N$28-N$23)/5+N25</f>
        <v>2499543.5457367171</v>
      </c>
    </row>
    <row r="27" spans="1:14" x14ac:dyDescent="0.25">
      <c r="A27" s="1">
        <v>2041</v>
      </c>
      <c r="B27" s="4">
        <f t="shared" si="26"/>
        <v>1580865.7142373673</v>
      </c>
      <c r="C27" s="4">
        <f t="shared" si="25"/>
        <v>858757.40107984026</v>
      </c>
      <c r="D27" s="4">
        <f t="shared" si="25"/>
        <v>2492383.2068610932</v>
      </c>
      <c r="E27" s="4">
        <f t="shared" si="25"/>
        <v>1586741.7227650918</v>
      </c>
      <c r="F27" s="4">
        <v>0</v>
      </c>
      <c r="G27" s="4">
        <v>0</v>
      </c>
      <c r="H27" s="4">
        <f t="shared" si="27"/>
        <v>2769349.9769479646</v>
      </c>
      <c r="I27" s="4">
        <f t="shared" si="27"/>
        <v>821617.67390907416</v>
      </c>
      <c r="J27" s="4">
        <f t="shared" si="27"/>
        <v>5020996.8961110096</v>
      </c>
      <c r="K27" s="4">
        <f t="shared" si="1"/>
        <v>651000</v>
      </c>
      <c r="L27" s="4">
        <f t="shared" si="1"/>
        <v>651000</v>
      </c>
      <c r="M27" s="4">
        <f>B27*'Coal Cost Multipliers'!$B$33</f>
        <v>1832132.115789454</v>
      </c>
      <c r="N27" s="4">
        <f t="shared" ref="N27" si="30">(N$28-N$23)/5+N26</f>
        <v>2495891.9116304545</v>
      </c>
    </row>
    <row r="28" spans="1:14" x14ac:dyDescent="0.25">
      <c r="A28" s="1">
        <v>2042</v>
      </c>
      <c r="B28" s="4">
        <f>INDEX('Combined Capital Costs'!$B$3:$H$15,MATCH("hard coal",'Combined Capital Costs'!$A$3:$A$15,0),MATCH($A28,'Combined Capital Costs'!$B$2:$H$2,0))</f>
        <v>1616751.5845905396</v>
      </c>
      <c r="C28" s="4">
        <f>INDEX('Combined Capital Costs'!$B$3:$H$15,MATCH("natural gas nonpeaker",'Combined Capital Costs'!$A$3:$A$15,0),MATCH($A28,'Combined Capital Costs'!$B$2:$H$2,0))</f>
        <v>865789.40504447173</v>
      </c>
      <c r="D28" s="4">
        <f>INDEX('Combined Capital Costs'!$B$3:$H$15,MATCH("nuclear",'Combined Capital Costs'!$A$3:$A$15,0),MATCH($A28,'Combined Capital Costs'!$B$2:$H$2,0))</f>
        <v>2379761.9785897834</v>
      </c>
      <c r="E28" s="4">
        <f>INDEX('Combined Capital Costs'!$B$3:$H$15,MATCH("hydro",'Combined Capital Costs'!$A$3:$A$15,0),MATCH($A28,'Combined Capital Costs'!$B$2:$H$2,0))</f>
        <v>1539851.4211733097</v>
      </c>
      <c r="F28" s="4">
        <v>0</v>
      </c>
      <c r="G28" s="4">
        <v>0</v>
      </c>
      <c r="H28" s="4">
        <f>INDEX('Combined Capital Costs'!$B$3:$H$15,MATCH("solar thermal",'Combined Capital Costs'!$A$3:$A$15,0),MATCH($A28,'Combined Capital Costs'!$B$2:$H$2,0))</f>
        <v>2760948.6083038161</v>
      </c>
      <c r="I28" s="4">
        <f>INDEX('Combined Capital Costs'!$B$3:$H$15,MATCH("biomass",'Combined Capital Costs'!$A$3:$A$15,0),MATCH($A28,'Combined Capital Costs'!$B$2:$H$2,0))</f>
        <v>821617.67390907416</v>
      </c>
      <c r="J28" s="4">
        <f>INDEX('Combined Capital Costs'!$B$3:$H$15,MATCH("geothermal",'Combined Capital Costs'!$A$3:$A$15,0),MATCH($A28,'Combined Capital Costs'!$B$2:$H$2,0))</f>
        <v>5020996.8961110096</v>
      </c>
      <c r="K28" s="4">
        <f t="shared" si="1"/>
        <v>651000</v>
      </c>
      <c r="L28" s="4">
        <f t="shared" si="1"/>
        <v>651000</v>
      </c>
      <c r="M28" s="4">
        <f>B28*'Coal Cost Multipliers'!$B$33</f>
        <v>1873721.7682089962</v>
      </c>
      <c r="N28" s="4">
        <f>INDEX('Combined Capital Costs'!$B$3:$H$15,MATCH("offshore wind",'Combined Capital Costs'!$A$3:$A$15,0),MATCH($A28,'Combined Capital Costs'!$B$2:$H$2,0))</f>
        <v>2492240.2775241924</v>
      </c>
    </row>
    <row r="29" spans="1:14" x14ac:dyDescent="0.25">
      <c r="A29" s="1">
        <v>2043</v>
      </c>
      <c r="B29" s="4">
        <f>(B$33-B$28)/5+B28</f>
        <v>1670723.54195658</v>
      </c>
      <c r="C29" s="4">
        <f t="shared" ref="C29:E32" si="31">(C$33-C$28)/5+C28</f>
        <v>872821.40900910308</v>
      </c>
      <c r="D29" s="4">
        <f t="shared" si="31"/>
        <v>2330048.4198800642</v>
      </c>
      <c r="E29" s="4">
        <f t="shared" si="31"/>
        <v>1539227.0075490791</v>
      </c>
      <c r="F29" s="4">
        <v>0</v>
      </c>
      <c r="G29" s="4">
        <v>0</v>
      </c>
      <c r="H29" s="4">
        <f>(H$33-H$28)/5+H28</f>
        <v>2754899.6228800295</v>
      </c>
      <c r="I29" s="4">
        <f>(I$33-I$28)/5+I28</f>
        <v>821617.67390907416</v>
      </c>
      <c r="J29" s="4">
        <f>(J$33-J$28)/5+J28</f>
        <v>5020996.8961110096</v>
      </c>
      <c r="K29" s="4">
        <f t="shared" si="1"/>
        <v>651000</v>
      </c>
      <c r="L29" s="4">
        <f t="shared" si="1"/>
        <v>651000</v>
      </c>
      <c r="M29" s="4">
        <f>B29*'Coal Cost Multipliers'!$B$33</f>
        <v>1936272.1515538869</v>
      </c>
      <c r="N29" s="4">
        <f>(N$33-N$28)/5+N28</f>
        <v>2490414.4604710611</v>
      </c>
    </row>
    <row r="30" spans="1:14" x14ac:dyDescent="0.25">
      <c r="A30" s="1">
        <v>2044</v>
      </c>
      <c r="B30" s="4">
        <f t="shared" ref="B30:E36" si="32">(B$33-B$28)/5+B29</f>
        <v>1724695.4993226205</v>
      </c>
      <c r="C30" s="4">
        <f t="shared" si="31"/>
        <v>879853.41297373443</v>
      </c>
      <c r="D30" s="4">
        <f t="shared" si="31"/>
        <v>2280334.861170345</v>
      </c>
      <c r="E30" s="4">
        <f t="shared" si="31"/>
        <v>1538602.5939248486</v>
      </c>
      <c r="F30" s="4">
        <v>0</v>
      </c>
      <c r="G30" s="4">
        <v>0</v>
      </c>
      <c r="H30" s="4">
        <f t="shared" ref="H30:J36" si="33">(H$33-H$28)/5+H29</f>
        <v>2748850.6374562429</v>
      </c>
      <c r="I30" s="4">
        <f t="shared" si="33"/>
        <v>821617.67390907416</v>
      </c>
      <c r="J30" s="4">
        <f t="shared" si="33"/>
        <v>5020996.8961110096</v>
      </c>
      <c r="K30" s="4">
        <f t="shared" si="1"/>
        <v>651000</v>
      </c>
      <c r="L30" s="4">
        <f t="shared" si="1"/>
        <v>651000</v>
      </c>
      <c r="M30" s="4">
        <f>B30*'Coal Cost Multipliers'!$B$33</f>
        <v>1998822.5348987777</v>
      </c>
      <c r="N30" s="4">
        <f t="shared" ref="N30" si="34">(N$33-N$28)/5+N29</f>
        <v>2488588.6434179298</v>
      </c>
    </row>
    <row r="31" spans="1:14" x14ac:dyDescent="0.25">
      <c r="A31" s="1">
        <v>2045</v>
      </c>
      <c r="B31" s="4">
        <f t="shared" si="32"/>
        <v>1778667.4566886609</v>
      </c>
      <c r="C31" s="4">
        <f t="shared" si="31"/>
        <v>886885.41693836579</v>
      </c>
      <c r="D31" s="4">
        <f t="shared" si="31"/>
        <v>2230621.3024606258</v>
      </c>
      <c r="E31" s="4">
        <f t="shared" si="31"/>
        <v>1537978.1803006181</v>
      </c>
      <c r="F31" s="4">
        <v>0</v>
      </c>
      <c r="G31" s="4">
        <v>0</v>
      </c>
      <c r="H31" s="4">
        <f t="shared" si="33"/>
        <v>2742801.6520324564</v>
      </c>
      <c r="I31" s="4">
        <f t="shared" si="33"/>
        <v>821617.67390907416</v>
      </c>
      <c r="J31" s="4">
        <f t="shared" si="33"/>
        <v>5020996.8961110096</v>
      </c>
      <c r="K31" s="4">
        <f t="shared" si="1"/>
        <v>651000</v>
      </c>
      <c r="L31" s="4">
        <f t="shared" si="1"/>
        <v>651000</v>
      </c>
      <c r="M31" s="4">
        <f>B31*'Coal Cost Multipliers'!$B$33</f>
        <v>2061372.9182436685</v>
      </c>
      <c r="N31" s="4">
        <f t="shared" ref="N31" si="35">(N$33-N$28)/5+N30</f>
        <v>2486762.8263647985</v>
      </c>
    </row>
    <row r="32" spans="1:14" x14ac:dyDescent="0.25">
      <c r="A32" s="1">
        <v>2046</v>
      </c>
      <c r="B32" s="4">
        <f t="shared" si="32"/>
        <v>1832639.4140547013</v>
      </c>
      <c r="C32" s="4">
        <f t="shared" si="31"/>
        <v>893917.42090299714</v>
      </c>
      <c r="D32" s="4">
        <f t="shared" si="31"/>
        <v>2180907.7437509065</v>
      </c>
      <c r="E32" s="4">
        <f t="shared" si="31"/>
        <v>1537353.7666763875</v>
      </c>
      <c r="F32" s="4">
        <v>0</v>
      </c>
      <c r="G32" s="4">
        <v>0</v>
      </c>
      <c r="H32" s="4">
        <f t="shared" si="33"/>
        <v>2736752.6666086698</v>
      </c>
      <c r="I32" s="4">
        <f t="shared" si="33"/>
        <v>821617.67390907416</v>
      </c>
      <c r="J32" s="4">
        <f t="shared" si="33"/>
        <v>5020996.8961110096</v>
      </c>
      <c r="K32" s="4">
        <f t="shared" si="1"/>
        <v>651000</v>
      </c>
      <c r="L32" s="4">
        <f t="shared" si="1"/>
        <v>651000</v>
      </c>
      <c r="M32" s="4">
        <f>B32*'Coal Cost Multipliers'!$B$33</f>
        <v>2123923.3015885595</v>
      </c>
      <c r="N32" s="4">
        <f t="shared" ref="N32" si="36">(N$33-N$28)/5+N31</f>
        <v>2484937.0093116672</v>
      </c>
    </row>
    <row r="33" spans="1:14" x14ac:dyDescent="0.25">
      <c r="A33" s="1">
        <v>2047</v>
      </c>
      <c r="B33" s="4">
        <f>INDEX('Combined Capital Costs'!$B$3:$H$15,MATCH("hard coal",'Combined Capital Costs'!$A$3:$A$15,0),MATCH($A33,'Combined Capital Costs'!$B$2:$H$2,0))</f>
        <v>1886611.371420742</v>
      </c>
      <c r="C33" s="4">
        <f>INDEX('Combined Capital Costs'!$B$3:$H$15,MATCH("natural gas nonpeaker",'Combined Capital Costs'!$A$3:$A$15,0),MATCH($A33,'Combined Capital Costs'!$B$2:$H$2,0))</f>
        <v>900949.42486762838</v>
      </c>
      <c r="D33" s="4">
        <f>INDEX('Combined Capital Costs'!$B$3:$H$15,MATCH("nuclear",'Combined Capital Costs'!$A$3:$A$15,0),MATCH($A33,'Combined Capital Costs'!$B$2:$H$2,0))</f>
        <v>2131194.1850411883</v>
      </c>
      <c r="E33" s="4">
        <f>INDEX('Combined Capital Costs'!$B$3:$H$15,MATCH("hydro",'Combined Capital Costs'!$A$3:$A$15,0),MATCH($A33,'Combined Capital Costs'!$B$2:$H$2,0))</f>
        <v>1536729.3530521572</v>
      </c>
      <c r="F33" s="4">
        <v>0</v>
      </c>
      <c r="G33" s="4">
        <v>0</v>
      </c>
      <c r="H33" s="4">
        <f>INDEX('Combined Capital Costs'!$B$3:$H$15,MATCH("solar thermal",'Combined Capital Costs'!$A$3:$A$15,0),MATCH($A33,'Combined Capital Costs'!$B$2:$H$2,0))</f>
        <v>2730703.6811848823</v>
      </c>
      <c r="I33" s="4">
        <f>INDEX('Combined Capital Costs'!$B$3:$H$15,MATCH("biomass",'Combined Capital Costs'!$A$3:$A$15,0),MATCH($A33,'Combined Capital Costs'!$B$2:$H$2,0))</f>
        <v>821617.67390907416</v>
      </c>
      <c r="J33" s="4">
        <f>INDEX('Combined Capital Costs'!$B$3:$H$15,MATCH("geothermal",'Combined Capital Costs'!$A$3:$A$15,0),MATCH($A33,'Combined Capital Costs'!$B$2:$H$2,0))</f>
        <v>5020996.8961110096</v>
      </c>
      <c r="K33" s="4">
        <f t="shared" si="1"/>
        <v>651000</v>
      </c>
      <c r="L33" s="4">
        <f t="shared" si="1"/>
        <v>651000</v>
      </c>
      <c r="M33" s="4">
        <f>B33*'Coal Cost Multipliers'!$B$33</f>
        <v>2186473.6849334505</v>
      </c>
      <c r="N33" s="4">
        <f>INDEX('Combined Capital Costs'!$B$3:$H$15,MATCH("offshore wind",'Combined Capital Costs'!$A$3:$A$15,0),MATCH($A33,'Combined Capital Costs'!$B$2:$H$2,0))</f>
        <v>2483111.1922585354</v>
      </c>
    </row>
    <row r="34" spans="1:14" x14ac:dyDescent="0.25">
      <c r="A34" s="1">
        <v>2048</v>
      </c>
      <c r="B34" s="4">
        <f t="shared" si="32"/>
        <v>1940583.3287867825</v>
      </c>
      <c r="C34" s="4">
        <f t="shared" si="32"/>
        <v>907981.42883225973</v>
      </c>
      <c r="D34" s="4">
        <f t="shared" si="32"/>
        <v>2081480.6263314693</v>
      </c>
      <c r="E34" s="4">
        <f t="shared" si="32"/>
        <v>1536104.9394279267</v>
      </c>
      <c r="F34" s="4">
        <v>0</v>
      </c>
      <c r="G34" s="4">
        <v>0</v>
      </c>
      <c r="H34" s="4">
        <f t="shared" si="33"/>
        <v>2724654.6957610957</v>
      </c>
      <c r="I34" s="4">
        <f t="shared" si="33"/>
        <v>821617.67390907416</v>
      </c>
      <c r="J34" s="4">
        <f t="shared" si="33"/>
        <v>5020996.8961110096</v>
      </c>
      <c r="K34" s="4">
        <f t="shared" si="1"/>
        <v>651000</v>
      </c>
      <c r="L34" s="4">
        <f t="shared" si="1"/>
        <v>651000</v>
      </c>
      <c r="M34" s="4">
        <f>B34*'Coal Cost Multipliers'!$B$33</f>
        <v>2249024.0682783411</v>
      </c>
      <c r="N34" s="4">
        <f t="shared" ref="N34" si="37">(N$33-N$28)/5+N33</f>
        <v>2481285.3752054041</v>
      </c>
    </row>
    <row r="35" spans="1:14" x14ac:dyDescent="0.25">
      <c r="A35" s="1">
        <v>2049</v>
      </c>
      <c r="B35" s="4">
        <f t="shared" si="32"/>
        <v>1994555.2861528229</v>
      </c>
      <c r="C35" s="4">
        <f t="shared" si="32"/>
        <v>915013.43279689108</v>
      </c>
      <c r="D35" s="4">
        <f t="shared" si="32"/>
        <v>2031767.0676217503</v>
      </c>
      <c r="E35" s="4">
        <f t="shared" si="32"/>
        <v>1535480.5258036961</v>
      </c>
      <c r="F35" s="4">
        <v>0</v>
      </c>
      <c r="G35" s="4">
        <v>0</v>
      </c>
      <c r="H35" s="4">
        <f t="shared" si="33"/>
        <v>2718605.7103373092</v>
      </c>
      <c r="I35" s="4">
        <f t="shared" si="33"/>
        <v>821617.67390907416</v>
      </c>
      <c r="J35" s="4">
        <f t="shared" si="33"/>
        <v>5020996.8961110096</v>
      </c>
      <c r="K35" s="4">
        <f t="shared" si="1"/>
        <v>651000</v>
      </c>
      <c r="L35" s="4">
        <f t="shared" si="1"/>
        <v>651000</v>
      </c>
      <c r="M35" s="4">
        <f>B35*'Coal Cost Multipliers'!$B$33</f>
        <v>2311574.4516232321</v>
      </c>
      <c r="N35" s="4">
        <f t="shared" ref="N35" si="38">(N$33-N$28)/5+N34</f>
        <v>2479459.5581522728</v>
      </c>
    </row>
    <row r="36" spans="1:14" x14ac:dyDescent="0.25">
      <c r="A36" s="1">
        <v>2050</v>
      </c>
      <c r="B36" s="4">
        <f t="shared" si="32"/>
        <v>2048527.2435188633</v>
      </c>
      <c r="C36" s="4">
        <f t="shared" si="32"/>
        <v>922045.43676152243</v>
      </c>
      <c r="D36" s="4">
        <f t="shared" si="32"/>
        <v>1982053.5089120313</v>
      </c>
      <c r="E36" s="4">
        <f t="shared" si="32"/>
        <v>1534856.1121794656</v>
      </c>
      <c r="F36" s="4">
        <v>0</v>
      </c>
      <c r="G36" s="4">
        <v>0</v>
      </c>
      <c r="H36" s="4">
        <f t="shared" si="33"/>
        <v>2712556.7249135226</v>
      </c>
      <c r="I36" s="4">
        <f t="shared" si="33"/>
        <v>821617.67390907416</v>
      </c>
      <c r="J36" s="4">
        <f t="shared" si="33"/>
        <v>5020996.8961110096</v>
      </c>
      <c r="K36" s="4">
        <f t="shared" si="1"/>
        <v>651000</v>
      </c>
      <c r="L36" s="4">
        <f t="shared" si="1"/>
        <v>651000</v>
      </c>
      <c r="M36" s="4">
        <f>B36*'Coal Cost Multipliers'!$B$33</f>
        <v>2374124.8349681227</v>
      </c>
      <c r="N36" s="4">
        <f t="shared" ref="N36" si="39">(N$33-N$28)/5+N35</f>
        <v>2477633.7410991415</v>
      </c>
    </row>
    <row r="37" spans="1:14" x14ac:dyDescent="0.25">
      <c r="B37" s="12"/>
    </row>
    <row r="38" spans="1:14" x14ac:dyDescent="0.25">
      <c r="B38" s="12"/>
    </row>
    <row r="39" spans="1:14" x14ac:dyDescent="0.25">
      <c r="B39" s="12"/>
    </row>
    <row r="40" spans="1:14" x14ac:dyDescent="0.25">
      <c r="B40" s="12"/>
    </row>
    <row r="41" spans="1:14" x14ac:dyDescent="0.25">
      <c r="B41" s="12"/>
    </row>
    <row r="42" spans="1:14" x14ac:dyDescent="0.25">
      <c r="B42" s="12"/>
    </row>
    <row r="43" spans="1:14" x14ac:dyDescent="0.25">
      <c r="B43" s="12"/>
    </row>
    <row r="44" spans="1:14" x14ac:dyDescent="0.25">
      <c r="B44" s="12"/>
    </row>
    <row r="45" spans="1:14" x14ac:dyDescent="0.25">
      <c r="B45" s="12"/>
    </row>
    <row r="46" spans="1:14" x14ac:dyDescent="0.25">
      <c r="B46" s="12"/>
    </row>
    <row r="47" spans="1:14" x14ac:dyDescent="0.25">
      <c r="B47" s="12"/>
    </row>
    <row r="48" spans="1:14" x14ac:dyDescent="0.25">
      <c r="B48" s="12"/>
    </row>
    <row r="49" spans="2:2" x14ac:dyDescent="0.25">
      <c r="B49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0"/>
  <sheetViews>
    <sheetView workbookViewId="0"/>
  </sheetViews>
  <sheetFormatPr defaultRowHeight="15" x14ac:dyDescent="0.25"/>
  <cols>
    <col min="1" max="1" width="12.5703125" customWidth="1"/>
    <col min="2" max="2" width="11" bestFit="1" customWidth="1"/>
    <col min="3" max="3" width="10" bestFit="1" customWidth="1"/>
  </cols>
  <sheetData>
    <row r="1" spans="1:10" x14ac:dyDescent="0.25">
      <c r="A1" s="1" t="s">
        <v>186</v>
      </c>
    </row>
    <row r="2" spans="1:10" x14ac:dyDescent="0.25">
      <c r="C2" s="1">
        <v>2017</v>
      </c>
      <c r="D2" s="1">
        <v>2022</v>
      </c>
      <c r="E2" s="1">
        <v>2027</v>
      </c>
      <c r="F2" s="1">
        <v>2032</v>
      </c>
      <c r="G2" s="1">
        <v>2037</v>
      </c>
      <c r="H2" s="1">
        <v>2042</v>
      </c>
      <c r="I2" s="1">
        <v>2047</v>
      </c>
    </row>
    <row r="3" spans="1:10" x14ac:dyDescent="0.25">
      <c r="A3" s="1" t="s">
        <v>187</v>
      </c>
      <c r="C3">
        <v>16.405000000000001</v>
      </c>
      <c r="D3">
        <v>15.8355</v>
      </c>
      <c r="E3">
        <v>15.29</v>
      </c>
      <c r="F3">
        <v>14.768000000000001</v>
      </c>
      <c r="G3">
        <v>14.266999999999999</v>
      </c>
      <c r="H3">
        <v>13.788</v>
      </c>
      <c r="I3">
        <v>13.327999999999999</v>
      </c>
      <c r="J3" t="s">
        <v>188</v>
      </c>
    </row>
    <row r="4" spans="1:10" x14ac:dyDescent="0.25">
      <c r="C4">
        <f>C3*10^7</f>
        <v>164050000</v>
      </c>
      <c r="D4" s="20">
        <f t="shared" ref="D4:I4" si="0">D3*10^7</f>
        <v>158355000</v>
      </c>
      <c r="E4" s="20">
        <f t="shared" si="0"/>
        <v>152900000</v>
      </c>
      <c r="F4" s="20">
        <f t="shared" si="0"/>
        <v>147680000</v>
      </c>
      <c r="G4" s="20">
        <f t="shared" si="0"/>
        <v>142670000</v>
      </c>
      <c r="H4" s="20">
        <f t="shared" si="0"/>
        <v>137880000</v>
      </c>
      <c r="I4" s="20">
        <f t="shared" si="0"/>
        <v>133280000</v>
      </c>
      <c r="J4" t="s">
        <v>191</v>
      </c>
    </row>
    <row r="5" spans="1:10" x14ac:dyDescent="0.25">
      <c r="C5">
        <f>C4/'Conversion Factors'!$B$6</f>
        <v>2995252.8756618584</v>
      </c>
      <c r="D5" s="20">
        <f>D4/'Conversion Factors'!$B$6</f>
        <v>2891272.5944860321</v>
      </c>
      <c r="E5" s="20">
        <f>E4/'Conversion Factors'!$B$6</f>
        <v>2791674.2742377212</v>
      </c>
      <c r="F5" s="20">
        <f>F4/'Conversion Factors'!$B$6</f>
        <v>2696366.6240642685</v>
      </c>
      <c r="G5" s="20">
        <f>G4/'Conversion Factors'!$B$6</f>
        <v>2604893.1897023916</v>
      </c>
      <c r="H5" s="20">
        <f>H4/'Conversion Factors'!$B$6</f>
        <v>2517436.5528574036</v>
      </c>
      <c r="I5" s="20">
        <f>I4/'Conversion Factors'!$B$6</f>
        <v>2433448.9684133651</v>
      </c>
      <c r="J5" t="s">
        <v>190</v>
      </c>
    </row>
    <row r="7" spans="1:10" x14ac:dyDescent="0.25">
      <c r="A7" s="1" t="s">
        <v>189</v>
      </c>
    </row>
    <row r="8" spans="1:10" x14ac:dyDescent="0.25">
      <c r="A8" s="20">
        <v>0.06</v>
      </c>
      <c r="B8" t="s">
        <v>203</v>
      </c>
    </row>
    <row r="9" spans="1:10" s="20" customFormat="1" x14ac:dyDescent="0.25">
      <c r="A9" s="81" t="s">
        <v>194</v>
      </c>
    </row>
    <row r="10" spans="1:10" x14ac:dyDescent="0.25">
      <c r="A10" s="1" t="s">
        <v>193</v>
      </c>
      <c r="B10" s="1" t="s">
        <v>192</v>
      </c>
    </row>
    <row r="11" spans="1:10" x14ac:dyDescent="0.25">
      <c r="A11" s="20">
        <v>2017</v>
      </c>
      <c r="B11">
        <f>C5</f>
        <v>2995252.8756618584</v>
      </c>
    </row>
    <row r="12" spans="1:10" x14ac:dyDescent="0.25">
      <c r="A12">
        <f>A11+1</f>
        <v>2018</v>
      </c>
      <c r="B12">
        <f>FORECAST(A12,$C$5:$D$5,$C$2:$D$2)</f>
        <v>2974456.819426693</v>
      </c>
    </row>
    <row r="13" spans="1:10" x14ac:dyDescent="0.25">
      <c r="A13" s="20">
        <f t="shared" ref="A13:A44" si="1">A12+1</f>
        <v>2019</v>
      </c>
      <c r="B13" s="20">
        <f t="shared" ref="B13:B15" si="2">FORECAST(A13,$C$5:$D$5,$C$2:$D$2)</f>
        <v>2953660.7631915286</v>
      </c>
    </row>
    <row r="14" spans="1:10" x14ac:dyDescent="0.25">
      <c r="A14" s="20">
        <f t="shared" si="1"/>
        <v>2020</v>
      </c>
      <c r="B14" s="20">
        <f t="shared" si="2"/>
        <v>2932864.7069563642</v>
      </c>
    </row>
    <row r="15" spans="1:10" x14ac:dyDescent="0.25">
      <c r="A15" s="20">
        <f t="shared" si="1"/>
        <v>2021</v>
      </c>
      <c r="B15" s="20">
        <f t="shared" si="2"/>
        <v>2912068.6507211998</v>
      </c>
    </row>
    <row r="16" spans="1:10" x14ac:dyDescent="0.25">
      <c r="A16" s="20">
        <f t="shared" si="1"/>
        <v>2022</v>
      </c>
      <c r="B16">
        <f>D5</f>
        <v>2891272.5944860321</v>
      </c>
    </row>
    <row r="17" spans="1:2" x14ac:dyDescent="0.25">
      <c r="A17" s="20">
        <f t="shared" si="1"/>
        <v>2023</v>
      </c>
      <c r="B17">
        <f>FORECAST(A17,$D$5:$E$5,$D$2:$E$2)</f>
        <v>2871352.9304363653</v>
      </c>
    </row>
    <row r="18" spans="1:2" x14ac:dyDescent="0.25">
      <c r="A18" s="20">
        <f t="shared" si="1"/>
        <v>2024</v>
      </c>
      <c r="B18" s="20">
        <f t="shared" ref="B18:B20" si="3">FORECAST(A18,$D$5:$E$5,$D$2:$E$2)</f>
        <v>2851433.2663867027</v>
      </c>
    </row>
    <row r="19" spans="1:2" x14ac:dyDescent="0.25">
      <c r="A19" s="20">
        <f t="shared" si="1"/>
        <v>2025</v>
      </c>
      <c r="B19" s="20">
        <f t="shared" si="3"/>
        <v>2831513.6023370475</v>
      </c>
    </row>
    <row r="20" spans="1:2" x14ac:dyDescent="0.25">
      <c r="A20" s="20">
        <f t="shared" si="1"/>
        <v>2026</v>
      </c>
      <c r="B20" s="20">
        <f t="shared" si="3"/>
        <v>2811593.9382873848</v>
      </c>
    </row>
    <row r="21" spans="1:2" x14ac:dyDescent="0.25">
      <c r="A21" s="20">
        <f t="shared" si="1"/>
        <v>2027</v>
      </c>
      <c r="B21">
        <f>E5</f>
        <v>2791674.2742377212</v>
      </c>
    </row>
    <row r="22" spans="1:2" x14ac:dyDescent="0.25">
      <c r="A22" s="20">
        <f t="shared" si="1"/>
        <v>2028</v>
      </c>
      <c r="B22">
        <f>FORECAST(A22,$E$5:$F$5,$E$2:$F$2)</f>
        <v>2772612.7442030236</v>
      </c>
    </row>
    <row r="23" spans="1:2" x14ac:dyDescent="0.25">
      <c r="A23" s="20">
        <f t="shared" si="1"/>
        <v>2029</v>
      </c>
      <c r="B23" s="20">
        <f t="shared" ref="B23:B25" si="4">FORECAST(A23,$E$5:$F$5,$E$2:$F$2)</f>
        <v>2753551.21416834</v>
      </c>
    </row>
    <row r="24" spans="1:2" x14ac:dyDescent="0.25">
      <c r="A24" s="20">
        <f t="shared" si="1"/>
        <v>2030</v>
      </c>
      <c r="B24" s="20">
        <f t="shared" si="4"/>
        <v>2734489.6841336489</v>
      </c>
    </row>
    <row r="25" spans="1:2" x14ac:dyDescent="0.25">
      <c r="A25" s="20">
        <f t="shared" si="1"/>
        <v>2031</v>
      </c>
      <c r="B25" s="20">
        <f t="shared" si="4"/>
        <v>2715428.1540989578</v>
      </c>
    </row>
    <row r="26" spans="1:2" x14ac:dyDescent="0.25">
      <c r="A26" s="20">
        <f t="shared" si="1"/>
        <v>2032</v>
      </c>
      <c r="B26">
        <f>F5</f>
        <v>2696366.6240642685</v>
      </c>
    </row>
    <row r="27" spans="1:2" x14ac:dyDescent="0.25">
      <c r="A27" s="20">
        <f t="shared" si="1"/>
        <v>2033</v>
      </c>
      <c r="B27">
        <f>FORECAST(A27,$F$5:$G$5,$F$2:$G$2)</f>
        <v>2678071.9371918961</v>
      </c>
    </row>
    <row r="28" spans="1:2" x14ac:dyDescent="0.25">
      <c r="A28" s="20">
        <f t="shared" si="1"/>
        <v>2034</v>
      </c>
      <c r="B28" s="20">
        <f t="shared" ref="B28:B30" si="5">FORECAST(A28,$F$5:$G$5,$F$2:$G$2)</f>
        <v>2659777.2503195181</v>
      </c>
    </row>
    <row r="29" spans="1:2" x14ac:dyDescent="0.25">
      <c r="A29" s="20">
        <f t="shared" si="1"/>
        <v>2035</v>
      </c>
      <c r="B29" s="20">
        <f t="shared" si="5"/>
        <v>2641482.5634471402</v>
      </c>
    </row>
    <row r="30" spans="1:2" x14ac:dyDescent="0.25">
      <c r="A30" s="20">
        <f t="shared" si="1"/>
        <v>2036</v>
      </c>
      <c r="B30" s="20">
        <f t="shared" si="5"/>
        <v>2623187.8765747696</v>
      </c>
    </row>
    <row r="31" spans="1:2" x14ac:dyDescent="0.25">
      <c r="A31" s="20">
        <f t="shared" si="1"/>
        <v>2037</v>
      </c>
      <c r="B31">
        <f>G5</f>
        <v>2604893.1897023916</v>
      </c>
    </row>
    <row r="32" spans="1:2" x14ac:dyDescent="0.25">
      <c r="A32" s="20">
        <f t="shared" si="1"/>
        <v>2038</v>
      </c>
      <c r="B32">
        <f>FORECAST(A32,$G$5:$H$5,$G$2:$H$2)</f>
        <v>2587401.8623333946</v>
      </c>
    </row>
    <row r="33" spans="1:2" x14ac:dyDescent="0.25">
      <c r="A33" s="20">
        <f t="shared" si="1"/>
        <v>2039</v>
      </c>
      <c r="B33" s="20">
        <f t="shared" ref="B33:B35" si="6">FORECAST(A33,$G$5:$H$5,$G$2:$H$2)</f>
        <v>2569910.5349643975</v>
      </c>
    </row>
    <row r="34" spans="1:2" x14ac:dyDescent="0.25">
      <c r="A34" s="20">
        <f t="shared" si="1"/>
        <v>2040</v>
      </c>
      <c r="B34" s="20">
        <f t="shared" si="6"/>
        <v>2552419.2075954005</v>
      </c>
    </row>
    <row r="35" spans="1:2" x14ac:dyDescent="0.25">
      <c r="A35" s="20">
        <f t="shared" si="1"/>
        <v>2041</v>
      </c>
      <c r="B35" s="20">
        <f t="shared" si="6"/>
        <v>2534927.8802264035</v>
      </c>
    </row>
    <row r="36" spans="1:2" x14ac:dyDescent="0.25">
      <c r="A36" s="20">
        <f t="shared" si="1"/>
        <v>2042</v>
      </c>
      <c r="B36">
        <f>H5</f>
        <v>2517436.5528574036</v>
      </c>
    </row>
    <row r="37" spans="1:2" x14ac:dyDescent="0.25">
      <c r="A37" s="20">
        <f t="shared" si="1"/>
        <v>2043</v>
      </c>
      <c r="B37">
        <f>FORECAST(A37,$H$5:$I$5,$H$2:$I$2)</f>
        <v>2500639.0359685943</v>
      </c>
    </row>
    <row r="38" spans="1:2" x14ac:dyDescent="0.25">
      <c r="A38" s="20">
        <f t="shared" si="1"/>
        <v>2044</v>
      </c>
      <c r="B38" s="20">
        <f t="shared" ref="B38:B40" si="7">FORECAST(A38,$H$5:$I$5,$H$2:$I$2)</f>
        <v>2483841.5190797895</v>
      </c>
    </row>
    <row r="39" spans="1:2" x14ac:dyDescent="0.25">
      <c r="A39" s="20">
        <f t="shared" si="1"/>
        <v>2045</v>
      </c>
      <c r="B39" s="20">
        <f t="shared" si="7"/>
        <v>2467044.0021909773</v>
      </c>
    </row>
    <row r="40" spans="1:2" x14ac:dyDescent="0.25">
      <c r="A40" s="20">
        <f t="shared" si="1"/>
        <v>2046</v>
      </c>
      <c r="B40" s="20">
        <f t="shared" si="7"/>
        <v>2450246.4853021726</v>
      </c>
    </row>
    <row r="41" spans="1:2" x14ac:dyDescent="0.25">
      <c r="A41" s="20">
        <f t="shared" si="1"/>
        <v>2047</v>
      </c>
      <c r="B41">
        <f>I5</f>
        <v>2433448.9684133651</v>
      </c>
    </row>
    <row r="42" spans="1:2" x14ac:dyDescent="0.25">
      <c r="A42" s="20">
        <f t="shared" si="1"/>
        <v>2048</v>
      </c>
      <c r="B42">
        <f>TREND(B36:B41,A36:A41,A42)</f>
        <v>2416651.4515245557</v>
      </c>
    </row>
    <row r="43" spans="1:2" x14ac:dyDescent="0.25">
      <c r="A43" s="20">
        <f t="shared" si="1"/>
        <v>2049</v>
      </c>
      <c r="B43" s="20">
        <f t="shared" ref="B43:B44" si="8">TREND(B37:B42,A37:A42,A43)</f>
        <v>2399853.9346357509</v>
      </c>
    </row>
    <row r="44" spans="1:2" x14ac:dyDescent="0.25">
      <c r="A44" s="20">
        <f t="shared" si="1"/>
        <v>2050</v>
      </c>
      <c r="B44" s="20">
        <f t="shared" si="8"/>
        <v>2383056.4177469388</v>
      </c>
    </row>
    <row r="45" spans="1:2" x14ac:dyDescent="0.25">
      <c r="A45" s="20"/>
    </row>
    <row r="46" spans="1:2" x14ac:dyDescent="0.25">
      <c r="A46" s="20"/>
    </row>
    <row r="47" spans="1:2" x14ac:dyDescent="0.25">
      <c r="A47" s="20"/>
    </row>
    <row r="48" spans="1:2" x14ac:dyDescent="0.25">
      <c r="A48" s="20"/>
    </row>
    <row r="49" spans="1:1" x14ac:dyDescent="0.25">
      <c r="A49" s="20"/>
    </row>
    <row r="50" spans="1:1" x14ac:dyDescent="0.25">
      <c r="A50" s="20"/>
    </row>
    <row r="51" spans="1:1" x14ac:dyDescent="0.25">
      <c r="A51" s="20"/>
    </row>
    <row r="52" spans="1:1" x14ac:dyDescent="0.25">
      <c r="A52" s="20"/>
    </row>
    <row r="53" spans="1:1" x14ac:dyDescent="0.25">
      <c r="A53" s="20"/>
    </row>
    <row r="54" spans="1:1" x14ac:dyDescent="0.25">
      <c r="A54" s="20"/>
    </row>
    <row r="55" spans="1:1" x14ac:dyDescent="0.25">
      <c r="A55" s="20"/>
    </row>
    <row r="56" spans="1:1" x14ac:dyDescent="0.25">
      <c r="A56" s="20"/>
    </row>
    <row r="57" spans="1:1" x14ac:dyDescent="0.25">
      <c r="A57" s="20"/>
    </row>
    <row r="58" spans="1:1" x14ac:dyDescent="0.25">
      <c r="A58" s="20"/>
    </row>
    <row r="59" spans="1:1" x14ac:dyDescent="0.25">
      <c r="A59" s="20"/>
    </row>
    <row r="60" spans="1:1" x14ac:dyDescent="0.25">
      <c r="A60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F01A-61D6-4A45-8D50-E6B76E619017}">
  <dimension ref="A1:BC81"/>
  <sheetViews>
    <sheetView topLeftCell="A16" zoomScale="95" zoomScaleNormal="95" workbookViewId="0">
      <selection activeCell="B28" sqref="B28"/>
    </sheetView>
  </sheetViews>
  <sheetFormatPr defaultRowHeight="15" x14ac:dyDescent="0.25"/>
  <cols>
    <col min="1" max="1" width="31.85546875" style="20" customWidth="1"/>
    <col min="2" max="2" width="27.7109375" style="20" customWidth="1"/>
    <col min="3" max="6" width="9.140625" style="20"/>
    <col min="7" max="7" width="20" style="20" customWidth="1"/>
    <col min="8" max="16384" width="9.140625" style="20"/>
  </cols>
  <sheetData>
    <row r="1" spans="1:40" x14ac:dyDescent="0.25">
      <c r="A1" s="116" t="s">
        <v>237</v>
      </c>
      <c r="B1" s="117"/>
      <c r="C1" s="117"/>
    </row>
    <row r="3" spans="1:40" x14ac:dyDescent="0.25">
      <c r="A3" s="51" t="s">
        <v>276</v>
      </c>
      <c r="B3" s="51" t="s">
        <v>277</v>
      </c>
      <c r="C3" s="118" t="s">
        <v>278</v>
      </c>
      <c r="H3" s="20">
        <v>2019</v>
      </c>
      <c r="I3" s="20">
        <v>2020</v>
      </c>
      <c r="J3" s="20">
        <v>2021</v>
      </c>
      <c r="K3" s="20">
        <v>2022</v>
      </c>
      <c r="L3" s="20">
        <v>2023</v>
      </c>
      <c r="M3" s="20">
        <v>2024</v>
      </c>
      <c r="N3" s="20">
        <v>2025</v>
      </c>
      <c r="O3" s="20">
        <v>2026</v>
      </c>
      <c r="P3" s="20">
        <v>2027</v>
      </c>
      <c r="Q3" s="20">
        <v>2028</v>
      </c>
      <c r="R3" s="20">
        <v>2029</v>
      </c>
      <c r="S3" s="20">
        <v>2030</v>
      </c>
      <c r="T3" s="20">
        <v>2031</v>
      </c>
      <c r="U3" s="20">
        <v>2032</v>
      </c>
      <c r="V3" s="20">
        <v>2033</v>
      </c>
      <c r="W3" s="20">
        <v>2034</v>
      </c>
      <c r="X3" s="20">
        <v>2035</v>
      </c>
      <c r="Y3" s="20">
        <v>2036</v>
      </c>
      <c r="Z3" s="20">
        <v>2037</v>
      </c>
      <c r="AA3" s="20">
        <v>2038</v>
      </c>
      <c r="AB3" s="20">
        <v>2039</v>
      </c>
      <c r="AC3" s="20">
        <v>2040</v>
      </c>
      <c r="AD3" s="20">
        <v>2041</v>
      </c>
      <c r="AE3" s="20">
        <v>2042</v>
      </c>
      <c r="AF3" s="20">
        <v>2043</v>
      </c>
      <c r="AG3" s="20">
        <v>2044</v>
      </c>
      <c r="AH3" s="20">
        <v>2045</v>
      </c>
      <c r="AI3" s="20">
        <v>2046</v>
      </c>
      <c r="AJ3" s="20">
        <v>2047</v>
      </c>
      <c r="AK3" s="20">
        <v>2048</v>
      </c>
      <c r="AL3" s="20">
        <v>2049</v>
      </c>
      <c r="AM3" s="20">
        <v>2050</v>
      </c>
    </row>
    <row r="4" spans="1:40" x14ac:dyDescent="0.25">
      <c r="A4" s="20" t="s">
        <v>279</v>
      </c>
      <c r="B4" s="20" t="s">
        <v>280</v>
      </c>
      <c r="C4" s="49">
        <v>0.15</v>
      </c>
      <c r="G4" s="119" t="s">
        <v>281</v>
      </c>
      <c r="H4" s="120">
        <v>1564.9579649390171</v>
      </c>
      <c r="I4" s="120">
        <v>1538.2120881126405</v>
      </c>
      <c r="J4" s="120">
        <v>1510.8286883939854</v>
      </c>
      <c r="K4" s="120">
        <v>1482.8077657830506</v>
      </c>
      <c r="L4" s="120">
        <v>1454.1493202798374</v>
      </c>
      <c r="M4" s="120">
        <v>1424.8533518843453</v>
      </c>
      <c r="N4" s="120">
        <v>1394.9198605965739</v>
      </c>
      <c r="O4" s="120">
        <v>1364.3488464165241</v>
      </c>
      <c r="P4" s="120">
        <v>1333.1403093441952</v>
      </c>
      <c r="Q4" s="120">
        <v>1301.2942493795872</v>
      </c>
      <c r="R4" s="120">
        <v>1268.8106665227003</v>
      </c>
      <c r="S4" s="120">
        <v>1235.6895607735348</v>
      </c>
      <c r="T4" s="120">
        <v>1223.4204763739842</v>
      </c>
      <c r="U4" s="120">
        <v>1211.1142961881496</v>
      </c>
      <c r="V4" s="120">
        <v>1198.771020216031</v>
      </c>
      <c r="W4" s="120">
        <v>1186.3906484576282</v>
      </c>
      <c r="X4" s="120">
        <v>1173.9731809129419</v>
      </c>
      <c r="Y4" s="120">
        <v>1161.5186175819713</v>
      </c>
      <c r="Z4" s="120">
        <v>1149.0269584647162</v>
      </c>
      <c r="AA4" s="120">
        <v>1136.4982035611781</v>
      </c>
      <c r="AB4" s="120">
        <v>1123.9323528713553</v>
      </c>
      <c r="AC4" s="120">
        <v>1111.3294063952487</v>
      </c>
      <c r="AD4" s="120">
        <v>1098.6893641328584</v>
      </c>
      <c r="AE4" s="120">
        <v>1086.012226084184</v>
      </c>
      <c r="AF4" s="120">
        <v>1073.2979922492254</v>
      </c>
      <c r="AG4" s="120">
        <v>1060.5466626279831</v>
      </c>
      <c r="AH4" s="120">
        <v>1047.7582372204565</v>
      </c>
      <c r="AI4" s="120">
        <v>1034.9327160266462</v>
      </c>
      <c r="AJ4" s="120">
        <v>1022.0700990465522</v>
      </c>
      <c r="AK4" s="120">
        <v>1009.1703862801738</v>
      </c>
      <c r="AL4" s="120">
        <v>996.23357772751115</v>
      </c>
      <c r="AM4" s="120">
        <v>983.25967338856481</v>
      </c>
      <c r="AN4" s="121"/>
    </row>
    <row r="5" spans="1:40" x14ac:dyDescent="0.25">
      <c r="A5" s="20" t="s">
        <v>279</v>
      </c>
      <c r="B5" s="20" t="s">
        <v>282</v>
      </c>
      <c r="C5" s="49">
        <v>0.37</v>
      </c>
      <c r="G5" s="122" t="s">
        <v>283</v>
      </c>
      <c r="H5" s="123">
        <v>1541.9739744892429</v>
      </c>
      <c r="I5" s="123">
        <v>1490.8714410677835</v>
      </c>
      <c r="J5" s="123">
        <v>1437.7587186087369</v>
      </c>
      <c r="K5" s="123">
        <v>1382.6358071121026</v>
      </c>
      <c r="L5" s="123">
        <v>1325.5027065778818</v>
      </c>
      <c r="M5" s="123">
        <v>1266.3594170060728</v>
      </c>
      <c r="N5" s="123">
        <v>1205.2059383966773</v>
      </c>
      <c r="O5" s="123">
        <v>1142.0422707496946</v>
      </c>
      <c r="P5" s="123">
        <v>1076.8684140651246</v>
      </c>
      <c r="Q5" s="123">
        <v>1009.6843683429673</v>
      </c>
      <c r="R5" s="123">
        <v>940.49013358322293</v>
      </c>
      <c r="S5" s="123">
        <v>869.28570978589119</v>
      </c>
      <c r="T5" s="123">
        <v>858.7982511387255</v>
      </c>
      <c r="U5" s="123">
        <v>848.22786816397866</v>
      </c>
      <c r="V5" s="123">
        <v>837.57456086165098</v>
      </c>
      <c r="W5" s="123">
        <v>826.83832923174225</v>
      </c>
      <c r="X5" s="123">
        <v>816.01917327425258</v>
      </c>
      <c r="Y5" s="123">
        <v>805.11709298918186</v>
      </c>
      <c r="Z5" s="123">
        <v>794.13208837653008</v>
      </c>
      <c r="AA5" s="123">
        <v>783.06415943629736</v>
      </c>
      <c r="AB5" s="123">
        <v>771.91330616848359</v>
      </c>
      <c r="AC5" s="123">
        <v>760.67952857308887</v>
      </c>
      <c r="AD5" s="123">
        <v>749.36282665011288</v>
      </c>
      <c r="AE5" s="123">
        <v>737.96320039955617</v>
      </c>
      <c r="AF5" s="123">
        <v>726.48064982141852</v>
      </c>
      <c r="AG5" s="123">
        <v>714.91517491569982</v>
      </c>
      <c r="AH5" s="123">
        <v>703.26677568239973</v>
      </c>
      <c r="AI5" s="123">
        <v>691.53545212151914</v>
      </c>
      <c r="AJ5" s="123">
        <v>679.72120423305705</v>
      </c>
      <c r="AK5" s="123">
        <v>667.82403201701425</v>
      </c>
      <c r="AL5" s="123">
        <v>655.84393547339062</v>
      </c>
      <c r="AM5" s="123">
        <v>643.78091460218548</v>
      </c>
    </row>
    <row r="6" spans="1:40" x14ac:dyDescent="0.25">
      <c r="A6" s="20" t="s">
        <v>279</v>
      </c>
      <c r="B6" s="20" t="s">
        <v>284</v>
      </c>
      <c r="C6" s="49">
        <v>0.16</v>
      </c>
    </row>
    <row r="7" spans="1:40" x14ac:dyDescent="0.25">
      <c r="A7" s="20" t="s">
        <v>285</v>
      </c>
      <c r="B7" s="20" t="s">
        <v>286</v>
      </c>
      <c r="C7" s="49">
        <v>0.04</v>
      </c>
      <c r="G7" s="20" t="s">
        <v>287</v>
      </c>
      <c r="H7" s="20">
        <v>1750.7580673054586</v>
      </c>
      <c r="I7" s="20">
        <v>1714.8418206232893</v>
      </c>
      <c r="J7" s="20">
        <v>1678.5952959178042</v>
      </c>
      <c r="K7" s="20">
        <v>1642.0184931890035</v>
      </c>
      <c r="L7" s="20">
        <v>1605.1114124368844</v>
      </c>
      <c r="M7" s="20">
        <v>1567.8740536614496</v>
      </c>
      <c r="N7" s="20">
        <v>1530.3064168626979</v>
      </c>
      <c r="O7" s="20">
        <v>1492.4085020406299</v>
      </c>
      <c r="P7" s="20">
        <v>1454.1803091952443</v>
      </c>
      <c r="Q7" s="20">
        <v>1415.621838326543</v>
      </c>
      <c r="R7" s="20">
        <v>1376.7330894345243</v>
      </c>
      <c r="S7" s="20">
        <v>1337.5140625191891</v>
      </c>
      <c r="T7" s="20">
        <v>1297.9647575805379</v>
      </c>
      <c r="U7" s="20">
        <v>1284.5735276032503</v>
      </c>
      <c r="V7" s="20">
        <v>1271.1640607466834</v>
      </c>
      <c r="W7" s="20">
        <v>1257.7363570108389</v>
      </c>
      <c r="X7" s="20">
        <v>1244.2904163957137</v>
      </c>
      <c r="Y7" s="20">
        <v>1230.8262389013109</v>
      </c>
      <c r="Z7" s="20">
        <v>1217.3438245276282</v>
      </c>
      <c r="AA7" s="20">
        <v>1203.8431732746669</v>
      </c>
      <c r="AB7" s="20">
        <v>1190.3242851424272</v>
      </c>
      <c r="AC7" s="20">
        <v>1176.7871601309078</v>
      </c>
      <c r="AD7" s="20">
        <v>1163.2317982401094</v>
      </c>
      <c r="AE7" s="20">
        <v>1149.6581994700318</v>
      </c>
      <c r="AF7" s="20">
        <v>1136.0663638206759</v>
      </c>
      <c r="AG7" s="20">
        <v>1122.456291292041</v>
      </c>
      <c r="AH7" s="20">
        <v>1108.827981884127</v>
      </c>
      <c r="AI7" s="20">
        <v>1095.1814355969341</v>
      </c>
      <c r="AJ7" s="20">
        <v>1081.5166524304614</v>
      </c>
      <c r="AK7" s="20">
        <v>1067.8336323847107</v>
      </c>
      <c r="AL7" s="20">
        <v>1054.132375459681</v>
      </c>
      <c r="AM7" s="20">
        <v>1040.4128816553716</v>
      </c>
      <c r="AN7" s="20">
        <v>1026.6751509717835</v>
      </c>
    </row>
    <row r="8" spans="1:40" x14ac:dyDescent="0.25">
      <c r="A8" s="20" t="s">
        <v>285</v>
      </c>
      <c r="B8" s="20" t="s">
        <v>288</v>
      </c>
      <c r="C8" s="49">
        <v>0.03</v>
      </c>
      <c r="G8" s="20" t="s">
        <v>289</v>
      </c>
      <c r="H8" s="20">
        <v>1613.6088727292877</v>
      </c>
      <c r="I8" s="20">
        <v>1584.179506448455</v>
      </c>
      <c r="J8" s="20">
        <v>1554.2389467286343</v>
      </c>
      <c r="K8" s="20">
        <v>1523.787193569827</v>
      </c>
      <c r="L8" s="20">
        <v>1492.8242469720287</v>
      </c>
      <c r="M8" s="20">
        <v>1461.3501069352446</v>
      </c>
      <c r="N8" s="20">
        <v>1429.3647734594724</v>
      </c>
      <c r="O8" s="20">
        <v>1396.8682465447114</v>
      </c>
      <c r="P8" s="20">
        <v>1363.860526190962</v>
      </c>
      <c r="Q8" s="20">
        <v>1330.3416123982249</v>
      </c>
      <c r="R8" s="20">
        <v>1296.3115051665002</v>
      </c>
      <c r="S8" s="20">
        <v>1261.7702044957864</v>
      </c>
      <c r="T8" s="20">
        <v>1226.7177103860852</v>
      </c>
      <c r="U8" s="20">
        <v>1214.2657915025954</v>
      </c>
      <c r="V8" s="20">
        <v>1201.787328767012</v>
      </c>
      <c r="W8" s="20">
        <v>1189.2823221793358</v>
      </c>
      <c r="X8" s="20">
        <v>1176.7507717395667</v>
      </c>
      <c r="Y8" s="20">
        <v>1164.1926774477051</v>
      </c>
      <c r="Z8" s="20">
        <v>1151.6080393037496</v>
      </c>
      <c r="AA8" s="20">
        <v>1138.9968573077015</v>
      </c>
      <c r="AB8" s="20">
        <v>1126.3591314595603</v>
      </c>
      <c r="AC8" s="20">
        <v>1113.6948617593262</v>
      </c>
      <c r="AD8" s="20">
        <v>1101.0040482069987</v>
      </c>
      <c r="AE8" s="20">
        <v>1088.2866908025787</v>
      </c>
      <c r="AF8" s="20">
        <v>1075.5427895460655</v>
      </c>
      <c r="AG8" s="20">
        <v>1062.7723444374587</v>
      </c>
      <c r="AH8" s="20">
        <v>1049.9753554767599</v>
      </c>
      <c r="AI8" s="20">
        <v>1037.1518226639676</v>
      </c>
      <c r="AJ8" s="20">
        <v>1024.301745999082</v>
      </c>
      <c r="AK8" s="20">
        <v>1011.4251254821039</v>
      </c>
      <c r="AL8" s="20">
        <v>998.52196111303226</v>
      </c>
      <c r="AM8" s="20">
        <v>985.5922528918677</v>
      </c>
      <c r="AN8" s="20">
        <v>972.63600081861068</v>
      </c>
    </row>
    <row r="9" spans="1:40" x14ac:dyDescent="0.25">
      <c r="A9" s="20" t="s">
        <v>285</v>
      </c>
      <c r="B9" s="20" t="s">
        <v>290</v>
      </c>
      <c r="C9" s="49">
        <v>0.03</v>
      </c>
      <c r="G9" s="20" t="s">
        <v>291</v>
      </c>
      <c r="H9" s="20">
        <v>1569.557675780635</v>
      </c>
      <c r="I9" s="20">
        <v>1544.5625390187488</v>
      </c>
      <c r="J9" s="20">
        <v>1518.9174276469855</v>
      </c>
      <c r="K9" s="20">
        <v>1492.6223416653449</v>
      </c>
      <c r="L9" s="20">
        <v>1465.6772810738266</v>
      </c>
      <c r="M9" s="20">
        <v>1438.0822458724306</v>
      </c>
      <c r="N9" s="20">
        <v>1409.8372360611568</v>
      </c>
      <c r="O9" s="20">
        <v>1380.9422516400057</v>
      </c>
      <c r="P9" s="20">
        <v>1351.3972926089766</v>
      </c>
      <c r="Q9" s="20">
        <v>1321.2023589680705</v>
      </c>
      <c r="R9" s="20">
        <v>1290.3574507172864</v>
      </c>
      <c r="S9" s="20">
        <v>1258.8625678566245</v>
      </c>
      <c r="T9" s="20">
        <v>1226.7177103860852</v>
      </c>
      <c r="U9" s="20">
        <v>1214.3695204051016</v>
      </c>
      <c r="V9" s="20">
        <v>1201.985279365899</v>
      </c>
      <c r="W9" s="20">
        <v>1189.5649872684755</v>
      </c>
      <c r="X9" s="20">
        <v>1177.1086441128323</v>
      </c>
      <c r="Y9" s="20">
        <v>1164.6162498989688</v>
      </c>
      <c r="Z9" s="20">
        <v>1152.0878046268863</v>
      </c>
      <c r="AA9" s="20">
        <v>1139.5233082965831</v>
      </c>
      <c r="AB9" s="20">
        <v>1126.9227609080601</v>
      </c>
      <c r="AC9" s="20">
        <v>1114.2861624613174</v>
      </c>
      <c r="AD9" s="20">
        <v>1101.6135129563552</v>
      </c>
      <c r="AE9" s="20">
        <v>1088.9048123931723</v>
      </c>
      <c r="AF9" s="20">
        <v>1076.1600607717696</v>
      </c>
      <c r="AG9" s="20">
        <v>1063.3792580921477</v>
      </c>
      <c r="AH9" s="20">
        <v>1050.5624043543055</v>
      </c>
      <c r="AI9" s="20">
        <v>1037.7094995582438</v>
      </c>
      <c r="AJ9" s="20">
        <v>1024.8205437039614</v>
      </c>
      <c r="AK9" s="20">
        <v>1011.8955367914598</v>
      </c>
      <c r="AL9" s="20">
        <v>998.9344788207377</v>
      </c>
      <c r="AM9" s="20">
        <v>985.93736979179607</v>
      </c>
      <c r="AN9" s="20">
        <v>972.90420970463435</v>
      </c>
    </row>
    <row r="10" spans="1:40" x14ac:dyDescent="0.25">
      <c r="A10" s="20" t="s">
        <v>285</v>
      </c>
      <c r="B10" s="20" t="s">
        <v>292</v>
      </c>
      <c r="C10" s="49">
        <v>0.03</v>
      </c>
      <c r="G10" s="20" t="s">
        <v>293</v>
      </c>
      <c r="H10" s="20">
        <v>1555.8836815857014</v>
      </c>
      <c r="I10" s="20">
        <v>1532.52612541861</v>
      </c>
      <c r="J10" s="20">
        <v>1508.4280344455412</v>
      </c>
      <c r="K10" s="20">
        <v>1483.5894086664955</v>
      </c>
      <c r="L10" s="20">
        <v>1458.0102480814714</v>
      </c>
      <c r="M10" s="20">
        <v>1431.6905526904698</v>
      </c>
      <c r="N10" s="20">
        <v>1404.6303224934909</v>
      </c>
      <c r="O10" s="20">
        <v>1376.8295574905333</v>
      </c>
      <c r="P10" s="20">
        <v>1348.2882576815996</v>
      </c>
      <c r="Q10" s="20">
        <v>1319.0064230666874</v>
      </c>
      <c r="R10" s="20">
        <v>1288.9840536457971</v>
      </c>
      <c r="S10" s="20">
        <v>1258.2211494189301</v>
      </c>
      <c r="T10" s="20">
        <v>1226.7177103860852</v>
      </c>
      <c r="U10" s="20">
        <v>1214.8174827715311</v>
      </c>
      <c r="V10" s="20">
        <v>1202.8722271857096</v>
      </c>
      <c r="W10" s="20">
        <v>1190.8819436286199</v>
      </c>
      <c r="X10" s="20">
        <v>1178.8466321002622</v>
      </c>
      <c r="Y10" s="20">
        <v>1166.7662926006371</v>
      </c>
      <c r="Z10" s="20">
        <v>1154.6409251297437</v>
      </c>
      <c r="AA10" s="20">
        <v>1142.4705296875816</v>
      </c>
      <c r="AB10" s="20">
        <v>1130.2551062741527</v>
      </c>
      <c r="AC10" s="20">
        <v>1117.9946548894548</v>
      </c>
      <c r="AD10" s="20">
        <v>1105.6891755334898</v>
      </c>
      <c r="AE10" s="20">
        <v>1093.3386682062571</v>
      </c>
      <c r="AF10" s="20">
        <v>1080.9431329077563</v>
      </c>
      <c r="AG10" s="20">
        <v>1068.5025696379867</v>
      </c>
      <c r="AH10" s="20">
        <v>1056.01697839695</v>
      </c>
      <c r="AI10" s="20">
        <v>1043.4863591846449</v>
      </c>
      <c r="AJ10" s="20">
        <v>1030.9107120010724</v>
      </c>
      <c r="AK10" s="20">
        <v>1018.2900368462319</v>
      </c>
      <c r="AL10" s="20">
        <v>1005.6243337201233</v>
      </c>
      <c r="AM10" s="20">
        <v>992.91360262274623</v>
      </c>
      <c r="AN10" s="20">
        <v>980.1578435541021</v>
      </c>
    </row>
    <row r="11" spans="1:40" x14ac:dyDescent="0.25">
      <c r="A11" s="20" t="s">
        <v>285</v>
      </c>
      <c r="B11" s="20" t="s">
        <v>294</v>
      </c>
      <c r="C11" s="49">
        <v>0.08</v>
      </c>
    </row>
    <row r="12" spans="1:40" x14ac:dyDescent="0.25">
      <c r="A12" s="20" t="s">
        <v>285</v>
      </c>
      <c r="B12" s="20" t="s">
        <v>295</v>
      </c>
      <c r="C12" s="49">
        <v>0.02</v>
      </c>
      <c r="G12" s="20" t="s">
        <v>296</v>
      </c>
      <c r="H12" s="20">
        <v>1750.7580673054586</v>
      </c>
      <c r="I12" s="20">
        <v>1690.5034948638927</v>
      </c>
      <c r="J12" s="20">
        <v>1628.9224497924565</v>
      </c>
      <c r="K12" s="20">
        <v>1566.0149320911464</v>
      </c>
      <c r="L12" s="20">
        <v>1501.7809417599638</v>
      </c>
      <c r="M12" s="20">
        <v>1436.2204787989099</v>
      </c>
      <c r="N12" s="20">
        <v>1369.3335432079823</v>
      </c>
      <c r="O12" s="20">
        <v>1301.120134987184</v>
      </c>
      <c r="P12" s="20">
        <v>1231.5802541365126</v>
      </c>
      <c r="Q12" s="20">
        <v>1160.7139006559692</v>
      </c>
      <c r="R12" s="20">
        <v>1088.5210745455531</v>
      </c>
      <c r="S12" s="20">
        <v>1015.0017758052646</v>
      </c>
      <c r="T12" s="20">
        <v>940.15600443510436</v>
      </c>
      <c r="U12" s="20">
        <v>927.4367975491607</v>
      </c>
      <c r="V12" s="20">
        <v>914.67546477954431</v>
      </c>
      <c r="W12" s="20">
        <v>901.87200612625577</v>
      </c>
      <c r="X12" s="20">
        <v>889.02642158929427</v>
      </c>
      <c r="Y12" s="20">
        <v>876.13871116866017</v>
      </c>
      <c r="Z12" s="20">
        <v>863.20887486435379</v>
      </c>
      <c r="AA12" s="20">
        <v>850.23691267637457</v>
      </c>
      <c r="AB12" s="20">
        <v>837.22282460472263</v>
      </c>
      <c r="AC12" s="20">
        <v>824.16661064939876</v>
      </c>
      <c r="AD12" s="20">
        <v>811.06827081040183</v>
      </c>
      <c r="AE12" s="20">
        <v>797.92780508773228</v>
      </c>
      <c r="AF12" s="20">
        <v>784.74521348139024</v>
      </c>
      <c r="AG12" s="20">
        <v>771.52049599137558</v>
      </c>
      <c r="AH12" s="20">
        <v>758.25365261768889</v>
      </c>
      <c r="AI12" s="20">
        <v>744.94468336032855</v>
      </c>
      <c r="AJ12" s="20">
        <v>731.59358821929663</v>
      </c>
      <c r="AK12" s="20">
        <v>718.20036719459154</v>
      </c>
      <c r="AL12" s="20">
        <v>704.76502028621417</v>
      </c>
      <c r="AM12" s="20">
        <v>691.28754749416441</v>
      </c>
      <c r="AN12" s="20">
        <v>677.76794881844148</v>
      </c>
    </row>
    <row r="13" spans="1:40" x14ac:dyDescent="0.25">
      <c r="A13" s="20" t="s">
        <v>285</v>
      </c>
      <c r="B13" s="20" t="s">
        <v>297</v>
      </c>
      <c r="C13" s="49">
        <v>0</v>
      </c>
      <c r="G13" s="20" t="s">
        <v>298</v>
      </c>
      <c r="H13" s="20">
        <v>1613.6088727292877</v>
      </c>
      <c r="I13" s="20">
        <v>1560.3956697255649</v>
      </c>
      <c r="J13" s="20">
        <v>1505.4252719628419</v>
      </c>
      <c r="K13" s="20">
        <v>1448.69767944112</v>
      </c>
      <c r="L13" s="20">
        <v>1390.2128921603987</v>
      </c>
      <c r="M13" s="20">
        <v>1329.9709101206786</v>
      </c>
      <c r="N13" s="20">
        <v>1267.9717333219594</v>
      </c>
      <c r="O13" s="20">
        <v>1204.2153617642416</v>
      </c>
      <c r="P13" s="20">
        <v>1138.7017954475245</v>
      </c>
      <c r="Q13" s="20">
        <v>1071.4310343718087</v>
      </c>
      <c r="R13" s="20">
        <v>1002.4030785370932</v>
      </c>
      <c r="S13" s="20">
        <v>931.61792794337896</v>
      </c>
      <c r="T13" s="20">
        <v>859.07558259066548</v>
      </c>
      <c r="U13" s="20">
        <v>848.57904591876866</v>
      </c>
      <c r="V13" s="20">
        <v>838.02427116801266</v>
      </c>
      <c r="W13" s="20">
        <v>827.41125833839703</v>
      </c>
      <c r="X13" s="20">
        <v>816.74000742992257</v>
      </c>
      <c r="Y13" s="20">
        <v>806.01051844258882</v>
      </c>
      <c r="Z13" s="20">
        <v>795.22279137639566</v>
      </c>
      <c r="AA13" s="20">
        <v>784.37682623134276</v>
      </c>
      <c r="AB13" s="20">
        <v>773.47262300743091</v>
      </c>
      <c r="AC13" s="20">
        <v>762.51018170466034</v>
      </c>
      <c r="AD13" s="20">
        <v>751.4895023230298</v>
      </c>
      <c r="AE13" s="20">
        <v>740.41058486254053</v>
      </c>
      <c r="AF13" s="20">
        <v>729.27342932319141</v>
      </c>
      <c r="AG13" s="20">
        <v>718.07803570498368</v>
      </c>
      <c r="AH13" s="20">
        <v>706.8244040079162</v>
      </c>
      <c r="AI13" s="20">
        <v>695.51253423198932</v>
      </c>
      <c r="AJ13" s="20">
        <v>684.14242637720338</v>
      </c>
      <c r="AK13" s="20">
        <v>672.71408044355826</v>
      </c>
      <c r="AL13" s="20">
        <v>661.22749643105385</v>
      </c>
      <c r="AM13" s="20">
        <v>649.68267433969004</v>
      </c>
      <c r="AN13" s="20">
        <v>638.07961416946716</v>
      </c>
    </row>
    <row r="14" spans="1:40" x14ac:dyDescent="0.25">
      <c r="A14" s="20" t="s">
        <v>62</v>
      </c>
      <c r="B14" s="20" t="s">
        <v>299</v>
      </c>
      <c r="C14" s="49">
        <v>0.03</v>
      </c>
      <c r="G14" s="20" t="s">
        <v>300</v>
      </c>
      <c r="H14" s="20">
        <v>1569.557675780635</v>
      </c>
      <c r="I14" s="20">
        <v>1521.5520124775639</v>
      </c>
      <c r="J14" s="20">
        <v>1471.5097713933833</v>
      </c>
      <c r="K14" s="20">
        <v>1419.4309525280967</v>
      </c>
      <c r="L14" s="20">
        <v>1365.3155558817018</v>
      </c>
      <c r="M14" s="20">
        <v>1309.1635814541994</v>
      </c>
      <c r="N14" s="20">
        <v>1250.9750292455888</v>
      </c>
      <c r="O14" s="20">
        <v>1190.749899255871</v>
      </c>
      <c r="P14" s="20">
        <v>1128.488191485045</v>
      </c>
      <c r="Q14" s="20">
        <v>1064.189905933112</v>
      </c>
      <c r="R14" s="20">
        <v>997.85504260007053</v>
      </c>
      <c r="S14" s="20">
        <v>929.48360148592201</v>
      </c>
      <c r="T14" s="20">
        <v>859.07558259066548</v>
      </c>
      <c r="U14" s="20">
        <v>848.74092650101488</v>
      </c>
      <c r="V14" s="20">
        <v>838.32666366780995</v>
      </c>
      <c r="W14" s="20">
        <v>827.83279409104944</v>
      </c>
      <c r="X14" s="20">
        <v>817.25931777073379</v>
      </c>
      <c r="Y14" s="20">
        <v>806.60623470686301</v>
      </c>
      <c r="Z14" s="20">
        <v>795.87354489943698</v>
      </c>
      <c r="AA14" s="20">
        <v>785.0612483484565</v>
      </c>
      <c r="AB14" s="20">
        <v>774.1693450539201</v>
      </c>
      <c r="AC14" s="20">
        <v>763.1978350158289</v>
      </c>
      <c r="AD14" s="20">
        <v>752.14671823418303</v>
      </c>
      <c r="AE14" s="20">
        <v>741.01599470898111</v>
      </c>
      <c r="AF14" s="20">
        <v>729.80566444022452</v>
      </c>
      <c r="AG14" s="20">
        <v>718.51572742791291</v>
      </c>
      <c r="AH14" s="20">
        <v>707.14618367204594</v>
      </c>
      <c r="AI14" s="20">
        <v>695.69703317262395</v>
      </c>
      <c r="AJ14" s="20">
        <v>684.16827592964671</v>
      </c>
      <c r="AK14" s="20">
        <v>672.55991194311434</v>
      </c>
      <c r="AL14" s="20">
        <v>660.87194121302684</v>
      </c>
      <c r="AM14" s="20">
        <v>649.10436373938467</v>
      </c>
      <c r="AN14" s="20">
        <v>637.25717952218656</v>
      </c>
    </row>
    <row r="15" spans="1:40" x14ac:dyDescent="0.25">
      <c r="A15" s="20" t="s">
        <v>62</v>
      </c>
      <c r="B15" s="20" t="s">
        <v>301</v>
      </c>
      <c r="C15" s="49">
        <v>0.06</v>
      </c>
      <c r="G15" s="20" t="s">
        <v>302</v>
      </c>
      <c r="H15" s="20">
        <v>1555.8836815857014</v>
      </c>
      <c r="I15" s="20">
        <v>1510.0980044534476</v>
      </c>
      <c r="J15" s="20">
        <v>1462.079297421074</v>
      </c>
      <c r="K15" s="20">
        <v>1411.827560488578</v>
      </c>
      <c r="L15" s="20">
        <v>1359.3427936559608</v>
      </c>
      <c r="M15" s="20">
        <v>1304.6249969232233</v>
      </c>
      <c r="N15" s="20">
        <v>1247.6741702903637</v>
      </c>
      <c r="O15" s="20">
        <v>1188.4903137573833</v>
      </c>
      <c r="P15" s="20">
        <v>1127.0734273242822</v>
      </c>
      <c r="Q15" s="20">
        <v>1063.4235109910594</v>
      </c>
      <c r="R15" s="20">
        <v>997.5405647577162</v>
      </c>
      <c r="S15" s="20">
        <v>929.42458862425144</v>
      </c>
      <c r="T15" s="20">
        <v>859.07558259066548</v>
      </c>
      <c r="U15" s="20">
        <v>849.0772087006078</v>
      </c>
      <c r="V15" s="20">
        <v>838.97775368879832</v>
      </c>
      <c r="W15" s="20">
        <v>828.77721755523669</v>
      </c>
      <c r="X15" s="20">
        <v>818.47560029992326</v>
      </c>
      <c r="Y15" s="20">
        <v>808.07290192285802</v>
      </c>
      <c r="Z15" s="20">
        <v>797.56912242404076</v>
      </c>
      <c r="AA15" s="20">
        <v>786.96426180347157</v>
      </c>
      <c r="AB15" s="20">
        <v>776.25832006115104</v>
      </c>
      <c r="AC15" s="20">
        <v>765.45129719707791</v>
      </c>
      <c r="AD15" s="20">
        <v>754.54319321125308</v>
      </c>
      <c r="AE15" s="20">
        <v>743.53400810367634</v>
      </c>
      <c r="AF15" s="20">
        <v>732.42374187434768</v>
      </c>
      <c r="AG15" s="20">
        <v>721.21239452326722</v>
      </c>
      <c r="AH15" s="20">
        <v>709.89996605043495</v>
      </c>
      <c r="AI15" s="20">
        <v>698.4864564558502</v>
      </c>
      <c r="AJ15" s="20">
        <v>686.97186573951456</v>
      </c>
      <c r="AK15" s="20">
        <v>675.3561939014262</v>
      </c>
      <c r="AL15" s="20">
        <v>663.63944094158626</v>
      </c>
      <c r="AM15" s="20">
        <v>651.8216068599944</v>
      </c>
      <c r="AN15" s="20">
        <v>639.9026916566504</v>
      </c>
    </row>
    <row r="17" spans="1:39" ht="60.75" thickBot="1" x14ac:dyDescent="0.3">
      <c r="A17" s="1" t="s">
        <v>303</v>
      </c>
      <c r="H17" s="47" t="s">
        <v>304</v>
      </c>
      <c r="I17" s="20" t="s">
        <v>305</v>
      </c>
      <c r="J17" s="20" t="s">
        <v>306</v>
      </c>
      <c r="K17" s="20" t="s">
        <v>307</v>
      </c>
    </row>
    <row r="18" spans="1:39" x14ac:dyDescent="0.25">
      <c r="A18" s="20">
        <v>2019</v>
      </c>
      <c r="B18" s="91">
        <v>2025</v>
      </c>
      <c r="C18" s="91">
        <v>2030</v>
      </c>
      <c r="D18" s="91">
        <v>2050</v>
      </c>
      <c r="G18" s="1" t="s">
        <v>308</v>
      </c>
      <c r="H18" s="20">
        <v>1714.8418206232893</v>
      </c>
      <c r="I18" s="20">
        <v>43</v>
      </c>
      <c r="J18" s="20">
        <v>0</v>
      </c>
      <c r="K18" s="124">
        <v>153</v>
      </c>
    </row>
    <row r="19" spans="1:39" x14ac:dyDescent="0.25">
      <c r="A19" s="125">
        <f>SUM(C12:C15,C7:C10)</f>
        <v>0.24</v>
      </c>
      <c r="B19" s="49">
        <v>0.23</v>
      </c>
      <c r="C19" s="126">
        <v>0.19</v>
      </c>
      <c r="D19" s="126">
        <v>0.11</v>
      </c>
      <c r="G19" s="20" t="s">
        <v>309</v>
      </c>
      <c r="H19" s="20">
        <v>1584.179506448455</v>
      </c>
      <c r="I19" s="20">
        <v>43</v>
      </c>
      <c r="J19" s="20">
        <v>0</v>
      </c>
      <c r="K19" s="127">
        <v>152</v>
      </c>
    </row>
    <row r="20" spans="1:39" x14ac:dyDescent="0.25">
      <c r="G20" s="20" t="s">
        <v>310</v>
      </c>
      <c r="H20" s="20">
        <v>1544.5625390187488</v>
      </c>
      <c r="I20" s="20">
        <v>43</v>
      </c>
      <c r="J20" s="20">
        <v>0</v>
      </c>
      <c r="K20" s="128">
        <v>304</v>
      </c>
    </row>
    <row r="21" spans="1:39" x14ac:dyDescent="0.25">
      <c r="G21" s="20" t="s">
        <v>311</v>
      </c>
      <c r="H21" s="20">
        <v>1532.52612541861</v>
      </c>
      <c r="I21" s="20">
        <v>43</v>
      </c>
      <c r="J21" s="20">
        <v>0</v>
      </c>
      <c r="K21" s="127">
        <v>606</v>
      </c>
    </row>
    <row r="23" spans="1:39" x14ac:dyDescent="0.25">
      <c r="G23" s="122" t="s">
        <v>312</v>
      </c>
      <c r="H23" s="20">
        <v>1.0940919037199124</v>
      </c>
    </row>
    <row r="25" spans="1:39" x14ac:dyDescent="0.25">
      <c r="G25" s="122" t="s">
        <v>313</v>
      </c>
    </row>
    <row r="26" spans="1:39" x14ac:dyDescent="0.25">
      <c r="G26" s="20" t="s">
        <v>314</v>
      </c>
      <c r="H26" s="20">
        <v>2019</v>
      </c>
      <c r="I26" s="20">
        <v>2020</v>
      </c>
      <c r="J26" s="20">
        <v>2021</v>
      </c>
      <c r="K26" s="20">
        <v>2022</v>
      </c>
      <c r="L26" s="20">
        <v>2023</v>
      </c>
      <c r="M26" s="20">
        <v>2024</v>
      </c>
      <c r="N26" s="20">
        <v>2025</v>
      </c>
      <c r="O26" s="20">
        <v>2026</v>
      </c>
      <c r="P26" s="20">
        <v>2027</v>
      </c>
      <c r="Q26" s="20">
        <v>2028</v>
      </c>
      <c r="R26" s="20">
        <v>2029</v>
      </c>
      <c r="S26" s="20">
        <v>2030</v>
      </c>
      <c r="T26" s="20">
        <v>2031</v>
      </c>
      <c r="U26" s="20">
        <v>2032</v>
      </c>
      <c r="V26" s="20">
        <v>2033</v>
      </c>
      <c r="W26" s="20">
        <v>2034</v>
      </c>
      <c r="X26" s="20">
        <v>2035</v>
      </c>
      <c r="Y26" s="20">
        <v>2036</v>
      </c>
      <c r="Z26" s="20">
        <v>2037</v>
      </c>
      <c r="AA26" s="20">
        <v>2038</v>
      </c>
      <c r="AB26" s="20">
        <v>2039</v>
      </c>
      <c r="AC26" s="20">
        <v>2040</v>
      </c>
      <c r="AD26" s="20">
        <v>2041</v>
      </c>
      <c r="AE26" s="20">
        <v>2042</v>
      </c>
      <c r="AF26" s="20">
        <v>2043</v>
      </c>
      <c r="AG26" s="20">
        <v>2044</v>
      </c>
      <c r="AH26" s="20">
        <v>2045</v>
      </c>
      <c r="AI26" s="20">
        <v>2046</v>
      </c>
      <c r="AJ26" s="20">
        <v>2047</v>
      </c>
      <c r="AK26" s="20">
        <v>2048</v>
      </c>
      <c r="AL26" s="20">
        <v>2049</v>
      </c>
      <c r="AM26" s="20">
        <v>2050</v>
      </c>
    </row>
    <row r="27" spans="1:39" x14ac:dyDescent="0.25">
      <c r="G27" s="20" t="s">
        <v>315</v>
      </c>
      <c r="H27" s="129">
        <v>1430840</v>
      </c>
      <c r="I27" s="129">
        <v>1399270</v>
      </c>
      <c r="J27" s="129">
        <v>1370960</v>
      </c>
      <c r="K27" s="129">
        <v>1343280</v>
      </c>
      <c r="L27" s="129">
        <v>1312640</v>
      </c>
      <c r="M27" s="129">
        <v>1285130</v>
      </c>
      <c r="N27" s="129">
        <v>1260520</v>
      </c>
      <c r="O27" s="129">
        <v>1226840</v>
      </c>
      <c r="P27" s="129">
        <v>1198160</v>
      </c>
      <c r="Q27" s="129">
        <v>1173640</v>
      </c>
      <c r="R27" s="129">
        <v>1149670</v>
      </c>
      <c r="S27" s="129">
        <v>1126440</v>
      </c>
      <c r="T27" s="129">
        <v>1113440</v>
      </c>
      <c r="U27" s="129">
        <v>1100610</v>
      </c>
      <c r="V27" s="129">
        <v>1088100</v>
      </c>
      <c r="W27" s="129">
        <v>1075650</v>
      </c>
      <c r="X27" s="129">
        <v>1063310</v>
      </c>
      <c r="Y27" s="129">
        <v>1051350</v>
      </c>
      <c r="Z27" s="129">
        <v>1039560</v>
      </c>
      <c r="AA27" s="129">
        <v>1027810</v>
      </c>
      <c r="AB27" s="129">
        <v>1016160</v>
      </c>
      <c r="AC27" s="129">
        <v>1004710</v>
      </c>
      <c r="AD27" s="129">
        <v>993351</v>
      </c>
      <c r="AE27" s="129">
        <v>982293</v>
      </c>
      <c r="AF27" s="129">
        <v>971265</v>
      </c>
      <c r="AG27" s="129">
        <v>960236</v>
      </c>
      <c r="AH27" s="129">
        <v>949413</v>
      </c>
      <c r="AI27" s="129">
        <v>938612</v>
      </c>
      <c r="AJ27" s="129">
        <v>927987</v>
      </c>
      <c r="AK27" s="129">
        <v>917391</v>
      </c>
      <c r="AL27" s="129">
        <v>906898</v>
      </c>
      <c r="AM27" s="129">
        <v>896402</v>
      </c>
    </row>
    <row r="28" spans="1:39" x14ac:dyDescent="0.25">
      <c r="G28" s="20" t="s">
        <v>316</v>
      </c>
      <c r="H28" s="129">
        <v>1565.4704595185992</v>
      </c>
      <c r="I28" s="129">
        <v>1530.9299781181619</v>
      </c>
      <c r="J28" s="129">
        <v>1499.9562363238513</v>
      </c>
      <c r="K28" s="129">
        <v>1469.671772428884</v>
      </c>
      <c r="L28" s="129">
        <v>1436.1487964989058</v>
      </c>
      <c r="M28" s="129">
        <v>1406.0503282275711</v>
      </c>
      <c r="N28" s="129">
        <v>1379.1247264770238</v>
      </c>
      <c r="O28" s="129">
        <v>1342.2757111597373</v>
      </c>
      <c r="P28" s="129">
        <v>1310.8971553610502</v>
      </c>
      <c r="Q28" s="129">
        <v>1284.0700218818379</v>
      </c>
      <c r="R28" s="129">
        <v>1257.8446389496717</v>
      </c>
      <c r="S28" s="129">
        <v>1232.4288840262579</v>
      </c>
      <c r="T28" s="129">
        <v>1218.2056892778992</v>
      </c>
      <c r="U28" s="129">
        <v>1204.1684901531728</v>
      </c>
      <c r="V28" s="129">
        <v>1190.4814004376367</v>
      </c>
      <c r="W28" s="129">
        <v>1176.8599562363238</v>
      </c>
      <c r="X28" s="129">
        <v>1163.3588621444198</v>
      </c>
      <c r="Y28" s="129">
        <v>1150.2735229759298</v>
      </c>
      <c r="Z28" s="129">
        <v>1137.3741794310722</v>
      </c>
      <c r="AA28" s="129">
        <v>1124.5185995623633</v>
      </c>
      <c r="AB28" s="129">
        <v>1111.7724288840261</v>
      </c>
      <c r="AC28" s="129">
        <v>1099.2450765864332</v>
      </c>
      <c r="AD28" s="129">
        <v>1086.8172866520786</v>
      </c>
      <c r="AE28" s="129">
        <v>1074.7188183807439</v>
      </c>
      <c r="AF28" s="129">
        <v>1062.6531728665207</v>
      </c>
      <c r="AG28" s="129">
        <v>1050.5864332603937</v>
      </c>
      <c r="AH28" s="129">
        <v>1038.7450765864332</v>
      </c>
      <c r="AI28" s="129">
        <v>1026.9277899343545</v>
      </c>
      <c r="AJ28" s="129">
        <v>1015.3030634573304</v>
      </c>
      <c r="AK28" s="129">
        <v>1003.7100656455142</v>
      </c>
      <c r="AL28" s="129">
        <v>992.22975929978111</v>
      </c>
      <c r="AM28" s="129">
        <v>980.74617067833685</v>
      </c>
    </row>
    <row r="30" spans="1:39" x14ac:dyDescent="0.25">
      <c r="A30" s="116" t="s">
        <v>244</v>
      </c>
      <c r="B30" s="117"/>
      <c r="C30" s="117"/>
    </row>
    <row r="32" spans="1:39" x14ac:dyDescent="0.25">
      <c r="A32" s="1" t="s">
        <v>317</v>
      </c>
      <c r="H32" s="20">
        <v>2019</v>
      </c>
      <c r="I32" s="20">
        <v>2020</v>
      </c>
      <c r="J32" s="20">
        <v>2021</v>
      </c>
      <c r="K32" s="20">
        <v>2022</v>
      </c>
      <c r="L32" s="20">
        <v>2023</v>
      </c>
      <c r="M32" s="20">
        <v>2024</v>
      </c>
      <c r="N32" s="20">
        <v>2025</v>
      </c>
      <c r="O32" s="20">
        <v>2026</v>
      </c>
      <c r="P32" s="20">
        <v>2027</v>
      </c>
      <c r="Q32" s="20">
        <v>2028</v>
      </c>
      <c r="R32" s="20">
        <v>2029</v>
      </c>
      <c r="S32" s="20">
        <v>2030</v>
      </c>
      <c r="T32" s="20">
        <v>2031</v>
      </c>
      <c r="U32" s="20">
        <v>2032</v>
      </c>
      <c r="V32" s="20">
        <v>2033</v>
      </c>
      <c r="W32" s="20">
        <v>2034</v>
      </c>
      <c r="X32" s="20">
        <v>2035</v>
      </c>
      <c r="Y32" s="20">
        <v>2036</v>
      </c>
      <c r="Z32" s="20">
        <v>2037</v>
      </c>
      <c r="AA32" s="20">
        <v>2038</v>
      </c>
      <c r="AB32" s="20">
        <v>2039</v>
      </c>
      <c r="AC32" s="20">
        <v>2040</v>
      </c>
      <c r="AD32" s="20">
        <v>2041</v>
      </c>
      <c r="AE32" s="20">
        <v>2042</v>
      </c>
      <c r="AF32" s="20">
        <v>2043</v>
      </c>
      <c r="AG32" s="20">
        <v>2044</v>
      </c>
      <c r="AH32" s="20">
        <v>2045</v>
      </c>
      <c r="AI32" s="20">
        <v>2046</v>
      </c>
      <c r="AJ32" s="20">
        <v>2047</v>
      </c>
      <c r="AK32" s="20">
        <v>2048</v>
      </c>
      <c r="AL32" s="20">
        <v>2049</v>
      </c>
      <c r="AM32" s="20">
        <v>2050</v>
      </c>
    </row>
    <row r="33" spans="1:40" x14ac:dyDescent="0.25">
      <c r="A33" s="51" t="s">
        <v>277</v>
      </c>
      <c r="B33" s="118" t="s">
        <v>278</v>
      </c>
      <c r="G33" s="119" t="s">
        <v>281</v>
      </c>
      <c r="H33" s="120">
        <v>4837.8531553008725</v>
      </c>
      <c r="I33" s="120">
        <v>4537.6571030202886</v>
      </c>
      <c r="J33" s="120">
        <v>4270.6520093489053</v>
      </c>
      <c r="K33" s="120">
        <v>4030.1803043655764</v>
      </c>
      <c r="L33" s="120">
        <v>3812.7734327200283</v>
      </c>
      <c r="M33" s="120">
        <v>3616.1579001970217</v>
      </c>
      <c r="N33" s="120">
        <v>3438.6109601798307</v>
      </c>
      <c r="O33" s="120">
        <v>3278.69937654351</v>
      </c>
      <c r="P33" s="120">
        <v>3135.1567828107145</v>
      </c>
      <c r="Q33" s="120">
        <v>3006.8198067468188</v>
      </c>
      <c r="R33" s="120">
        <v>2892.5921062659472</v>
      </c>
      <c r="S33" s="120">
        <v>2791.4228503166478</v>
      </c>
      <c r="T33" s="120">
        <v>2702.2931973338405</v>
      </c>
      <c r="U33" s="120">
        <v>2624.2074499793666</v>
      </c>
      <c r="V33" s="120">
        <v>2556.1870704012108</v>
      </c>
      <c r="W33" s="120">
        <v>2497.2665130374967</v>
      </c>
      <c r="X33" s="120">
        <v>2446.4902503466587</v>
      </c>
      <c r="Y33" s="120">
        <v>2402.9106037684251</v>
      </c>
      <c r="Z33" s="120">
        <v>2365.5861316963856</v>
      </c>
      <c r="AA33" s="120">
        <v>2333.5804111657576</v>
      </c>
      <c r="AB33" s="120">
        <v>2305.9611032193111</v>
      </c>
      <c r="AC33" s="120">
        <v>2281.7992262022781</v>
      </c>
      <c r="AD33" s="120">
        <v>2260.1685838331068</v>
      </c>
      <c r="AE33" s="120">
        <v>2240.1453101034358</v>
      </c>
      <c r="AF33" s="120">
        <v>2220.8075034898643</v>
      </c>
      <c r="AG33" s="120">
        <v>2201.2349302369312</v>
      </c>
      <c r="AH33" s="120">
        <v>2180.5087816280516</v>
      </c>
      <c r="AI33" s="120">
        <v>2157.7114738693845</v>
      </c>
      <c r="AJ33" s="120">
        <v>2131.926481913054</v>
      </c>
      <c r="AK33" s="120">
        <v>2102.2382005384761</v>
      </c>
      <c r="AL33" s="120">
        <v>2067.7318274964014</v>
      </c>
      <c r="AM33" s="120">
        <v>2027.4932646400202</v>
      </c>
      <c r="AN33" s="121"/>
    </row>
    <row r="34" spans="1:40" x14ac:dyDescent="0.25">
      <c r="A34" s="20" t="s">
        <v>318</v>
      </c>
      <c r="B34" s="49">
        <v>0.31</v>
      </c>
      <c r="G34" s="122" t="s">
        <v>283</v>
      </c>
      <c r="H34" s="123">
        <v>4760.5140442926458</v>
      </c>
      <c r="I34" s="123">
        <v>4393.6248517719423</v>
      </c>
      <c r="J34" s="123">
        <v>4066.4625499046529</v>
      </c>
      <c r="K34" s="123">
        <v>3771.0913039352336</v>
      </c>
      <c r="L34" s="123">
        <v>3503.3443401175086</v>
      </c>
      <c r="M34" s="123">
        <v>3260.4004992367936</v>
      </c>
      <c r="N34" s="123">
        <v>3040.0225117087057</v>
      </c>
      <c r="O34" s="123">
        <v>2840.2629078629902</v>
      </c>
      <c r="P34" s="123">
        <v>2659.3373831362669</v>
      </c>
      <c r="Q34" s="123">
        <v>2495.5678924493668</v>
      </c>
      <c r="R34" s="123">
        <v>2347.357692451274</v>
      </c>
      <c r="S34" s="123">
        <v>2213.1817860665674</v>
      </c>
      <c r="T34" s="123">
        <v>2091.5848176530794</v>
      </c>
      <c r="U34" s="123">
        <v>1981.1823398836152</v>
      </c>
      <c r="V34" s="123">
        <v>1921.845697769046</v>
      </c>
      <c r="W34" s="123">
        <v>1870.7225558663063</v>
      </c>
      <c r="X34" s="123">
        <v>1826.8445042011826</v>
      </c>
      <c r="Y34" s="123">
        <v>1789.2883790653477</v>
      </c>
      <c r="Z34" s="123">
        <v>1757.1695677521175</v>
      </c>
      <c r="AA34" s="123">
        <v>1729.6356578777627</v>
      </c>
      <c r="AB34" s="123">
        <v>1705.8605534065837</v>
      </c>
      <c r="AC34" s="123">
        <v>1685.0392050409991</v>
      </c>
      <c r="AD34" s="123">
        <v>1666.3831001928436</v>
      </c>
      <c r="AE34" s="123">
        <v>1649.1166383604627</v>
      </c>
      <c r="AF34" s="123">
        <v>1632.474491651926</v>
      </c>
      <c r="AG34" s="123">
        <v>1615.7000262251117</v>
      </c>
      <c r="AH34" s="123">
        <v>1598.044845554881</v>
      </c>
      <c r="AI34" s="123">
        <v>1578.7695160971568</v>
      </c>
      <c r="AJ34" s="123">
        <v>1557.1455548023293</v>
      </c>
      <c r="AK34" s="123">
        <v>1532.4588015488391</v>
      </c>
      <c r="AL34" s="123">
        <v>1504.0143765797852</v>
      </c>
      <c r="AM34" s="123">
        <v>1471.1435490360013</v>
      </c>
    </row>
    <row r="35" spans="1:40" x14ac:dyDescent="0.25">
      <c r="A35" s="20" t="s">
        <v>292</v>
      </c>
      <c r="B35" s="49">
        <v>0.32</v>
      </c>
    </row>
    <row r="36" spans="1:40" x14ac:dyDescent="0.25">
      <c r="A36" s="20" t="s">
        <v>319</v>
      </c>
      <c r="B36" s="49">
        <v>0.28000000000000003</v>
      </c>
      <c r="G36" s="122" t="s">
        <v>287</v>
      </c>
      <c r="H36" s="130">
        <v>4066.3038662426356</v>
      </c>
      <c r="I36" s="130">
        <v>3837.7273665048419</v>
      </c>
      <c r="J36" s="130">
        <v>3649.9168775661192</v>
      </c>
      <c r="K36" s="130">
        <v>3485.0596170550875</v>
      </c>
      <c r="L36" s="130">
        <v>3337.2451096643831</v>
      </c>
      <c r="M36" s="130">
        <v>3203.5756323754272</v>
      </c>
      <c r="N36" s="130">
        <v>3082.2824702346147</v>
      </c>
      <c r="O36" s="130">
        <v>2972.1172151264177</v>
      </c>
      <c r="P36" s="130">
        <v>2872.1049676877351</v>
      </c>
      <c r="Q36" s="130">
        <v>2781.4284750326333</v>
      </c>
      <c r="R36" s="130">
        <v>2699.367785850191</v>
      </c>
      <c r="S36" s="130">
        <v>2625.2662741074309</v>
      </c>
      <c r="T36" s="130">
        <v>2558.5103093331932</v>
      </c>
      <c r="U36" s="130">
        <v>2498.5164824291442</v>
      </c>
      <c r="V36" s="130">
        <v>2444.723249302916</v>
      </c>
      <c r="W36" s="130">
        <v>2396.5852769141807</v>
      </c>
      <c r="X36" s="130">
        <v>2353.5695064066808</v>
      </c>
      <c r="Y36" s="130">
        <v>2315.1523432313766</v>
      </c>
      <c r="Z36" s="130">
        <v>2280.8176079939212</v>
      </c>
      <c r="AA36" s="130">
        <v>2250.0550135267358</v>
      </c>
      <c r="AB36" s="130">
        <v>2222.3590139149755</v>
      </c>
      <c r="AC36" s="130">
        <v>2197.2279215212743</v>
      </c>
      <c r="AD36" s="130">
        <v>2174.1632204468865</v>
      </c>
      <c r="AE36" s="130">
        <v>2152.66902621395</v>
      </c>
      <c r="AF36" s="130">
        <v>2132.2516558196116</v>
      </c>
      <c r="AG36" s="130">
        <v>2112.4192821655415</v>
      </c>
      <c r="AH36" s="130">
        <v>2092.6816537409645</v>
      </c>
      <c r="AI36" s="130">
        <v>2072.549865309652</v>
      </c>
      <c r="AJ36" s="130">
        <v>2051.5361688545445</v>
      </c>
      <c r="AK36" s="130">
        <v>2029.1538165858494</v>
      </c>
      <c r="AL36" s="130">
        <v>2004.9169297006467</v>
      </c>
      <c r="AM36" s="130">
        <v>1978.3403879857453</v>
      </c>
      <c r="AN36" s="130">
        <v>1948.9397364134529</v>
      </c>
    </row>
    <row r="37" spans="1:40" x14ac:dyDescent="0.25">
      <c r="A37" s="20" t="s">
        <v>320</v>
      </c>
      <c r="B37" s="49">
        <v>0.02</v>
      </c>
      <c r="G37" s="122" t="s">
        <v>289</v>
      </c>
      <c r="H37" s="131">
        <v>4114.4814943516785</v>
      </c>
      <c r="I37" s="131">
        <v>3882.8788073149194</v>
      </c>
      <c r="J37" s="131">
        <v>3693.1323984642922</v>
      </c>
      <c r="K37" s="131">
        <v>3526.8047791054755</v>
      </c>
      <c r="L37" s="131">
        <v>3377.7886926476308</v>
      </c>
      <c r="M37" s="131">
        <v>3243.0979526244951</v>
      </c>
      <c r="N37" s="131">
        <v>3120.9159719939307</v>
      </c>
      <c r="O37" s="131">
        <v>3009.9651772045472</v>
      </c>
      <c r="P37" s="131">
        <v>2909.2513369495796</v>
      </c>
      <c r="Q37" s="131">
        <v>2817.9435342816851</v>
      </c>
      <c r="R37" s="131">
        <v>2735.3116521234506</v>
      </c>
      <c r="S37" s="131">
        <v>2660.691175416538</v>
      </c>
      <c r="T37" s="131">
        <v>2593.4621304888974</v>
      </c>
      <c r="U37" s="131">
        <v>2533.0358515938592</v>
      </c>
      <c r="V37" s="131">
        <v>2478.8463241058398</v>
      </c>
      <c r="W37" s="131">
        <v>2430.3443272891486</v>
      </c>
      <c r="X37" s="131">
        <v>2386.9933558873399</v>
      </c>
      <c r="Y37" s="131">
        <v>2348.2667092225329</v>
      </c>
      <c r="Z37" s="131">
        <v>2313.6453683694658</v>
      </c>
      <c r="AA37" s="131">
        <v>2282.6164184735608</v>
      </c>
      <c r="AB37" s="131">
        <v>2254.6718563957907</v>
      </c>
      <c r="AC37" s="131">
        <v>2229.3076759917085</v>
      </c>
      <c r="AD37" s="131">
        <v>2206.0231568893787</v>
      </c>
      <c r="AE37" s="131">
        <v>2184.3203047455313</v>
      </c>
      <c r="AF37" s="131">
        <v>2163.7034058417935</v>
      </c>
      <c r="AG37" s="131">
        <v>2143.6786690898693</v>
      </c>
      <c r="AH37" s="131">
        <v>2123.7539356363018</v>
      </c>
      <c r="AI37" s="131">
        <v>2103.4384413049447</v>
      </c>
      <c r="AJ37" s="131">
        <v>2082.242620744461</v>
      </c>
      <c r="AK37" s="131">
        <v>2059.6779447920644</v>
      </c>
      <c r="AL37" s="131">
        <v>2035.2567845146305</v>
      </c>
      <c r="AM37" s="131">
        <v>2008.4922968424287</v>
      </c>
      <c r="AN37" s="131">
        <v>1978.8983278067196</v>
      </c>
    </row>
    <row r="38" spans="1:40" x14ac:dyDescent="0.25">
      <c r="A38" s="20" t="s">
        <v>295</v>
      </c>
      <c r="B38" s="49">
        <v>0.03</v>
      </c>
      <c r="G38" s="122" t="s">
        <v>321</v>
      </c>
      <c r="H38" s="130">
        <v>5679.8005659761338</v>
      </c>
      <c r="I38" s="130">
        <v>5270.0880017004374</v>
      </c>
      <c r="J38" s="130">
        <v>4917.1902021699616</v>
      </c>
      <c r="K38" s="130">
        <v>4601.9217194439134</v>
      </c>
      <c r="L38" s="130">
        <v>4317.5039534699736</v>
      </c>
      <c r="M38" s="130">
        <v>4060.2987675674726</v>
      </c>
      <c r="N38" s="130">
        <v>3827.844891964955</v>
      </c>
      <c r="O38" s="130">
        <v>3618.2234196245654</v>
      </c>
      <c r="P38" s="130">
        <v>3429.8005463434906</v>
      </c>
      <c r="Q38" s="130">
        <v>3261.1067970571162</v>
      </c>
      <c r="R38" s="130">
        <v>3110.7741229061826</v>
      </c>
      <c r="S38" s="130">
        <v>2977.5004846786956</v>
      </c>
      <c r="T38" s="130">
        <v>2860.0286613136714</v>
      </c>
      <c r="U38" s="130">
        <v>2757.132934212093</v>
      </c>
      <c r="V38" s="130">
        <v>2667.610376642243</v>
      </c>
      <c r="W38" s="130">
        <v>2590.2749601136957</v>
      </c>
      <c r="X38" s="130">
        <v>2523.9534506248533</v>
      </c>
      <c r="Y38" s="130">
        <v>2467.4824796749322</v>
      </c>
      <c r="Z38" s="130">
        <v>2419.706408247509</v>
      </c>
      <c r="AA38" s="130">
        <v>2379.4757393254299</v>
      </c>
      <c r="AB38" s="130">
        <v>2345.6459181267815</v>
      </c>
      <c r="AC38" s="130">
        <v>2317.0764117001722</v>
      </c>
      <c r="AD38" s="130">
        <v>2292.6299932833717</v>
      </c>
      <c r="AE38" s="130">
        <v>2271.172179081409</v>
      </c>
      <c r="AF38" s="130">
        <v>2251.5707800952277</v>
      </c>
      <c r="AG38" s="130">
        <v>2232.6955419023984</v>
      </c>
      <c r="AH38" s="130">
        <v>2213.4178524574763</v>
      </c>
      <c r="AI38" s="130">
        <v>2192.6105030583672</v>
      </c>
      <c r="AJ38" s="130">
        <v>2169.1474912768658</v>
      </c>
      <c r="AK38" s="130">
        <v>2141.9038573118387</v>
      </c>
      <c r="AL38" s="130">
        <v>2109.7555471855189</v>
      </c>
      <c r="AM38" s="130">
        <v>2071.5792976666289</v>
      </c>
      <c r="AN38" s="130">
        <v>2026.2525389067091</v>
      </c>
    </row>
    <row r="39" spans="1:40" x14ac:dyDescent="0.25">
      <c r="A39" s="20" t="s">
        <v>322</v>
      </c>
      <c r="B39" s="49">
        <v>0.04</v>
      </c>
      <c r="G39" s="122" t="s">
        <v>323</v>
      </c>
      <c r="H39" s="130">
        <v>5782.9608691436943</v>
      </c>
      <c r="I39" s="130">
        <v>5366.8758761524505</v>
      </c>
      <c r="J39" s="130">
        <v>5009.8209277922806</v>
      </c>
      <c r="K39" s="130">
        <v>4691.3567803347096</v>
      </c>
      <c r="L39" s="130">
        <v>4404.3090017505901</v>
      </c>
      <c r="M39" s="130">
        <v>4144.8607940889824</v>
      </c>
      <c r="N39" s="130">
        <v>3910.453609527126</v>
      </c>
      <c r="O39" s="130">
        <v>3699.1087686825394</v>
      </c>
      <c r="P39" s="130">
        <v>3509.152410564634</v>
      </c>
      <c r="Q39" s="130">
        <v>3339.0863670819749</v>
      </c>
      <c r="R39" s="130">
        <v>3187.5209102181198</v>
      </c>
      <c r="S39" s="130">
        <v>3053.1368863320963</v>
      </c>
      <c r="T39" s="130">
        <v>2934.663059218467</v>
      </c>
      <c r="U39" s="130">
        <v>2830.861873605887</v>
      </c>
      <c r="V39" s="130">
        <v>2740.5201422035616</v>
      </c>
      <c r="W39" s="130">
        <v>2662.4427445166129</v>
      </c>
      <c r="X39" s="130">
        <v>2595.4482393091184</v>
      </c>
      <c r="Y39" s="130">
        <v>2538.3657330694277</v>
      </c>
      <c r="Z39" s="130">
        <v>2490.0325962829602</v>
      </c>
      <c r="AA39" s="130">
        <v>2449.2927661686417</v>
      </c>
      <c r="AB39" s="130">
        <v>2414.9954639482694</v>
      </c>
      <c r="AC39" s="130">
        <v>2385.9942107935567</v>
      </c>
      <c r="AD39" s="130">
        <v>2361.1460626964276</v>
      </c>
      <c r="AE39" s="130">
        <v>2339.3110082989474</v>
      </c>
      <c r="AF39" s="130">
        <v>2319.3514897298319</v>
      </c>
      <c r="AG39" s="130">
        <v>2300.1320174751199</v>
      </c>
      <c r="AH39" s="130">
        <v>2280.5188579722121</v>
      </c>
      <c r="AI39" s="130">
        <v>2259.3797780464765</v>
      </c>
      <c r="AJ39" s="130">
        <v>2235.5838342139541</v>
      </c>
      <c r="AK39" s="130">
        <v>2208.0011977179647</v>
      </c>
      <c r="AL39" s="130">
        <v>2175.5030082650896</v>
      </c>
      <c r="AM39" s="130">
        <v>2136.96125099045</v>
      </c>
      <c r="AN39" s="130">
        <v>2091.2486523610996</v>
      </c>
    </row>
    <row r="40" spans="1:40" x14ac:dyDescent="0.25">
      <c r="A40" s="20" t="s">
        <v>324</v>
      </c>
      <c r="B40" s="49">
        <v>0.01</v>
      </c>
    </row>
    <row r="41" spans="1:40" ht="15.75" thickBot="1" x14ac:dyDescent="0.3">
      <c r="B41" s="49"/>
      <c r="G41" s="119" t="s">
        <v>296</v>
      </c>
      <c r="H41" s="132">
        <v>4066.3038662426356</v>
      </c>
      <c r="I41" s="132">
        <v>3786.5949064622014</v>
      </c>
      <c r="J41" s="132">
        <v>3554.0143177959708</v>
      </c>
      <c r="K41" s="132">
        <v>3346.9724987072236</v>
      </c>
      <c r="L41" s="132">
        <v>3158.5542022726108</v>
      </c>
      <c r="M41" s="132">
        <v>2985.4625343448342</v>
      </c>
      <c r="N41" s="132">
        <v>2825.7135096410698</v>
      </c>
      <c r="O41" s="132">
        <v>2677.9036656527396</v>
      </c>
      <c r="P41" s="132">
        <v>2540.9204884654487</v>
      </c>
      <c r="Q41" s="132">
        <v>2413.8118227763439</v>
      </c>
      <c r="R41" s="132">
        <v>2295.7220487286645</v>
      </c>
      <c r="S41" s="132">
        <v>2185.8595068297686</v>
      </c>
      <c r="T41" s="132">
        <v>2083.4797061193522</v>
      </c>
      <c r="U41" s="132">
        <v>1987.876928676676</v>
      </c>
      <c r="V41" s="132">
        <v>1898.3804409593504</v>
      </c>
      <c r="W41" s="132">
        <v>1854.083621985839</v>
      </c>
      <c r="X41" s="132">
        <v>1814.6673285618883</v>
      </c>
      <c r="Y41" s="132">
        <v>1779.594172757983</v>
      </c>
      <c r="Z41" s="132">
        <v>1748.3472542310808</v>
      </c>
      <c r="AA41" s="132">
        <v>1720.4269949696861</v>
      </c>
      <c r="AB41" s="132">
        <v>1695.3484231151876</v>
      </c>
      <c r="AC41" s="132">
        <v>1672.6388411337466</v>
      </c>
      <c r="AD41" s="132">
        <v>1651.8358436568681</v>
      </c>
      <c r="AE41" s="132">
        <v>1632.4856680015851</v>
      </c>
      <c r="AF41" s="132">
        <v>1614.1418705246786</v>
      </c>
      <c r="AG41" s="132">
        <v>1596.3643277150054</v>
      </c>
      <c r="AH41" s="132">
        <v>1578.7185644407884</v>
      </c>
      <c r="AI41" s="132">
        <v>1560.7754145731487</v>
      </c>
      <c r="AJ41" s="132">
        <v>1542.1110224373681</v>
      </c>
      <c r="AK41" s="132">
        <v>1522.3071981105591</v>
      </c>
      <c r="AL41" s="132">
        <v>1500.9521463278811</v>
      </c>
      <c r="AM41" s="132">
        <v>1477.6415986035988</v>
      </c>
      <c r="AN41" s="132">
        <v>1451.9803923218951</v>
      </c>
    </row>
    <row r="42" spans="1:40" ht="16.5" thickTop="1" thickBot="1" x14ac:dyDescent="0.3">
      <c r="A42" s="20" t="s">
        <v>325</v>
      </c>
      <c r="B42" s="49">
        <v>0.3</v>
      </c>
      <c r="G42" s="119" t="s">
        <v>298</v>
      </c>
      <c r="H42" s="133">
        <v>4114.4814943516785</v>
      </c>
      <c r="I42" s="133">
        <v>3831.0774723791287</v>
      </c>
      <c r="J42" s="133">
        <v>3596.0873850497173</v>
      </c>
      <c r="K42" s="133">
        <v>3387.1547807782954</v>
      </c>
      <c r="L42" s="133">
        <v>3197.1276537732224</v>
      </c>
      <c r="M42" s="133">
        <v>3022.6046358760996</v>
      </c>
      <c r="N42" s="133">
        <v>2861.5463508129469</v>
      </c>
      <c r="O42" s="133">
        <v>2712.5163827310885</v>
      </c>
      <c r="P42" s="133">
        <v>2574.3809823232377</v>
      </c>
      <c r="Q42" s="133">
        <v>2446.1734828659551</v>
      </c>
      <c r="R42" s="133">
        <v>2327.0278971553653</v>
      </c>
      <c r="S42" s="133">
        <v>2216.1449027076574</v>
      </c>
      <c r="T42" s="133">
        <v>2112.7741966877438</v>
      </c>
      <c r="U42" s="133">
        <v>2016.2055695689633</v>
      </c>
      <c r="V42" s="133">
        <v>1925.7647725033798</v>
      </c>
      <c r="W42" s="133">
        <v>1881.1218042683281</v>
      </c>
      <c r="X42" s="133">
        <v>1841.3873984989584</v>
      </c>
      <c r="Y42" s="133">
        <v>1806.0210074217043</v>
      </c>
      <c r="Z42" s="133">
        <v>1774.5028810940389</v>
      </c>
      <c r="AA42" s="133">
        <v>1746.3308413621687</v>
      </c>
      <c r="AB42" s="133">
        <v>1721.0175187994719</v>
      </c>
      <c r="AC42" s="133">
        <v>1698.0879841884932</v>
      </c>
      <c r="AD42" s="133">
        <v>1677.077737342951</v>
      </c>
      <c r="AE42" s="133">
        <v>1657.5310345357675</v>
      </c>
      <c r="AF42" s="133">
        <v>1638.9995464593821</v>
      </c>
      <c r="AG42" s="133">
        <v>1621.041344744586</v>
      </c>
      <c r="AH42" s="133">
        <v>1603.2202188195699</v>
      </c>
      <c r="AI42" s="133">
        <v>1585.1053278680952</v>
      </c>
      <c r="AJ42" s="133">
        <v>1566.2711960037341</v>
      </c>
      <c r="AK42" s="133">
        <v>1546.2980634441562</v>
      </c>
      <c r="AL42" s="133">
        <v>1524.7726132968062</v>
      </c>
      <c r="AM42" s="133">
        <v>1501.2891034887616</v>
      </c>
      <c r="AN42" s="133">
        <v>1475.450947600998</v>
      </c>
    </row>
    <row r="43" spans="1:40" ht="16.5" thickTop="1" thickBot="1" x14ac:dyDescent="0.3">
      <c r="A43" s="20" t="s">
        <v>326</v>
      </c>
      <c r="B43" s="49">
        <v>0.7</v>
      </c>
      <c r="G43" s="119" t="s">
        <v>327</v>
      </c>
      <c r="H43" s="133">
        <v>5679.8005659761338</v>
      </c>
      <c r="I43" s="133">
        <v>5180.7338524326624</v>
      </c>
      <c r="J43" s="133">
        <v>4750.9879185237578</v>
      </c>
      <c r="K43" s="133">
        <v>4367.2793547793899</v>
      </c>
      <c r="L43" s="133">
        <v>4021.4670285225939</v>
      </c>
      <c r="M43" s="133">
        <v>3709.0881876322633</v>
      </c>
      <c r="N43" s="133">
        <v>3426.9806188147686</v>
      </c>
      <c r="O43" s="133">
        <v>3172.539683524798</v>
      </c>
      <c r="P43" s="133">
        <v>2943.4353503149287</v>
      </c>
      <c r="Q43" s="133">
        <v>2737.4937111365311</v>
      </c>
      <c r="R43" s="133">
        <v>2552.6466753661039</v>
      </c>
      <c r="S43" s="133">
        <v>2386.9125364234133</v>
      </c>
      <c r="T43" s="133">
        <v>2238.3910249501964</v>
      </c>
      <c r="U43" s="133">
        <v>2105.2649488714073</v>
      </c>
      <c r="V43" s="133">
        <v>1985.8043683793144</v>
      </c>
      <c r="W43" s="133">
        <v>1919.5033974689682</v>
      </c>
      <c r="X43" s="133">
        <v>1863.0155325803414</v>
      </c>
      <c r="Y43" s="133">
        <v>1815.1650227906994</v>
      </c>
      <c r="Z43" s="133">
        <v>1774.8330953994223</v>
      </c>
      <c r="AA43" s="133">
        <v>1740.9496088219705</v>
      </c>
      <c r="AB43" s="133">
        <v>1712.4849817680804</v>
      </c>
      <c r="AC43" s="133">
        <v>1688.4426168258217</v>
      </c>
      <c r="AD43" s="133">
        <v>1667.8520584323298</v>
      </c>
      <c r="AE43" s="133">
        <v>1649.7631119515688</v>
      </c>
      <c r="AF43" s="133">
        <v>1633.241116101663</v>
      </c>
      <c r="AG43" s="133">
        <v>1617.3635188873195</v>
      </c>
      <c r="AH43" s="133">
        <v>1601.2178694827505</v>
      </c>
      <c r="AI43" s="133">
        <v>1583.9013147969783</v>
      </c>
      <c r="AJ43" s="133">
        <v>1564.5216872081048</v>
      </c>
      <c r="AK43" s="133">
        <v>1542.2002957117193</v>
      </c>
      <c r="AL43" s="133">
        <v>1516.0765942743592</v>
      </c>
      <c r="AM43" s="133">
        <v>1485.3150109430453</v>
      </c>
      <c r="AN43" s="133">
        <v>1449.11440187263</v>
      </c>
    </row>
    <row r="44" spans="1:40" ht="15.75" thickTop="1" x14ac:dyDescent="0.25">
      <c r="B44" s="49"/>
      <c r="G44" s="119" t="s">
        <v>328</v>
      </c>
      <c r="H44" s="133">
        <v>5782.9608691436943</v>
      </c>
      <c r="I44" s="133">
        <v>5276.1107934434094</v>
      </c>
      <c r="J44" s="133">
        <v>4841.1928853634081</v>
      </c>
      <c r="K44" s="133">
        <v>4453.3880066891097</v>
      </c>
      <c r="L44" s="133">
        <v>4104.0784489949856</v>
      </c>
      <c r="M44" s="133">
        <v>3788.5894016930129</v>
      </c>
      <c r="N44" s="133">
        <v>3503.6447725184398</v>
      </c>
      <c r="O44" s="133">
        <v>3246.5709526174592</v>
      </c>
      <c r="P44" s="133">
        <v>3014.9924350052202</v>
      </c>
      <c r="Q44" s="133">
        <v>2806.7033732792033</v>
      </c>
      <c r="R44" s="133">
        <v>2619.6121470481935</v>
      </c>
      <c r="S44" s="133">
        <v>2451.7190780336537</v>
      </c>
      <c r="T44" s="133">
        <v>2301.109801268241</v>
      </c>
      <c r="U44" s="133">
        <v>2165.9558621561732</v>
      </c>
      <c r="V44" s="133">
        <v>2044.5182156542946</v>
      </c>
      <c r="W44" s="133">
        <v>1977.526932967053</v>
      </c>
      <c r="X44" s="133">
        <v>1920.4131849492228</v>
      </c>
      <c r="Y44" s="133">
        <v>1871.993617821149</v>
      </c>
      <c r="Z44" s="133">
        <v>1831.1425856106814</v>
      </c>
      <c r="AA44" s="133">
        <v>1796.7836654420178</v>
      </c>
      <c r="AB44" s="133">
        <v>1767.8814761258711</v>
      </c>
      <c r="AC44" s="133">
        <v>1743.4340117203851</v>
      </c>
      <c r="AD44" s="133">
        <v>1722.4657259484072</v>
      </c>
      <c r="AE44" s="133">
        <v>1704.0215915428826</v>
      </c>
      <c r="AF44" s="133">
        <v>1687.162324989888</v>
      </c>
      <c r="AG44" s="133">
        <v>1670.9609255816276</v>
      </c>
      <c r="AH44" s="133">
        <v>1654.5006403191574</v>
      </c>
      <c r="AI44" s="133">
        <v>1636.8744427414722</v>
      </c>
      <c r="AJ44" s="133">
        <v>1617.1861117482051</v>
      </c>
      <c r="AK44" s="133">
        <v>1594.5530225174946</v>
      </c>
      <c r="AL44" s="133">
        <v>1568.1108235308734</v>
      </c>
      <c r="AM44" s="133">
        <v>1537.0202839912367</v>
      </c>
      <c r="AN44" s="133">
        <v>1500.4767772893517</v>
      </c>
    </row>
    <row r="45" spans="1:40" x14ac:dyDescent="0.25">
      <c r="A45" s="1" t="s">
        <v>303</v>
      </c>
      <c r="B45" s="49"/>
    </row>
    <row r="46" spans="1:40" ht="30.75" thickBot="1" x14ac:dyDescent="0.3">
      <c r="A46" s="134">
        <f>B43*SUM(B37:B40,B35)</f>
        <v>0.29399999999999998</v>
      </c>
      <c r="B46" s="49" t="s">
        <v>329</v>
      </c>
      <c r="H46" s="47" t="s">
        <v>330</v>
      </c>
      <c r="I46" s="20" t="s">
        <v>305</v>
      </c>
      <c r="J46" s="20" t="s">
        <v>306</v>
      </c>
      <c r="K46" s="20" t="s">
        <v>331</v>
      </c>
    </row>
    <row r="47" spans="1:40" x14ac:dyDescent="0.25">
      <c r="B47" s="49"/>
      <c r="G47" s="1" t="s">
        <v>332</v>
      </c>
      <c r="H47" s="20">
        <v>3837.7273665048419</v>
      </c>
      <c r="I47" s="20">
        <v>116</v>
      </c>
      <c r="J47" s="20">
        <v>0</v>
      </c>
      <c r="K47" s="124">
        <v>13.57</v>
      </c>
    </row>
    <row r="48" spans="1:40" x14ac:dyDescent="0.25">
      <c r="G48" s="20" t="s">
        <v>333</v>
      </c>
      <c r="H48" s="20">
        <v>3882.8788073149194</v>
      </c>
      <c r="I48" s="20">
        <v>229</v>
      </c>
      <c r="J48" s="20">
        <v>0</v>
      </c>
      <c r="K48" s="127">
        <v>13.57</v>
      </c>
    </row>
    <row r="49" spans="1:39" x14ac:dyDescent="0.25">
      <c r="A49" s="1" t="s">
        <v>334</v>
      </c>
      <c r="G49" s="20" t="s">
        <v>335</v>
      </c>
      <c r="H49" s="20">
        <v>5270.0880017004374</v>
      </c>
      <c r="I49" s="20">
        <v>85</v>
      </c>
      <c r="J49" s="20">
        <v>0</v>
      </c>
      <c r="K49" s="128">
        <v>27.6</v>
      </c>
    </row>
    <row r="50" spans="1:39" x14ac:dyDescent="0.25">
      <c r="A50" s="51" t="s">
        <v>277</v>
      </c>
      <c r="B50" s="118" t="s">
        <v>278</v>
      </c>
      <c r="G50" s="20" t="s">
        <v>336</v>
      </c>
      <c r="H50" s="20">
        <v>5366.8758761524505</v>
      </c>
      <c r="I50" s="20">
        <v>86</v>
      </c>
      <c r="J50" s="20">
        <v>0</v>
      </c>
      <c r="K50" s="127">
        <v>27.6</v>
      </c>
    </row>
    <row r="51" spans="1:39" x14ac:dyDescent="0.25">
      <c r="A51" s="20" t="s">
        <v>318</v>
      </c>
      <c r="B51" s="49">
        <v>0.28000000000000003</v>
      </c>
    </row>
    <row r="52" spans="1:39" x14ac:dyDescent="0.25">
      <c r="A52" s="20" t="s">
        <v>292</v>
      </c>
      <c r="B52" s="49">
        <v>0.21</v>
      </c>
      <c r="G52" s="122" t="s">
        <v>312</v>
      </c>
      <c r="H52" s="20">
        <v>1.0940919037199124</v>
      </c>
    </row>
    <row r="53" spans="1:39" x14ac:dyDescent="0.25">
      <c r="A53" s="20" t="s">
        <v>319</v>
      </c>
      <c r="B53" s="49">
        <v>0.43</v>
      </c>
    </row>
    <row r="54" spans="1:39" x14ac:dyDescent="0.25">
      <c r="A54" s="20" t="s">
        <v>320</v>
      </c>
      <c r="B54" s="49">
        <v>0.02</v>
      </c>
      <c r="G54" s="122" t="s">
        <v>313</v>
      </c>
    </row>
    <row r="55" spans="1:39" x14ac:dyDescent="0.25">
      <c r="A55" s="20" t="s">
        <v>295</v>
      </c>
      <c r="B55" s="49">
        <v>0.02</v>
      </c>
      <c r="G55" s="20" t="s">
        <v>314</v>
      </c>
      <c r="H55" s="20">
        <v>2019</v>
      </c>
      <c r="I55" s="20">
        <v>2020</v>
      </c>
      <c r="J55" s="20">
        <v>2021</v>
      </c>
      <c r="K55" s="20">
        <v>2022</v>
      </c>
      <c r="L55" s="20">
        <v>2023</v>
      </c>
      <c r="M55" s="20">
        <v>2024</v>
      </c>
      <c r="N55" s="20">
        <v>2025</v>
      </c>
      <c r="O55" s="20">
        <v>2026</v>
      </c>
      <c r="P55" s="20">
        <v>2027</v>
      </c>
      <c r="Q55" s="20">
        <v>2028</v>
      </c>
      <c r="R55" s="20">
        <v>2029</v>
      </c>
      <c r="S55" s="20">
        <v>2030</v>
      </c>
      <c r="T55" s="20">
        <v>2031</v>
      </c>
      <c r="U55" s="20">
        <v>2032</v>
      </c>
      <c r="V55" s="20">
        <v>2033</v>
      </c>
      <c r="W55" s="20">
        <v>2034</v>
      </c>
      <c r="X55" s="20">
        <v>2035</v>
      </c>
      <c r="Y55" s="20">
        <v>2036</v>
      </c>
      <c r="Z55" s="20">
        <v>2037</v>
      </c>
      <c r="AA55" s="20">
        <v>2038</v>
      </c>
      <c r="AB55" s="20">
        <v>2039</v>
      </c>
      <c r="AC55" s="20">
        <v>2040</v>
      </c>
      <c r="AD55" s="20">
        <v>2041</v>
      </c>
      <c r="AE55" s="20">
        <v>2042</v>
      </c>
      <c r="AF55" s="20">
        <v>2043</v>
      </c>
      <c r="AG55" s="20">
        <v>2044</v>
      </c>
      <c r="AH55" s="20">
        <v>2045</v>
      </c>
      <c r="AI55" s="20">
        <v>2046</v>
      </c>
      <c r="AJ55" s="20">
        <v>2047</v>
      </c>
      <c r="AK55" s="20">
        <v>2048</v>
      </c>
      <c r="AL55" s="20">
        <v>2049</v>
      </c>
      <c r="AM55" s="20">
        <v>2050</v>
      </c>
    </row>
    <row r="56" spans="1:39" x14ac:dyDescent="0.25">
      <c r="A56" s="20" t="s">
        <v>322</v>
      </c>
      <c r="B56" s="49">
        <v>0.02</v>
      </c>
      <c r="G56" s="20" t="s">
        <v>337</v>
      </c>
      <c r="H56" s="129">
        <v>4423250</v>
      </c>
      <c r="I56" s="129">
        <v>4181490</v>
      </c>
      <c r="J56" s="129">
        <v>3954720</v>
      </c>
      <c r="K56" s="129">
        <v>3739810</v>
      </c>
      <c r="L56" s="129">
        <v>3534430</v>
      </c>
      <c r="M56" s="129">
        <v>3336910</v>
      </c>
      <c r="N56" s="129">
        <v>3145900</v>
      </c>
      <c r="O56" s="129">
        <v>3020320</v>
      </c>
      <c r="P56" s="129">
        <v>2907270</v>
      </c>
      <c r="Q56" s="129">
        <v>2804270</v>
      </c>
      <c r="R56" s="129">
        <v>2709490</v>
      </c>
      <c r="S56" s="129">
        <v>2621520</v>
      </c>
      <c r="T56" s="129">
        <v>2544960</v>
      </c>
      <c r="U56" s="129">
        <v>2473570</v>
      </c>
      <c r="V56" s="129">
        <v>2406530</v>
      </c>
      <c r="W56" s="129">
        <v>2343190</v>
      </c>
      <c r="X56" s="129">
        <v>2283050</v>
      </c>
      <c r="Y56" s="129">
        <v>2248640</v>
      </c>
      <c r="Z56" s="129">
        <v>2218210</v>
      </c>
      <c r="AA56" s="129">
        <v>2191220</v>
      </c>
      <c r="AB56" s="129">
        <v>2167230</v>
      </c>
      <c r="AC56" s="129">
        <v>2145850</v>
      </c>
      <c r="AD56" s="129">
        <v>2109910</v>
      </c>
      <c r="AE56" s="129">
        <v>2077410</v>
      </c>
      <c r="AF56" s="129">
        <v>2047900</v>
      </c>
      <c r="AG56" s="129">
        <v>2021000</v>
      </c>
      <c r="AH56" s="129">
        <v>1996390</v>
      </c>
      <c r="AI56" s="129">
        <v>1968700</v>
      </c>
      <c r="AJ56" s="129">
        <v>1943870</v>
      </c>
      <c r="AK56" s="129">
        <v>1921510</v>
      </c>
      <c r="AL56" s="129">
        <v>1901280</v>
      </c>
      <c r="AM56" s="129">
        <v>1882930</v>
      </c>
    </row>
    <row r="57" spans="1:39" x14ac:dyDescent="0.25">
      <c r="A57" s="20" t="s">
        <v>324</v>
      </c>
      <c r="B57" s="49">
        <v>0.02</v>
      </c>
      <c r="G57" s="20" t="s">
        <v>316</v>
      </c>
      <c r="H57" s="129">
        <v>4839.4420131291017</v>
      </c>
      <c r="I57" s="129">
        <v>4574.9343544857766</v>
      </c>
      <c r="J57" s="129">
        <v>4326.8271334792116</v>
      </c>
      <c r="K57" s="129">
        <v>4091.6958424507652</v>
      </c>
      <c r="L57" s="129">
        <v>3866.9912472647698</v>
      </c>
      <c r="M57" s="129">
        <v>3650.8862144420127</v>
      </c>
      <c r="N57" s="129">
        <v>3441.9037199124723</v>
      </c>
      <c r="O57" s="129">
        <v>3304.5076586433256</v>
      </c>
      <c r="P57" s="129">
        <v>3180.8205689277897</v>
      </c>
      <c r="Q57" s="129">
        <v>3068.129102844639</v>
      </c>
      <c r="R57" s="129">
        <v>2964.4310722100654</v>
      </c>
      <c r="S57" s="129">
        <v>2868.1838074398247</v>
      </c>
      <c r="T57" s="129">
        <v>2784.4201312910282</v>
      </c>
      <c r="U57" s="129">
        <v>2706.3129102844637</v>
      </c>
      <c r="V57" s="129">
        <v>2632.9649890590808</v>
      </c>
      <c r="W57" s="129">
        <v>2563.6652078774614</v>
      </c>
      <c r="X57" s="129">
        <v>2497.8665207877461</v>
      </c>
      <c r="Y57" s="129">
        <v>2460.2188183807439</v>
      </c>
      <c r="Z57" s="129">
        <v>2426.9256017505472</v>
      </c>
      <c r="AA57" s="129">
        <v>2397.3960612691462</v>
      </c>
      <c r="AB57" s="129">
        <v>2371.148796498906</v>
      </c>
      <c r="AC57" s="129">
        <v>2347.7571115973742</v>
      </c>
      <c r="AD57" s="129">
        <v>2308.4354485776803</v>
      </c>
      <c r="AE57" s="129">
        <v>2272.8774617067834</v>
      </c>
      <c r="AF57" s="129">
        <v>2240.5908096280082</v>
      </c>
      <c r="AG57" s="129">
        <v>2211.1597374179428</v>
      </c>
      <c r="AH57" s="129">
        <v>2184.234135667396</v>
      </c>
      <c r="AI57" s="129">
        <v>2153.9387308533915</v>
      </c>
      <c r="AJ57" s="129">
        <v>2126.7724288840263</v>
      </c>
      <c r="AK57" s="129">
        <v>2102.3085339168488</v>
      </c>
      <c r="AL57" s="129">
        <v>2080.1750547045949</v>
      </c>
      <c r="AM57" s="129">
        <v>2060.0984682713347</v>
      </c>
    </row>
    <row r="59" spans="1:39" x14ac:dyDescent="0.25">
      <c r="A59" s="20" t="s">
        <v>325</v>
      </c>
      <c r="B59" s="49">
        <v>0.3</v>
      </c>
    </row>
    <row r="60" spans="1:39" x14ac:dyDescent="0.25">
      <c r="A60" s="20" t="s">
        <v>326</v>
      </c>
      <c r="B60" s="49">
        <v>0.7</v>
      </c>
    </row>
    <row r="62" spans="1:39" x14ac:dyDescent="0.25">
      <c r="A62" s="1" t="s">
        <v>303</v>
      </c>
      <c r="B62" s="49"/>
    </row>
    <row r="63" spans="1:39" x14ac:dyDescent="0.25">
      <c r="A63" s="134">
        <f>B60*SUM(B54:B57,B52)</f>
        <v>0.20299999999999999</v>
      </c>
      <c r="B63" s="49" t="s">
        <v>329</v>
      </c>
    </row>
    <row r="65" spans="1:55" x14ac:dyDescent="0.25">
      <c r="A65" s="1" t="s">
        <v>338</v>
      </c>
    </row>
    <row r="66" spans="1:55" x14ac:dyDescent="0.25">
      <c r="A66" s="20">
        <v>2019</v>
      </c>
      <c r="B66" s="91">
        <v>2025</v>
      </c>
      <c r="C66" s="91">
        <v>2030</v>
      </c>
      <c r="D66" s="91">
        <v>2035</v>
      </c>
      <c r="E66" s="91">
        <v>2040</v>
      </c>
      <c r="F66" s="91">
        <v>2050</v>
      </c>
    </row>
    <row r="67" spans="1:55" x14ac:dyDescent="0.25">
      <c r="A67" s="125">
        <f>AVERAGE(A46,A63)</f>
        <v>0.2485</v>
      </c>
      <c r="B67" s="134">
        <v>7.4999999999999997E-2</v>
      </c>
      <c r="C67" s="134">
        <v>4.4999999999999998E-2</v>
      </c>
      <c r="D67" s="134">
        <v>0.02</v>
      </c>
      <c r="E67" s="134">
        <v>3.5000000000000003E-2</v>
      </c>
      <c r="F67" s="126">
        <v>0.05</v>
      </c>
    </row>
    <row r="70" spans="1:55" x14ac:dyDescent="0.25">
      <c r="A70" s="116" t="s">
        <v>238</v>
      </c>
      <c r="B70" s="116"/>
      <c r="C70" s="116"/>
    </row>
    <row r="71" spans="1:55" x14ac:dyDescent="0.25">
      <c r="H71" s="20">
        <v>2019</v>
      </c>
      <c r="I71" s="20">
        <v>2020</v>
      </c>
      <c r="J71" s="20">
        <v>2021</v>
      </c>
      <c r="K71" s="20">
        <v>2022</v>
      </c>
      <c r="L71" s="20">
        <v>2023</v>
      </c>
      <c r="M71" s="20">
        <v>2024</v>
      </c>
      <c r="N71" s="20">
        <v>2025</v>
      </c>
      <c r="O71" s="20">
        <v>2026</v>
      </c>
      <c r="P71" s="20">
        <v>2027</v>
      </c>
      <c r="Q71" s="20">
        <v>2028</v>
      </c>
      <c r="R71" s="20">
        <v>2029</v>
      </c>
      <c r="S71" s="20">
        <v>2030</v>
      </c>
      <c r="T71" s="20">
        <v>2031</v>
      </c>
      <c r="U71" s="20">
        <v>2032</v>
      </c>
      <c r="V71" s="20">
        <v>2033</v>
      </c>
      <c r="W71" s="20">
        <v>2034</v>
      </c>
      <c r="X71" s="20">
        <v>2035</v>
      </c>
      <c r="Y71" s="20">
        <v>2036</v>
      </c>
      <c r="Z71" s="20">
        <v>2037</v>
      </c>
      <c r="AA71" s="20">
        <v>2038</v>
      </c>
      <c r="AB71" s="20">
        <v>2039</v>
      </c>
      <c r="AC71" s="20">
        <v>2040</v>
      </c>
      <c r="AD71" s="20">
        <v>2041</v>
      </c>
      <c r="AE71" s="20">
        <v>2042</v>
      </c>
      <c r="AF71" s="20">
        <v>2043</v>
      </c>
      <c r="AG71" s="20">
        <v>2044</v>
      </c>
      <c r="AH71" s="20">
        <v>2045</v>
      </c>
      <c r="AI71" s="20">
        <v>2046</v>
      </c>
      <c r="AJ71" s="20">
        <v>2047</v>
      </c>
      <c r="AK71" s="20">
        <v>2048</v>
      </c>
      <c r="AL71" s="20">
        <v>2049</v>
      </c>
      <c r="AM71" s="20">
        <v>2050</v>
      </c>
    </row>
    <row r="72" spans="1:55" x14ac:dyDescent="0.25">
      <c r="A72" s="1" t="s">
        <v>339</v>
      </c>
      <c r="B72" s="13" t="s">
        <v>340</v>
      </c>
      <c r="G72" s="119" t="s">
        <v>341</v>
      </c>
      <c r="H72" s="120">
        <v>1405.2587147241061</v>
      </c>
      <c r="I72" s="120">
        <v>1340.034403263646</v>
      </c>
      <c r="J72" s="120">
        <v>1274.8100918031862</v>
      </c>
      <c r="K72" s="120">
        <v>1209.5857803427261</v>
      </c>
      <c r="L72" s="120">
        <v>1144.3614688822663</v>
      </c>
      <c r="M72" s="120">
        <v>1079.1371574218063</v>
      </c>
      <c r="N72" s="120">
        <v>1013.9128459613463</v>
      </c>
      <c r="O72" s="120">
        <v>948.68853450088636</v>
      </c>
      <c r="P72" s="120">
        <v>883.46422304042642</v>
      </c>
      <c r="Q72" s="120">
        <v>818.23991157996647</v>
      </c>
      <c r="R72" s="120">
        <v>753.01560011950653</v>
      </c>
      <c r="S72" s="120">
        <v>687.7912886590459</v>
      </c>
      <c r="T72" s="120">
        <v>679.28046270433572</v>
      </c>
      <c r="U72" s="120">
        <v>670.76963674962565</v>
      </c>
      <c r="V72" s="120">
        <v>662.25881079491535</v>
      </c>
      <c r="W72" s="120">
        <v>653.74798484020516</v>
      </c>
      <c r="X72" s="120">
        <v>645.23715888549498</v>
      </c>
      <c r="Y72" s="120">
        <v>636.72633293078491</v>
      </c>
      <c r="Z72" s="120">
        <v>628.21550697607472</v>
      </c>
      <c r="AA72" s="120">
        <v>619.70468102136454</v>
      </c>
      <c r="AB72" s="120">
        <v>611.19385506665435</v>
      </c>
      <c r="AC72" s="120">
        <v>602.68302911194417</v>
      </c>
      <c r="AD72" s="120">
        <v>594.17220315723398</v>
      </c>
      <c r="AE72" s="120">
        <v>585.66137720252379</v>
      </c>
      <c r="AF72" s="120">
        <v>577.15055124781372</v>
      </c>
      <c r="AG72" s="120">
        <v>568.63972529310354</v>
      </c>
      <c r="AH72" s="120">
        <v>560.12889933839324</v>
      </c>
      <c r="AI72" s="120">
        <v>551.61807338368305</v>
      </c>
      <c r="AJ72" s="120">
        <v>543.10724742897298</v>
      </c>
      <c r="AK72" s="120">
        <v>534.5964214742628</v>
      </c>
      <c r="AL72" s="120">
        <v>526.08559551955261</v>
      </c>
      <c r="AM72" s="120">
        <v>517.57476956484322</v>
      </c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</row>
    <row r="73" spans="1:55" x14ac:dyDescent="0.25">
      <c r="A73" s="20" t="s">
        <v>342</v>
      </c>
      <c r="B73" s="49">
        <v>0.63</v>
      </c>
      <c r="G73" s="122" t="s">
        <v>343</v>
      </c>
      <c r="H73" s="123">
        <v>1405.2587147241061</v>
      </c>
      <c r="I73" s="123">
        <v>1353.5428568822824</v>
      </c>
      <c r="J73" s="123">
        <v>1301.826999040459</v>
      </c>
      <c r="K73" s="123">
        <v>1250.1111411986353</v>
      </c>
      <c r="L73" s="123">
        <v>1198.3952833568119</v>
      </c>
      <c r="M73" s="123">
        <v>1146.6794255149882</v>
      </c>
      <c r="N73" s="123">
        <v>1094.9635676731648</v>
      </c>
      <c r="O73" s="123">
        <v>1043.2477098313411</v>
      </c>
      <c r="P73" s="123">
        <v>991.53185198951746</v>
      </c>
      <c r="Q73" s="123">
        <v>939.81599414769391</v>
      </c>
      <c r="R73" s="123">
        <v>888.10013630587036</v>
      </c>
      <c r="S73" s="123">
        <v>836.38427846404704</v>
      </c>
      <c r="T73" s="123">
        <v>828.95462897379696</v>
      </c>
      <c r="U73" s="123">
        <v>821.52497948354687</v>
      </c>
      <c r="V73" s="123">
        <v>814.09532999329679</v>
      </c>
      <c r="W73" s="123">
        <v>806.6656805030467</v>
      </c>
      <c r="X73" s="123">
        <v>799.23603101279662</v>
      </c>
      <c r="Y73" s="123">
        <v>791.80638152254653</v>
      </c>
      <c r="Z73" s="123">
        <v>784.37673203229645</v>
      </c>
      <c r="AA73" s="123">
        <v>776.94708254204636</v>
      </c>
      <c r="AB73" s="123">
        <v>769.51743305179627</v>
      </c>
      <c r="AC73" s="123">
        <v>762.08778356154619</v>
      </c>
      <c r="AD73" s="123">
        <v>754.65813407129599</v>
      </c>
      <c r="AE73" s="123">
        <v>747.2284845810459</v>
      </c>
      <c r="AF73" s="123">
        <v>739.79883509079582</v>
      </c>
      <c r="AG73" s="123">
        <v>732.36918560054573</v>
      </c>
      <c r="AH73" s="123">
        <v>724.93953611029565</v>
      </c>
      <c r="AI73" s="123">
        <v>717.50988662004556</v>
      </c>
      <c r="AJ73" s="123">
        <v>710.08023712979548</v>
      </c>
      <c r="AK73" s="123">
        <v>702.65058763954539</v>
      </c>
      <c r="AL73" s="123">
        <v>695.22093814929531</v>
      </c>
      <c r="AM73" s="123">
        <v>687.7912886590459</v>
      </c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</row>
    <row r="74" spans="1:55" ht="15.75" thickBot="1" x14ac:dyDescent="0.3">
      <c r="A74" s="20" t="s">
        <v>344</v>
      </c>
      <c r="B74" s="49">
        <v>0.56000000000000005</v>
      </c>
      <c r="G74" s="135" t="s">
        <v>345</v>
      </c>
      <c r="H74" s="136">
        <v>1405.2587147241061</v>
      </c>
      <c r="I74" s="136">
        <v>1388.7232339337274</v>
      </c>
      <c r="J74" s="136">
        <v>1372.1877531433488</v>
      </c>
      <c r="K74" s="136">
        <v>1355.6522723529702</v>
      </c>
      <c r="L74" s="136">
        <v>1339.1167915625915</v>
      </c>
      <c r="M74" s="136">
        <v>1322.5813107722126</v>
      </c>
      <c r="N74" s="136">
        <v>1306.0458299818342</v>
      </c>
      <c r="O74" s="136">
        <v>1289.5103491914554</v>
      </c>
      <c r="P74" s="136">
        <v>1272.9748684010769</v>
      </c>
      <c r="Q74" s="136">
        <v>1256.4393876106981</v>
      </c>
      <c r="R74" s="136">
        <v>1239.9039068203197</v>
      </c>
      <c r="S74" s="136">
        <v>1223.3684260299397</v>
      </c>
      <c r="T74" s="136">
        <v>1204.0192186516449</v>
      </c>
      <c r="U74" s="136">
        <v>1184.6700112733502</v>
      </c>
      <c r="V74" s="136">
        <v>1165.3208038950556</v>
      </c>
      <c r="W74" s="136">
        <v>1145.9715965167609</v>
      </c>
      <c r="X74" s="136">
        <v>1126.6223891384661</v>
      </c>
      <c r="Y74" s="136">
        <v>1107.2731817601714</v>
      </c>
      <c r="Z74" s="136">
        <v>1087.9239743818766</v>
      </c>
      <c r="AA74" s="136">
        <v>1068.5747670035817</v>
      </c>
      <c r="AB74" s="136">
        <v>1049.2255596252871</v>
      </c>
      <c r="AC74" s="136">
        <v>1029.8763522469924</v>
      </c>
      <c r="AD74" s="136">
        <v>1010.5271448686977</v>
      </c>
      <c r="AE74" s="136">
        <v>991.17793749040311</v>
      </c>
      <c r="AF74" s="136">
        <v>971.82873011210859</v>
      </c>
      <c r="AG74" s="136">
        <v>952.47952273381395</v>
      </c>
      <c r="AH74" s="136">
        <v>933.1303153555192</v>
      </c>
      <c r="AI74" s="136">
        <v>913.78110797722468</v>
      </c>
      <c r="AJ74" s="136">
        <v>894.43190059893004</v>
      </c>
      <c r="AK74" s="136">
        <v>875.08269322063541</v>
      </c>
      <c r="AL74" s="136">
        <v>855.73348584234077</v>
      </c>
      <c r="AM74" s="136">
        <v>836.38427846404704</v>
      </c>
    </row>
    <row r="75" spans="1:55" ht="15.75" thickTop="1" x14ac:dyDescent="0.25">
      <c r="A75" s="20" t="s">
        <v>346</v>
      </c>
      <c r="B75" s="49">
        <v>0.35</v>
      </c>
    </row>
    <row r="76" spans="1:55" x14ac:dyDescent="0.25">
      <c r="G76" s="122" t="s">
        <v>312</v>
      </c>
      <c r="H76" s="20">
        <v>1.0940919037199124</v>
      </c>
    </row>
    <row r="77" spans="1:55" x14ac:dyDescent="0.25">
      <c r="A77" s="20" t="s">
        <v>347</v>
      </c>
    </row>
    <row r="78" spans="1:55" x14ac:dyDescent="0.25">
      <c r="G78" s="122" t="s">
        <v>348</v>
      </c>
    </row>
    <row r="79" spans="1:55" x14ac:dyDescent="0.25">
      <c r="A79" s="1" t="s">
        <v>303</v>
      </c>
      <c r="G79" s="20" t="s">
        <v>314</v>
      </c>
      <c r="H79" s="20">
        <v>2019</v>
      </c>
      <c r="I79" s="20">
        <v>2020</v>
      </c>
      <c r="J79" s="20">
        <v>2021</v>
      </c>
      <c r="K79" s="20">
        <v>2022</v>
      </c>
      <c r="L79" s="20">
        <v>2023</v>
      </c>
      <c r="M79" s="20">
        <v>2024</v>
      </c>
      <c r="N79" s="20">
        <v>2025</v>
      </c>
      <c r="O79" s="20">
        <v>2026</v>
      </c>
      <c r="P79" s="20">
        <v>2027</v>
      </c>
      <c r="Q79" s="20">
        <v>2028</v>
      </c>
      <c r="R79" s="20">
        <v>2029</v>
      </c>
      <c r="S79" s="20">
        <v>2030</v>
      </c>
      <c r="T79" s="20">
        <v>2031</v>
      </c>
      <c r="U79" s="20">
        <v>2032</v>
      </c>
      <c r="V79" s="20">
        <v>2033</v>
      </c>
      <c r="W79" s="20">
        <v>2034</v>
      </c>
      <c r="X79" s="20">
        <v>2035</v>
      </c>
      <c r="Y79" s="20">
        <v>2036</v>
      </c>
      <c r="Z79" s="20">
        <v>2037</v>
      </c>
      <c r="AA79" s="20">
        <v>2038</v>
      </c>
      <c r="AB79" s="20">
        <v>2039</v>
      </c>
      <c r="AC79" s="20">
        <v>2040</v>
      </c>
      <c r="AD79" s="20">
        <v>2041</v>
      </c>
      <c r="AE79" s="20">
        <v>2042</v>
      </c>
      <c r="AF79" s="20">
        <v>2043</v>
      </c>
      <c r="AG79" s="20">
        <v>2044</v>
      </c>
      <c r="AH79" s="20">
        <v>2045</v>
      </c>
      <c r="AI79" s="20">
        <v>2046</v>
      </c>
      <c r="AJ79" s="20">
        <v>2047</v>
      </c>
      <c r="AK79" s="20">
        <v>2048</v>
      </c>
      <c r="AL79" s="20">
        <v>2049</v>
      </c>
      <c r="AM79" s="20">
        <v>2050</v>
      </c>
    </row>
    <row r="80" spans="1:55" x14ac:dyDescent="0.25">
      <c r="A80" s="20">
        <v>2019</v>
      </c>
      <c r="B80" s="91">
        <v>2022</v>
      </c>
      <c r="C80" s="91">
        <v>2025</v>
      </c>
      <c r="D80" s="91">
        <v>2030</v>
      </c>
      <c r="E80" s="91">
        <v>2050</v>
      </c>
      <c r="G80" s="20" t="s">
        <v>349</v>
      </c>
      <c r="H80" s="129">
        <v>1284590</v>
      </c>
      <c r="I80" s="129">
        <v>1229040</v>
      </c>
      <c r="J80" s="129">
        <v>1178660</v>
      </c>
      <c r="K80" s="129">
        <v>1136050</v>
      </c>
      <c r="L80" s="129">
        <v>1085640</v>
      </c>
      <c r="M80" s="129">
        <v>1039120</v>
      </c>
      <c r="N80" s="129">
        <v>995354</v>
      </c>
      <c r="O80" s="129">
        <v>939315</v>
      </c>
      <c r="P80" s="20">
        <v>890717</v>
      </c>
      <c r="Q80" s="20">
        <v>849846</v>
      </c>
      <c r="R80" s="20">
        <v>809039</v>
      </c>
      <c r="S80" s="20">
        <v>768330</v>
      </c>
      <c r="T80" s="20">
        <v>756887</v>
      </c>
      <c r="U80" s="20">
        <v>745970</v>
      </c>
      <c r="V80" s="20">
        <v>736054</v>
      </c>
      <c r="W80" s="20">
        <v>726041</v>
      </c>
      <c r="X80" s="20">
        <v>716504</v>
      </c>
      <c r="Y80" s="20">
        <v>708013</v>
      </c>
      <c r="Z80" s="20">
        <v>700205</v>
      </c>
      <c r="AA80" s="20">
        <v>692725</v>
      </c>
      <c r="AB80" s="20">
        <v>685768</v>
      </c>
      <c r="AC80" s="20">
        <v>679585</v>
      </c>
      <c r="AD80" s="20">
        <v>673475</v>
      </c>
      <c r="AE80" s="20">
        <v>668263</v>
      </c>
      <c r="AF80" s="20">
        <v>663295</v>
      </c>
      <c r="AG80" s="20">
        <v>658560</v>
      </c>
      <c r="AH80" s="20">
        <v>654379</v>
      </c>
      <c r="AI80" s="20">
        <v>650244</v>
      </c>
      <c r="AJ80" s="20">
        <v>646558</v>
      </c>
      <c r="AK80" s="20">
        <v>643059</v>
      </c>
      <c r="AL80" s="20">
        <v>639844</v>
      </c>
      <c r="AM80" s="20">
        <v>636767</v>
      </c>
    </row>
    <row r="81" spans="1:39" x14ac:dyDescent="0.25">
      <c r="A81" s="137">
        <f>B75</f>
        <v>0.35</v>
      </c>
      <c r="B81" s="49">
        <v>0.34</v>
      </c>
      <c r="C81" s="49">
        <v>0.3</v>
      </c>
      <c r="D81" s="126">
        <v>0.2</v>
      </c>
      <c r="E81" s="126">
        <v>0.215</v>
      </c>
      <c r="G81" s="20" t="s">
        <v>350</v>
      </c>
      <c r="H81" s="129">
        <v>1405.4595185995624</v>
      </c>
      <c r="I81" s="129">
        <v>1344.6827133479212</v>
      </c>
      <c r="J81" s="129">
        <v>1289.5623632385118</v>
      </c>
      <c r="K81" s="129">
        <v>1242.9431072210064</v>
      </c>
      <c r="L81" s="129">
        <v>1187.7899343544857</v>
      </c>
      <c r="M81" s="129">
        <v>1136.8927789934355</v>
      </c>
      <c r="N81" s="129">
        <v>1089.0087527352296</v>
      </c>
      <c r="O81" s="129">
        <v>1027.6969365426696</v>
      </c>
      <c r="P81" s="129">
        <v>974.52625820568926</v>
      </c>
      <c r="Q81" s="129">
        <v>929.80962800875272</v>
      </c>
      <c r="R81" s="129">
        <v>885.16301969365418</v>
      </c>
      <c r="S81" s="129">
        <v>840.62363238512023</v>
      </c>
      <c r="T81" s="129">
        <v>828.10393873085343</v>
      </c>
      <c r="U81" s="129">
        <v>816.15973741794312</v>
      </c>
      <c r="V81" s="129">
        <v>805.31072210065633</v>
      </c>
      <c r="W81" s="129">
        <v>794.3555798687089</v>
      </c>
      <c r="X81" s="129">
        <v>783.92122538293211</v>
      </c>
      <c r="Y81" s="129">
        <v>774.6312910284463</v>
      </c>
      <c r="Z81" s="129">
        <v>766.08862144420118</v>
      </c>
      <c r="AA81" s="129">
        <v>757.90481400437625</v>
      </c>
      <c r="AB81" s="129">
        <v>750.29321663019687</v>
      </c>
      <c r="AC81" s="129">
        <v>743.52844638949671</v>
      </c>
      <c r="AD81" s="129">
        <v>736.84354485776794</v>
      </c>
      <c r="AE81" s="129">
        <v>731.14113785557981</v>
      </c>
      <c r="AF81" s="129">
        <v>725.7056892778993</v>
      </c>
      <c r="AG81" s="129">
        <v>720.52516411378554</v>
      </c>
      <c r="AH81" s="129">
        <v>715.95076586433254</v>
      </c>
      <c r="AI81" s="129">
        <v>711.42669584245073</v>
      </c>
      <c r="AJ81" s="129">
        <v>707.39387308533912</v>
      </c>
      <c r="AK81" s="129">
        <v>703.56564551422309</v>
      </c>
      <c r="AL81" s="129">
        <v>700.04814004376362</v>
      </c>
      <c r="AM81" s="129">
        <v>696.68161925601748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7"/>
  <sheetViews>
    <sheetView workbookViewId="0">
      <selection activeCell="F20" sqref="F20"/>
    </sheetView>
  </sheetViews>
  <sheetFormatPr defaultRowHeight="15" x14ac:dyDescent="0.25"/>
  <cols>
    <col min="1" max="1" width="9.140625" style="96"/>
    <col min="2" max="2" width="17.28515625" style="96" customWidth="1"/>
    <col min="3" max="3" width="31" style="96" customWidth="1"/>
    <col min="4" max="5" width="17.28515625" style="96" customWidth="1"/>
    <col min="6" max="6" width="23.140625" style="96" customWidth="1"/>
    <col min="7" max="7" width="17.28515625" style="96" customWidth="1"/>
    <col min="8" max="8" width="22.5703125" style="96" customWidth="1"/>
    <col min="9" max="9" width="17.28515625" style="96" customWidth="1"/>
    <col min="10" max="10" width="22.42578125" style="96" customWidth="1"/>
    <col min="11" max="11" width="20.85546875" style="96" customWidth="1"/>
    <col min="12" max="12" width="28.140625" style="96" customWidth="1"/>
    <col min="13" max="13" width="19.140625" style="96" bestFit="1" customWidth="1"/>
    <col min="14" max="14" width="22.140625" style="96" bestFit="1" customWidth="1"/>
    <col min="15" max="16" width="9.140625" style="96"/>
    <col min="17" max="17" width="11.7109375" style="96" customWidth="1"/>
    <col min="18" max="16384" width="9.140625" style="96"/>
  </cols>
  <sheetData>
    <row r="1" spans="1:17" ht="60" x14ac:dyDescent="0.25">
      <c r="A1" s="94" t="s">
        <v>28</v>
      </c>
      <c r="B1" s="94" t="s">
        <v>77</v>
      </c>
      <c r="C1" s="94" t="s">
        <v>78</v>
      </c>
      <c r="D1" s="94" t="s">
        <v>79</v>
      </c>
      <c r="E1" s="94" t="s">
        <v>80</v>
      </c>
      <c r="F1" s="94" t="s">
        <v>81</v>
      </c>
      <c r="G1" s="94" t="s">
        <v>82</v>
      </c>
      <c r="H1" s="94" t="s">
        <v>83</v>
      </c>
      <c r="I1" s="94" t="s">
        <v>84</v>
      </c>
      <c r="J1" s="94" t="s">
        <v>85</v>
      </c>
      <c r="K1" s="94" t="s">
        <v>86</v>
      </c>
      <c r="L1" s="94" t="s">
        <v>87</v>
      </c>
      <c r="M1" s="94" t="s">
        <v>88</v>
      </c>
      <c r="N1" s="94" t="s">
        <v>89</v>
      </c>
      <c r="O1" s="95" t="s">
        <v>183</v>
      </c>
      <c r="P1" s="95" t="s">
        <v>184</v>
      </c>
      <c r="Q1" s="95" t="s">
        <v>185</v>
      </c>
    </row>
    <row r="2" spans="1:17" x14ac:dyDescent="0.25">
      <c r="A2" s="97">
        <v>2018</v>
      </c>
      <c r="B2" s="98">
        <f>INDEX('CEA NEP'!$C$18:$M$18,1,MATCH($A2,'CEA NEP'!$C$17:$M$17,0))</f>
        <v>945151.09566537838</v>
      </c>
      <c r="C2" s="98">
        <f>'IESS Annual Cap Costs'!C4</f>
        <v>697021.3098933202</v>
      </c>
      <c r="D2" s="98">
        <f>INDEX('CEA NEP'!$C$24:$M$24,1,MATCH($A2,'CEA NEP'!$C$17:$M$17,0))</f>
        <v>1454078.6087159668</v>
      </c>
      <c r="E2" s="98">
        <f>INDEX('CEA NEP'!$C$19:$M$19,1,MATCH($A2,'CEA NEP'!$C$17:$M$17,0))</f>
        <v>1454078.6087159668</v>
      </c>
      <c r="F2" s="98">
        <f>'CEA NEP'!D21</f>
        <v>838891.50502844236</v>
      </c>
      <c r="G2" s="98">
        <f>'CEA NEP'!D20</f>
        <v>768983.87960940553</v>
      </c>
      <c r="H2" s="98">
        <f>'Solar Thermal Base Cost'!F14</f>
        <v>2715972.8030847143</v>
      </c>
      <c r="I2" s="98">
        <f>INDEX('CEA NEP'!$C$22:$M$22,1,MATCH($A2,'CEA NEP'!$C$17:$M$17,0))</f>
        <v>796946.92977702012</v>
      </c>
      <c r="J2" s="98">
        <f>'IESS Annual Cap Costs'!J4</f>
        <v>5020996.8961110096</v>
      </c>
      <c r="K2" s="98">
        <f>L2</f>
        <v>651000</v>
      </c>
      <c r="L2" s="98">
        <f>Lazard!B28*10^3</f>
        <v>651000</v>
      </c>
      <c r="M2" s="98">
        <f>B2*'Coal Cost Multipliers'!$B$33</f>
        <v>1095375.5660881668</v>
      </c>
      <c r="N2" s="98">
        <f>'IESS Annual Cap Costs'!N4</f>
        <v>2839145.5176191349</v>
      </c>
      <c r="O2" s="98">
        <f t="shared" ref="O2:O34" si="0">K2</f>
        <v>651000</v>
      </c>
      <c r="P2" s="98">
        <f t="shared" ref="P2:P34" si="1">K2</f>
        <v>651000</v>
      </c>
      <c r="Q2" s="98">
        <f>'Waste to Energy'!B12</f>
        <v>2974456.819426693</v>
      </c>
    </row>
    <row r="3" spans="1:17" x14ac:dyDescent="0.25">
      <c r="A3" s="97">
        <v>2019</v>
      </c>
      <c r="B3" s="98">
        <f>INDEX('CEA NEP'!$C$18:$M$18,1,MATCH($A3,'CEA NEP'!$C$17:$M$17,0))</f>
        <v>982901.21339165827</v>
      </c>
      <c r="C3" s="98">
        <f>'IESS Annual Cap Costs'!C5</f>
        <v>704053.31385795155</v>
      </c>
      <c r="D3" s="98">
        <f>INDEX('CEA NEP'!$C$24:$M$24,1,MATCH($A3,'CEA NEP'!$C$17:$M$17,0))</f>
        <v>1510004.7090511965</v>
      </c>
      <c r="E3" s="98">
        <f>INDEX('CEA NEP'!$C$19:$M$19,1,MATCH($A3,'CEA NEP'!$C$17:$M$17,0))</f>
        <v>1510004.7090511965</v>
      </c>
      <c r="F3" s="138">
        <f>$F$2</f>
        <v>838891.50502844236</v>
      </c>
      <c r="G3" s="138">
        <f>$G$2</f>
        <v>768983.87960940553</v>
      </c>
      <c r="H3" s="98">
        <f>H2*'IESS Annual Cap Costs'!H5/'IESS Annual Cap Costs'!H4</f>
        <v>2745983.7177102477</v>
      </c>
      <c r="I3" s="98">
        <f>INDEX('CEA NEP'!$C$22:$M$22,1,MATCH($A3,'CEA NEP'!$C$17:$M$17,0))</f>
        <v>796946.92977702012</v>
      </c>
      <c r="J3" s="98">
        <f>'IESS Annual Cap Costs'!J5</f>
        <v>5020996.8961110096</v>
      </c>
      <c r="K3" s="98">
        <f t="shared" ref="K3:K34" si="2">L3</f>
        <v>651000</v>
      </c>
      <c r="L3" s="98">
        <f t="shared" ref="L3:L34" si="3">L$2</f>
        <v>651000</v>
      </c>
      <c r="M3" s="98">
        <f>B3*'Coal Cost Multipliers'!$B$33</f>
        <v>1139125.7736094396</v>
      </c>
      <c r="N3" s="138">
        <f>$N$2</f>
        <v>2839145.5176191349</v>
      </c>
      <c r="O3" s="98">
        <f t="shared" si="0"/>
        <v>651000</v>
      </c>
      <c r="P3" s="98">
        <f t="shared" si="1"/>
        <v>651000</v>
      </c>
      <c r="Q3" s="98">
        <f>'Waste to Energy'!B13</f>
        <v>2953660.7631915286</v>
      </c>
    </row>
    <row r="4" spans="1:17" x14ac:dyDescent="0.25">
      <c r="A4" s="97">
        <v>2020</v>
      </c>
      <c r="B4" s="98">
        <f>INDEX('CEA NEP'!$C$18:$M$18,1,MATCH($A4,'CEA NEP'!$C$17:$M$17,0))</f>
        <v>1022049.483626319</v>
      </c>
      <c r="C4" s="98">
        <f>'IESS Annual Cap Costs'!C6</f>
        <v>711085.3178225829</v>
      </c>
      <c r="D4" s="98">
        <f>INDEX('CEA NEP'!$C$24:$M$24,1,MATCH($A4,'CEA NEP'!$C$17:$M$17,0))</f>
        <v>1565930.8093864257</v>
      </c>
      <c r="E4" s="98">
        <f>INDEX('CEA NEP'!$C$19:$M$19,1,MATCH($A4,'CEA NEP'!$C$17:$M$17,0))</f>
        <v>1565930.8093864257</v>
      </c>
      <c r="F4" s="138">
        <f t="shared" ref="F4:F34" si="4">$F$2</f>
        <v>838891.50502844236</v>
      </c>
      <c r="G4" s="138">
        <f t="shared" ref="G4:G34" si="5">$G$2</f>
        <v>768983.87960940553</v>
      </c>
      <c r="H4" s="98">
        <f>H3*'IESS Annual Cap Costs'!H6/'IESS Annual Cap Costs'!H5</f>
        <v>2775994.6323357816</v>
      </c>
      <c r="I4" s="98">
        <f>INDEX('CEA NEP'!$C$22:$M$22,1,MATCH($A4,'CEA NEP'!$C$17:$M$17,0))</f>
        <v>796946.92977702012</v>
      </c>
      <c r="J4" s="98">
        <f>'IESS Annual Cap Costs'!J6</f>
        <v>5020996.8961110096</v>
      </c>
      <c r="K4" s="98">
        <f t="shared" si="2"/>
        <v>651000</v>
      </c>
      <c r="L4" s="98">
        <f t="shared" si="3"/>
        <v>651000</v>
      </c>
      <c r="M4" s="98">
        <f>B4*'Coal Cost Multipliers'!$B$33</f>
        <v>1184496.3591870561</v>
      </c>
      <c r="N4" s="138">
        <f t="shared" ref="N4:N34" si="6">$N$2</f>
        <v>2839145.5176191349</v>
      </c>
      <c r="O4" s="98">
        <f t="shared" si="0"/>
        <v>651000</v>
      </c>
      <c r="P4" s="98">
        <f t="shared" si="1"/>
        <v>651000</v>
      </c>
      <c r="Q4" s="98">
        <f>'Waste to Energy'!B14</f>
        <v>2932864.7069563642</v>
      </c>
    </row>
    <row r="5" spans="1:17" x14ac:dyDescent="0.25">
      <c r="A5" s="97">
        <v>2021</v>
      </c>
      <c r="B5" s="98">
        <f>INDEX('CEA NEP'!$C$18:$M$18,1,MATCH($A5,'CEA NEP'!$C$17:$M$17,0))</f>
        <v>1062595.9063693604</v>
      </c>
      <c r="C5" s="98">
        <f>'IESS Annual Cap Costs'!C7</f>
        <v>718117.32178721426</v>
      </c>
      <c r="D5" s="98">
        <f>INDEX('CEA NEP'!$C$24:$M$24,1,MATCH($A5,'CEA NEP'!$C$17:$M$17,0))</f>
        <v>1635838.4348054626</v>
      </c>
      <c r="E5" s="98">
        <f>INDEX('CEA NEP'!$C$19:$M$19,1,MATCH($A5,'CEA NEP'!$C$17:$M$17,0))</f>
        <v>1635838.4348054626</v>
      </c>
      <c r="F5" s="138">
        <f t="shared" si="4"/>
        <v>838891.50502844236</v>
      </c>
      <c r="G5" s="138">
        <f t="shared" si="5"/>
        <v>768983.87960940553</v>
      </c>
      <c r="H5" s="98">
        <f>H4*'IESS Annual Cap Costs'!H7/'IESS Annual Cap Costs'!H6</f>
        <v>2806005.5469613154</v>
      </c>
      <c r="I5" s="98">
        <f>INDEX('CEA NEP'!$C$22:$M$22,1,MATCH($A5,'CEA NEP'!$C$17:$M$17,0))</f>
        <v>796946.92977702012</v>
      </c>
      <c r="J5" s="98">
        <f>'IESS Annual Cap Costs'!J7</f>
        <v>5020996.8961110096</v>
      </c>
      <c r="K5" s="98">
        <f t="shared" si="2"/>
        <v>651000</v>
      </c>
      <c r="L5" s="98">
        <f t="shared" si="3"/>
        <v>651000</v>
      </c>
      <c r="M5" s="98">
        <f>B5*'Coal Cost Multipliers'!$B$33</f>
        <v>1231487.322821016</v>
      </c>
      <c r="N5" s="138">
        <f t="shared" si="6"/>
        <v>2839145.5176191349</v>
      </c>
      <c r="O5" s="98">
        <f t="shared" si="0"/>
        <v>651000</v>
      </c>
      <c r="P5" s="98">
        <f t="shared" si="1"/>
        <v>651000</v>
      </c>
      <c r="Q5" s="98">
        <f>'Waste to Energy'!B15</f>
        <v>2912068.6507211998</v>
      </c>
    </row>
    <row r="6" spans="1:17" x14ac:dyDescent="0.25">
      <c r="A6" s="97">
        <v>2022</v>
      </c>
      <c r="B6" s="98">
        <f>INDEX('CEA NEP'!$C$18:$M$18,1,MATCH($A6,'CEA NEP'!$C$17:$M$17,0))</f>
        <v>1104540.4816207823</v>
      </c>
      <c r="C6" s="98">
        <f>'IESS Annual Cap Costs'!C8</f>
        <v>725149.32575184549</v>
      </c>
      <c r="D6" s="98">
        <f>INDEX('CEA NEP'!$C$24:$M$24,1,MATCH($A6,'CEA NEP'!$C$17:$M$17,0))</f>
        <v>1705746.0602244993</v>
      </c>
      <c r="E6" s="98">
        <f>INDEX('CEA NEP'!$C$19:$M$19,1,MATCH($A6,'CEA NEP'!$C$17:$M$17,0))</f>
        <v>1705746.0602244993</v>
      </c>
      <c r="F6" s="138">
        <f t="shared" si="4"/>
        <v>838891.50502844236</v>
      </c>
      <c r="G6" s="138">
        <f t="shared" si="5"/>
        <v>768983.87960940553</v>
      </c>
      <c r="H6" s="98">
        <f>H5*'IESS Annual Cap Costs'!H8/'IESS Annual Cap Costs'!H7</f>
        <v>2836016.4615868502</v>
      </c>
      <c r="I6" s="98">
        <f>INDEX('CEA NEP'!$C$22:$M$22,1,MATCH($A6,'CEA NEP'!$C$17:$M$17,0))</f>
        <v>796946.92977702012</v>
      </c>
      <c r="J6" s="98">
        <f>'IESS Annual Cap Costs'!J8</f>
        <v>5020996.8961110096</v>
      </c>
      <c r="K6" s="98">
        <f t="shared" si="2"/>
        <v>651000</v>
      </c>
      <c r="L6" s="98">
        <f t="shared" si="3"/>
        <v>651000</v>
      </c>
      <c r="M6" s="98">
        <f>B6*'Coal Cost Multipliers'!$B$33</f>
        <v>1280098.664511319</v>
      </c>
      <c r="N6" s="138">
        <f t="shared" si="6"/>
        <v>2839145.5176191349</v>
      </c>
      <c r="O6" s="98">
        <f t="shared" si="0"/>
        <v>651000</v>
      </c>
      <c r="P6" s="98">
        <f t="shared" si="1"/>
        <v>651000</v>
      </c>
      <c r="Q6" s="98">
        <f>'Waste to Energy'!B16</f>
        <v>2891272.5944860321</v>
      </c>
    </row>
    <row r="7" spans="1:17" x14ac:dyDescent="0.25">
      <c r="A7" s="97">
        <v>2023</v>
      </c>
      <c r="B7" s="98">
        <f>INDEX('CEA NEP'!$C$18:$M$18,1,MATCH($A7,'CEA NEP'!$C$17:$M$17,0))</f>
        <v>1146485.0568722044</v>
      </c>
      <c r="C7" s="98">
        <f>'IESS Annual Cap Costs'!C9</f>
        <v>732181.32971647684</v>
      </c>
      <c r="D7" s="98">
        <f>INDEX('CEA NEP'!$C$24:$M$24,1,MATCH($A7,'CEA NEP'!$C$17:$M$17,0))</f>
        <v>1775653.6856435363</v>
      </c>
      <c r="E7" s="98">
        <f>INDEX('CEA NEP'!$C$19:$M$19,1,MATCH($A7,'CEA NEP'!$C$17:$M$17,0))</f>
        <v>1775653.6856435363</v>
      </c>
      <c r="F7" s="138">
        <f t="shared" si="4"/>
        <v>838891.50502844236</v>
      </c>
      <c r="G7" s="138">
        <f t="shared" si="5"/>
        <v>768983.87960940553</v>
      </c>
      <c r="H7" s="98">
        <f>H6*'IESS Annual Cap Costs'!H9/'IESS Annual Cap Costs'!H8</f>
        <v>2874821.6620558943</v>
      </c>
      <c r="I7" s="98">
        <f>INDEX('CEA NEP'!$C$22:$M$22,1,MATCH($A7,'CEA NEP'!$C$17:$M$17,0))</f>
        <v>796946.92977702012</v>
      </c>
      <c r="J7" s="98">
        <f>'IESS Annual Cap Costs'!J9</f>
        <v>5020996.8961110096</v>
      </c>
      <c r="K7" s="98">
        <f t="shared" si="2"/>
        <v>651000</v>
      </c>
      <c r="L7" s="98">
        <f t="shared" si="3"/>
        <v>651000</v>
      </c>
      <c r="M7" s="98">
        <f>B7*'Coal Cost Multipliers'!$B$33</f>
        <v>1328710.0062016223</v>
      </c>
      <c r="N7" s="138">
        <f t="shared" si="6"/>
        <v>2839145.5176191349</v>
      </c>
      <c r="O7" s="98">
        <f t="shared" si="0"/>
        <v>651000</v>
      </c>
      <c r="P7" s="98">
        <f t="shared" si="1"/>
        <v>651000</v>
      </c>
      <c r="Q7" s="98">
        <f>'Waste to Energy'!B17</f>
        <v>2871352.9304363653</v>
      </c>
    </row>
    <row r="8" spans="1:17" x14ac:dyDescent="0.25">
      <c r="A8" s="97">
        <v>2024</v>
      </c>
      <c r="B8" s="98">
        <f>INDEX('CEA NEP'!$C$18:$M$18,1,MATCH($A8,'CEA NEP'!$C$17:$M$17,0))</f>
        <v>1188429.6321236268</v>
      </c>
      <c r="C8" s="98">
        <f>'IESS Annual Cap Costs'!C10</f>
        <v>739213.3336811082</v>
      </c>
      <c r="D8" s="98">
        <f>INDEX('CEA NEP'!$C$24:$M$24,1,MATCH($A8,'CEA NEP'!$C$17:$M$17,0))</f>
        <v>1845561.3110625728</v>
      </c>
      <c r="E8" s="98">
        <f>INDEX('CEA NEP'!$C$19:$M$19,1,MATCH($A8,'CEA NEP'!$C$17:$M$17,0))</f>
        <v>1845561.3110625728</v>
      </c>
      <c r="F8" s="138">
        <f t="shared" si="4"/>
        <v>838891.50502844236</v>
      </c>
      <c r="G8" s="138">
        <f t="shared" si="5"/>
        <v>768983.87960940553</v>
      </c>
      <c r="H8" s="98">
        <f>H7*'IESS Annual Cap Costs'!H10/'IESS Annual Cap Costs'!H9</f>
        <v>2913626.8625249378</v>
      </c>
      <c r="I8" s="98">
        <f>INDEX('CEA NEP'!$C$22:$M$22,1,MATCH($A8,'CEA NEP'!$C$17:$M$17,0))</f>
        <v>796946.92977702012</v>
      </c>
      <c r="J8" s="98">
        <f>'IESS Annual Cap Costs'!J10</f>
        <v>5020996.8961110096</v>
      </c>
      <c r="K8" s="98">
        <f t="shared" si="2"/>
        <v>651000</v>
      </c>
      <c r="L8" s="98">
        <f t="shared" si="3"/>
        <v>651000</v>
      </c>
      <c r="M8" s="98">
        <f>B8*'Coal Cost Multipliers'!$B$33</f>
        <v>1377321.3478919258</v>
      </c>
      <c r="N8" s="138">
        <f t="shared" si="6"/>
        <v>2839145.5176191349</v>
      </c>
      <c r="O8" s="98">
        <f t="shared" si="0"/>
        <v>651000</v>
      </c>
      <c r="P8" s="98">
        <f t="shared" si="1"/>
        <v>651000</v>
      </c>
      <c r="Q8" s="98">
        <f>'Waste to Energy'!B18</f>
        <v>2851433.2663867027</v>
      </c>
    </row>
    <row r="9" spans="1:17" x14ac:dyDescent="0.25">
      <c r="A9" s="97">
        <v>2025</v>
      </c>
      <c r="B9" s="98">
        <f>INDEX('CEA NEP'!$C$18:$M$18,1,MATCH($A9,'CEA NEP'!$C$17:$M$17,0))</f>
        <v>1244355.7324588562</v>
      </c>
      <c r="C9" s="98">
        <f>'IESS Annual Cap Costs'!C11</f>
        <v>746245.33764573955</v>
      </c>
      <c r="D9" s="98">
        <f>INDEX('CEA NEP'!$C$24:$M$24,1,MATCH($A9,'CEA NEP'!$C$17:$M$17,0))</f>
        <v>1915468.9364816097</v>
      </c>
      <c r="E9" s="98">
        <f>INDEX('CEA NEP'!$C$19:$M$19,1,MATCH($A9,'CEA NEP'!$C$17:$M$17,0))</f>
        <v>1915468.9364816097</v>
      </c>
      <c r="F9" s="138">
        <f t="shared" si="4"/>
        <v>838891.50502844236</v>
      </c>
      <c r="G9" s="138">
        <f t="shared" si="5"/>
        <v>768983.87960940553</v>
      </c>
      <c r="H9" s="98">
        <f>H8*'IESS Annual Cap Costs'!H11/'IESS Annual Cap Costs'!H10</f>
        <v>2952432.0629939814</v>
      </c>
      <c r="I9" s="98">
        <f>INDEX('CEA NEP'!$C$22:$M$22,1,MATCH($A9,'CEA NEP'!$C$17:$M$17,0))</f>
        <v>796946.92977702012</v>
      </c>
      <c r="J9" s="98">
        <f>'IESS Annual Cap Costs'!J11</f>
        <v>5020996.8961110096</v>
      </c>
      <c r="K9" s="98">
        <f t="shared" si="2"/>
        <v>651000</v>
      </c>
      <c r="L9" s="98">
        <f t="shared" si="3"/>
        <v>651000</v>
      </c>
      <c r="M9" s="98">
        <f>B9*'Coal Cost Multipliers'!$B$33</f>
        <v>1442136.4701456635</v>
      </c>
      <c r="N9" s="138">
        <f t="shared" si="6"/>
        <v>2839145.5176191349</v>
      </c>
      <c r="O9" s="98">
        <f t="shared" si="0"/>
        <v>651000</v>
      </c>
      <c r="P9" s="98">
        <f t="shared" si="1"/>
        <v>651000</v>
      </c>
      <c r="Q9" s="98">
        <f>'Waste to Energy'!B19</f>
        <v>2831513.6023370475</v>
      </c>
    </row>
    <row r="10" spans="1:17" x14ac:dyDescent="0.25">
      <c r="A10" s="97">
        <v>2026</v>
      </c>
      <c r="B10" s="98">
        <f>INDEX('CEA NEP'!$C$18:$M$18,1,MATCH($A10,'CEA NEP'!$C$17:$M$17,0))</f>
        <v>1293291.0702521817</v>
      </c>
      <c r="C10" s="98">
        <f>'IESS Annual Cap Costs'!C12</f>
        <v>753277.3416103709</v>
      </c>
      <c r="D10" s="98">
        <f>INDEX('CEA NEP'!$C$24:$M$24,1,MATCH($A10,'CEA NEP'!$C$17:$M$17,0))</f>
        <v>1985376.5619006469</v>
      </c>
      <c r="E10" s="98">
        <f>INDEX('CEA NEP'!$C$19:$M$19,1,MATCH($A10,'CEA NEP'!$C$17:$M$17,0))</f>
        <v>1985376.5619006469</v>
      </c>
      <c r="F10" s="138">
        <f t="shared" si="4"/>
        <v>838891.50502844236</v>
      </c>
      <c r="G10" s="138">
        <f t="shared" si="5"/>
        <v>768983.87960940553</v>
      </c>
      <c r="H10" s="98">
        <f>H9*'IESS Annual Cap Costs'!H12/'IESS Annual Cap Costs'!H11</f>
        <v>2991237.263463025</v>
      </c>
      <c r="I10" s="98">
        <f>INDEX('CEA NEP'!$C$22:$M$22,1,MATCH($A10,'CEA NEP'!$C$17:$M$17,0))</f>
        <v>796946.92977702012</v>
      </c>
      <c r="J10" s="98">
        <f>'IESS Annual Cap Costs'!J12</f>
        <v>5020996.8961110096</v>
      </c>
      <c r="K10" s="98">
        <f t="shared" si="2"/>
        <v>651000</v>
      </c>
      <c r="L10" s="98">
        <f t="shared" si="3"/>
        <v>651000</v>
      </c>
      <c r="M10" s="98">
        <f>B10*'Coal Cost Multipliers'!$B$33</f>
        <v>1498849.7021176836</v>
      </c>
      <c r="N10" s="138">
        <f t="shared" si="6"/>
        <v>2839145.5176191349</v>
      </c>
      <c r="O10" s="98">
        <f t="shared" si="0"/>
        <v>651000</v>
      </c>
      <c r="P10" s="98">
        <f t="shared" si="1"/>
        <v>651000</v>
      </c>
      <c r="Q10" s="98">
        <f>'Waste to Energy'!B20</f>
        <v>2811593.9382873848</v>
      </c>
    </row>
    <row r="11" spans="1:17" x14ac:dyDescent="0.25">
      <c r="A11" s="97">
        <v>2027</v>
      </c>
      <c r="B11" s="98">
        <f>B10*'IESS Annual Cap Costs'!B13/'IESS Annual Cap Costs'!B12</f>
        <v>1306839.8206140203</v>
      </c>
      <c r="C11" s="98">
        <f>'IESS Annual Cap Costs'!C13</f>
        <v>760309.34557500202</v>
      </c>
      <c r="D11" s="98">
        <f>D10*'IESS Annual Cap Costs'!D13/'IESS Annual Cap Costs'!D12</f>
        <v>2133576.1577339745</v>
      </c>
      <c r="E11" s="98">
        <f>E10*'IESS Annual Cap Costs'!E13/'IESS Annual Cap Costs'!E12</f>
        <v>1885308.374445213</v>
      </c>
      <c r="F11" s="138">
        <f t="shared" si="4"/>
        <v>838891.50502844236</v>
      </c>
      <c r="G11" s="138">
        <f t="shared" si="5"/>
        <v>768983.87960940553</v>
      </c>
      <c r="H11" s="98">
        <f>H10*'IESS Annual Cap Costs'!H13/'IESS Annual Cap Costs'!H12</f>
        <v>3030042.4639320699</v>
      </c>
      <c r="I11" s="98">
        <f>I10*'IESS Annual Cap Costs'!I13/'IESS Annual Cap Costs'!I12</f>
        <v>796946.92977702012</v>
      </c>
      <c r="J11" s="98">
        <f>'IESS Annual Cap Costs'!J13</f>
        <v>5020996.8961110096</v>
      </c>
      <c r="K11" s="98">
        <f t="shared" si="2"/>
        <v>651000</v>
      </c>
      <c r="L11" s="98">
        <f t="shared" si="3"/>
        <v>651000</v>
      </c>
      <c r="M11" s="98">
        <f>B11*'Coal Cost Multipliers'!$B$33</f>
        <v>1514551.9217579605</v>
      </c>
      <c r="N11" s="138">
        <f t="shared" si="6"/>
        <v>2839145.5176191349</v>
      </c>
      <c r="O11" s="98">
        <f t="shared" si="0"/>
        <v>651000</v>
      </c>
      <c r="P11" s="98">
        <f t="shared" si="1"/>
        <v>651000</v>
      </c>
      <c r="Q11" s="98">
        <f>'Waste to Energy'!B21</f>
        <v>2791674.2742377212</v>
      </c>
    </row>
    <row r="12" spans="1:17" x14ac:dyDescent="0.25">
      <c r="A12" s="97">
        <v>2028</v>
      </c>
      <c r="B12" s="98">
        <f>B11*'IESS Annual Cap Costs'!B14/'IESS Annual Cap Costs'!B13</f>
        <v>1340974.2366529652</v>
      </c>
      <c r="C12" s="98">
        <f>'IESS Annual Cap Costs'!C14</f>
        <v>767341.34953963337</v>
      </c>
      <c r="D12" s="98">
        <f>D11*'IESS Annual Cap Costs'!D14/'IESS Annual Cap Costs'!D13</f>
        <v>1974525.3033663556</v>
      </c>
      <c r="E12" s="98">
        <f>E11*'IESS Annual Cap Costs'!E14/'IESS Annual Cap Costs'!E13</f>
        <v>1905127.1767902004</v>
      </c>
      <c r="F12" s="138">
        <f t="shared" si="4"/>
        <v>838891.50502844236</v>
      </c>
      <c r="G12" s="138">
        <f t="shared" si="5"/>
        <v>768983.87960940553</v>
      </c>
      <c r="H12" s="98">
        <f>H11*'IESS Annual Cap Costs'!H14/'IESS Annual Cap Costs'!H13</f>
        <v>3075023.6651144214</v>
      </c>
      <c r="I12" s="98">
        <f>I11*'IESS Annual Cap Costs'!I14/'IESS Annual Cap Costs'!I13</f>
        <v>796946.92977702012</v>
      </c>
      <c r="J12" s="98">
        <f>'IESS Annual Cap Costs'!J14</f>
        <v>5020996.8961110096</v>
      </c>
      <c r="K12" s="98">
        <f t="shared" si="2"/>
        <v>651000</v>
      </c>
      <c r="L12" s="98">
        <f t="shared" si="3"/>
        <v>651000</v>
      </c>
      <c r="M12" s="98">
        <f>B12*'Coal Cost Multipliers'!$B$33</f>
        <v>1554111.7397206388</v>
      </c>
      <c r="N12" s="138">
        <f t="shared" si="6"/>
        <v>2839145.5176191349</v>
      </c>
      <c r="O12" s="98">
        <f t="shared" si="0"/>
        <v>651000</v>
      </c>
      <c r="P12" s="98">
        <f t="shared" si="1"/>
        <v>651000</v>
      </c>
      <c r="Q12" s="98">
        <f>'Waste to Energy'!B22</f>
        <v>2772612.7442030236</v>
      </c>
    </row>
    <row r="13" spans="1:17" x14ac:dyDescent="0.25">
      <c r="A13" s="97">
        <v>2029</v>
      </c>
      <c r="B13" s="98">
        <f>B12*'IESS Annual Cap Costs'!B15/'IESS Annual Cap Costs'!B14</f>
        <v>1375108.65269191</v>
      </c>
      <c r="C13" s="98">
        <f>'IESS Annual Cap Costs'!C15</f>
        <v>774373.35350426473</v>
      </c>
      <c r="D13" s="98">
        <f>D12*'IESS Annual Cap Costs'!D15/'IESS Annual Cap Costs'!D14</f>
        <v>1815474.4489987369</v>
      </c>
      <c r="E13" s="98">
        <f>E12*'IESS Annual Cap Costs'!E15/'IESS Annual Cap Costs'!E14</f>
        <v>1924945.9791351876</v>
      </c>
      <c r="F13" s="138">
        <f t="shared" si="4"/>
        <v>838891.50502844236</v>
      </c>
      <c r="G13" s="138">
        <f t="shared" si="5"/>
        <v>768983.87960940553</v>
      </c>
      <c r="H13" s="98">
        <f>H12*'IESS Annual Cap Costs'!H15/'IESS Annual Cap Costs'!H14</f>
        <v>3120004.8662967728</v>
      </c>
      <c r="I13" s="98">
        <f>I12*'IESS Annual Cap Costs'!I15/'IESS Annual Cap Costs'!I14</f>
        <v>796946.92977702012</v>
      </c>
      <c r="J13" s="98">
        <f>'IESS Annual Cap Costs'!J15</f>
        <v>5020996.8961110096</v>
      </c>
      <c r="K13" s="98">
        <f t="shared" si="2"/>
        <v>651000</v>
      </c>
      <c r="L13" s="98">
        <f t="shared" si="3"/>
        <v>651000</v>
      </c>
      <c r="M13" s="98">
        <f>B13*'Coal Cost Multipliers'!$B$33</f>
        <v>1593671.557683317</v>
      </c>
      <c r="N13" s="138">
        <f t="shared" si="6"/>
        <v>2839145.5176191349</v>
      </c>
      <c r="O13" s="98">
        <f t="shared" si="0"/>
        <v>651000</v>
      </c>
      <c r="P13" s="98">
        <f t="shared" si="1"/>
        <v>651000</v>
      </c>
      <c r="Q13" s="98">
        <f>'Waste to Energy'!B23</f>
        <v>2753551.21416834</v>
      </c>
    </row>
    <row r="14" spans="1:17" x14ac:dyDescent="0.25">
      <c r="A14" s="97">
        <v>2030</v>
      </c>
      <c r="B14" s="98">
        <f>B13*'IESS Annual Cap Costs'!B16/'IESS Annual Cap Costs'!B15</f>
        <v>1409243.0687308547</v>
      </c>
      <c r="C14" s="98">
        <f>'IESS Annual Cap Costs'!C16</f>
        <v>781405.35746889608</v>
      </c>
      <c r="D14" s="98">
        <f>D13*'IESS Annual Cap Costs'!D16/'IESS Annual Cap Costs'!D15</f>
        <v>1656423.594631118</v>
      </c>
      <c r="E14" s="98">
        <f>E13*'IESS Annual Cap Costs'!E16/'IESS Annual Cap Costs'!E15</f>
        <v>1944764.7814801747</v>
      </c>
      <c r="F14" s="138">
        <f t="shared" si="4"/>
        <v>838891.50502844236</v>
      </c>
      <c r="G14" s="138">
        <f t="shared" si="5"/>
        <v>768983.87960940553</v>
      </c>
      <c r="H14" s="98">
        <f>H13*'IESS Annual Cap Costs'!H16/'IESS Annual Cap Costs'!H15</f>
        <v>3164986.0674791238</v>
      </c>
      <c r="I14" s="98">
        <f>I13*'IESS Annual Cap Costs'!I16/'IESS Annual Cap Costs'!I15</f>
        <v>796946.92977702012</v>
      </c>
      <c r="J14" s="98">
        <f>'IESS Annual Cap Costs'!J16</f>
        <v>5020996.8961110096</v>
      </c>
      <c r="K14" s="98">
        <f t="shared" si="2"/>
        <v>651000</v>
      </c>
      <c r="L14" s="98">
        <f t="shared" si="3"/>
        <v>651000</v>
      </c>
      <c r="M14" s="98">
        <f>B14*'Coal Cost Multipliers'!$B$33</f>
        <v>1633231.3756459949</v>
      </c>
      <c r="N14" s="138">
        <f t="shared" si="6"/>
        <v>2839145.5176191349</v>
      </c>
      <c r="O14" s="98">
        <f t="shared" si="0"/>
        <v>651000</v>
      </c>
      <c r="P14" s="98">
        <f t="shared" si="1"/>
        <v>651000</v>
      </c>
      <c r="Q14" s="98">
        <f>'Waste to Energy'!B24</f>
        <v>2734489.6841336489</v>
      </c>
    </row>
    <row r="15" spans="1:17" x14ac:dyDescent="0.25">
      <c r="A15" s="97">
        <v>2031</v>
      </c>
      <c r="B15" s="98">
        <f>B14*'IESS Annual Cap Costs'!B17/'IESS Annual Cap Costs'!B16</f>
        <v>1443377.4847697995</v>
      </c>
      <c r="C15" s="98">
        <f>'IESS Annual Cap Costs'!C17</f>
        <v>788437.36143352743</v>
      </c>
      <c r="D15" s="98">
        <f>D14*'IESS Annual Cap Costs'!D17/'IESS Annual Cap Costs'!D16</f>
        <v>1497372.7402634991</v>
      </c>
      <c r="E15" s="98">
        <f>E14*'IESS Annual Cap Costs'!E17/'IESS Annual Cap Costs'!E16</f>
        <v>1964583.5838251619</v>
      </c>
      <c r="F15" s="138">
        <f t="shared" si="4"/>
        <v>838891.50502844236</v>
      </c>
      <c r="G15" s="138">
        <f t="shared" si="5"/>
        <v>768983.87960940553</v>
      </c>
      <c r="H15" s="98">
        <f>H14*'IESS Annual Cap Costs'!H17/'IESS Annual Cap Costs'!H16</f>
        <v>3209967.2686614753</v>
      </c>
      <c r="I15" s="98">
        <f>I14*'IESS Annual Cap Costs'!I17/'IESS Annual Cap Costs'!I16</f>
        <v>796946.92977702012</v>
      </c>
      <c r="J15" s="98">
        <f>'IESS Annual Cap Costs'!J17</f>
        <v>5020996.8961110096</v>
      </c>
      <c r="K15" s="98">
        <f t="shared" si="2"/>
        <v>651000</v>
      </c>
      <c r="L15" s="98">
        <f t="shared" si="3"/>
        <v>651000</v>
      </c>
      <c r="M15" s="98">
        <f>B15*'Coal Cost Multipliers'!$B$33</f>
        <v>1672791.1936086731</v>
      </c>
      <c r="N15" s="138">
        <f t="shared" si="6"/>
        <v>2839145.5176191349</v>
      </c>
      <c r="O15" s="98">
        <f t="shared" si="0"/>
        <v>651000</v>
      </c>
      <c r="P15" s="98">
        <f t="shared" si="1"/>
        <v>651000</v>
      </c>
      <c r="Q15" s="98">
        <f>'Waste to Energy'!B25</f>
        <v>2715428.1540989578</v>
      </c>
    </row>
    <row r="16" spans="1:17" x14ac:dyDescent="0.25">
      <c r="A16" s="97">
        <v>2032</v>
      </c>
      <c r="B16" s="98">
        <f>B15*'IESS Annual Cap Costs'!B18/'IESS Annual Cap Costs'!B17</f>
        <v>1477511.9008087446</v>
      </c>
      <c r="C16" s="98">
        <f>'IESS Annual Cap Costs'!C18</f>
        <v>795469.36539815855</v>
      </c>
      <c r="D16" s="98">
        <f>D15*'IESS Annual Cap Costs'!D18/'IESS Annual Cap Costs'!D17</f>
        <v>1338321.8858958806</v>
      </c>
      <c r="E16" s="98">
        <f>E15*'IESS Annual Cap Costs'!E18/'IESS Annual Cap Costs'!E17</f>
        <v>1984402.3861701486</v>
      </c>
      <c r="F16" s="138">
        <f t="shared" si="4"/>
        <v>838891.50502844236</v>
      </c>
      <c r="G16" s="138">
        <f t="shared" si="5"/>
        <v>768983.87960940553</v>
      </c>
      <c r="H16" s="98">
        <f>H15*'IESS Annual Cap Costs'!H18/'IESS Annual Cap Costs'!H17</f>
        <v>3254948.4698438249</v>
      </c>
      <c r="I16" s="98">
        <f>I15*'IESS Annual Cap Costs'!I18/'IESS Annual Cap Costs'!I17</f>
        <v>796946.92977702012</v>
      </c>
      <c r="J16" s="98">
        <f>'IESS Annual Cap Costs'!J18</f>
        <v>5020996.8961110096</v>
      </c>
      <c r="K16" s="98">
        <f t="shared" si="2"/>
        <v>651000</v>
      </c>
      <c r="L16" s="98">
        <f t="shared" si="3"/>
        <v>651000</v>
      </c>
      <c r="M16" s="98">
        <f>B16*'Coal Cost Multipliers'!$B$33</f>
        <v>1712351.0115713514</v>
      </c>
      <c r="N16" s="138">
        <f t="shared" si="6"/>
        <v>2839145.5176191349</v>
      </c>
      <c r="O16" s="98">
        <f t="shared" si="0"/>
        <v>651000</v>
      </c>
      <c r="P16" s="98">
        <f t="shared" si="1"/>
        <v>651000</v>
      </c>
      <c r="Q16" s="98">
        <f>'Waste to Energy'!B26</f>
        <v>2696366.6240642685</v>
      </c>
    </row>
    <row r="17" spans="1:17" x14ac:dyDescent="0.25">
      <c r="A17" s="97">
        <v>2033</v>
      </c>
      <c r="B17" s="98">
        <f>B16*'IESS Annual Cap Costs'!B19/'IESS Annual Cap Costs'!B18</f>
        <v>1518625.1341296979</v>
      </c>
      <c r="C17" s="98">
        <f>'IESS Annual Cap Costs'!C19</f>
        <v>802501.3693627899</v>
      </c>
      <c r="D17" s="98">
        <f>D16*'IESS Annual Cap Costs'!D19/'IESS Annual Cap Costs'!D18</f>
        <v>1632590.1914019706</v>
      </c>
      <c r="E17" s="98">
        <f>E16*'IESS Annual Cap Costs'!E19/'IESS Annual Cap Costs'!E18</f>
        <v>1993870.4108001308</v>
      </c>
      <c r="F17" s="138">
        <f t="shared" si="4"/>
        <v>838891.50502844236</v>
      </c>
      <c r="G17" s="138">
        <f t="shared" si="5"/>
        <v>768983.87960940553</v>
      </c>
      <c r="H17" s="98">
        <f>H16*'IESS Annual Cap Costs'!H19/'IESS Annual Cap Costs'!H18</f>
        <v>3242359.6865923661</v>
      </c>
      <c r="I17" s="98">
        <f>I16*'IESS Annual Cap Costs'!I19/'IESS Annual Cap Costs'!I18</f>
        <v>796946.92977702012</v>
      </c>
      <c r="J17" s="98">
        <f>'IESS Annual Cap Costs'!J19</f>
        <v>5020996.8961110096</v>
      </c>
      <c r="K17" s="98">
        <f t="shared" si="2"/>
        <v>651000</v>
      </c>
      <c r="L17" s="98">
        <f t="shared" si="3"/>
        <v>651000</v>
      </c>
      <c r="M17" s="98">
        <f>B17*'Coal Cost Multipliers'!$B$33</f>
        <v>1759998.8759490047</v>
      </c>
      <c r="N17" s="138">
        <f t="shared" si="6"/>
        <v>2839145.5176191349</v>
      </c>
      <c r="O17" s="98">
        <f t="shared" si="0"/>
        <v>651000</v>
      </c>
      <c r="P17" s="98">
        <f t="shared" si="1"/>
        <v>651000</v>
      </c>
      <c r="Q17" s="98">
        <f>'Waste to Energy'!B27</f>
        <v>2678071.9371918961</v>
      </c>
    </row>
    <row r="18" spans="1:17" x14ac:dyDescent="0.25">
      <c r="A18" s="97">
        <v>2034</v>
      </c>
      <c r="B18" s="98">
        <f>B17*'IESS Annual Cap Costs'!B20/'IESS Annual Cap Costs'!B19</f>
        <v>1559738.3674506512</v>
      </c>
      <c r="C18" s="98">
        <f>'IESS Annual Cap Costs'!C20</f>
        <v>809533.37332742126</v>
      </c>
      <c r="D18" s="98">
        <f>D17*'IESS Annual Cap Costs'!D20/'IESS Annual Cap Costs'!D19</f>
        <v>1926858.4969080603</v>
      </c>
      <c r="E18" s="98">
        <f>E17*'IESS Annual Cap Costs'!E20/'IESS Annual Cap Costs'!E19</f>
        <v>2003338.4354301128</v>
      </c>
      <c r="F18" s="138">
        <f t="shared" si="4"/>
        <v>838891.50502844236</v>
      </c>
      <c r="G18" s="138">
        <f t="shared" si="5"/>
        <v>768983.87960940553</v>
      </c>
      <c r="H18" s="98">
        <f>H17*'IESS Annual Cap Costs'!H20/'IESS Annual Cap Costs'!H19</f>
        <v>3229770.9033409073</v>
      </c>
      <c r="I18" s="98">
        <f>I17*'IESS Annual Cap Costs'!I20/'IESS Annual Cap Costs'!I19</f>
        <v>796946.92977702012</v>
      </c>
      <c r="J18" s="98">
        <f>'IESS Annual Cap Costs'!J20</f>
        <v>5020996.8961110096</v>
      </c>
      <c r="K18" s="98">
        <f t="shared" si="2"/>
        <v>651000</v>
      </c>
      <c r="L18" s="98">
        <f t="shared" si="3"/>
        <v>651000</v>
      </c>
      <c r="M18" s="98">
        <f>B18*'Coal Cost Multipliers'!$B$33</f>
        <v>1807646.7403266577</v>
      </c>
      <c r="N18" s="138">
        <f t="shared" si="6"/>
        <v>2839145.5176191349</v>
      </c>
      <c r="O18" s="98">
        <f t="shared" si="0"/>
        <v>651000</v>
      </c>
      <c r="P18" s="98">
        <f t="shared" si="1"/>
        <v>651000</v>
      </c>
      <c r="Q18" s="98">
        <f>'Waste to Energy'!B28</f>
        <v>2659777.2503195181</v>
      </c>
    </row>
    <row r="19" spans="1:17" x14ac:dyDescent="0.25">
      <c r="A19" s="97">
        <v>2035</v>
      </c>
      <c r="B19" s="98">
        <f>B18*'IESS Annual Cap Costs'!B21/'IESS Annual Cap Costs'!B20</f>
        <v>1600851.6007716046</v>
      </c>
      <c r="C19" s="98">
        <f>'IESS Annual Cap Costs'!C21</f>
        <v>816565.37729205261</v>
      </c>
      <c r="D19" s="98">
        <f>D18*'IESS Annual Cap Costs'!D21/'IESS Annual Cap Costs'!D20</f>
        <v>2221126.80241415</v>
      </c>
      <c r="E19" s="98">
        <f>E18*'IESS Annual Cap Costs'!E21/'IESS Annual Cap Costs'!E20</f>
        <v>2012806.4600600947</v>
      </c>
      <c r="F19" s="138">
        <f t="shared" si="4"/>
        <v>838891.50502844236</v>
      </c>
      <c r="G19" s="138">
        <f t="shared" si="5"/>
        <v>768983.87960940553</v>
      </c>
      <c r="H19" s="98">
        <f>H18*'IESS Annual Cap Costs'!H21/'IESS Annual Cap Costs'!H20</f>
        <v>3217182.1200894485</v>
      </c>
      <c r="I19" s="98">
        <f>I18*'IESS Annual Cap Costs'!I21/'IESS Annual Cap Costs'!I20</f>
        <v>796946.92977702012</v>
      </c>
      <c r="J19" s="98">
        <f>'IESS Annual Cap Costs'!J21</f>
        <v>5020996.8961110096</v>
      </c>
      <c r="K19" s="98">
        <f t="shared" si="2"/>
        <v>651000</v>
      </c>
      <c r="L19" s="98">
        <f t="shared" si="3"/>
        <v>651000</v>
      </c>
      <c r="M19" s="98">
        <f>B19*'Coal Cost Multipliers'!$B$33</f>
        <v>1855294.6047043107</v>
      </c>
      <c r="N19" s="138">
        <f t="shared" si="6"/>
        <v>2839145.5176191349</v>
      </c>
      <c r="O19" s="98">
        <f t="shared" si="0"/>
        <v>651000</v>
      </c>
      <c r="P19" s="98">
        <f t="shared" si="1"/>
        <v>651000</v>
      </c>
      <c r="Q19" s="98">
        <f>'Waste to Energy'!B29</f>
        <v>2641482.5634471402</v>
      </c>
    </row>
    <row r="20" spans="1:17" x14ac:dyDescent="0.25">
      <c r="A20" s="97">
        <v>2036</v>
      </c>
      <c r="B20" s="98">
        <f>B19*'IESS Annual Cap Costs'!B22/'IESS Annual Cap Costs'!B21</f>
        <v>1641964.8340925581</v>
      </c>
      <c r="C20" s="98">
        <f>'IESS Annual Cap Costs'!C22</f>
        <v>823597.38125668396</v>
      </c>
      <c r="D20" s="98">
        <f>D19*'IESS Annual Cap Costs'!D22/'IESS Annual Cap Costs'!D21</f>
        <v>2515395.1079202401</v>
      </c>
      <c r="E20" s="98">
        <f>E19*'IESS Annual Cap Costs'!E22/'IESS Annual Cap Costs'!E21</f>
        <v>2022274.4846900767</v>
      </c>
      <c r="F20" s="138">
        <f t="shared" si="4"/>
        <v>838891.50502844236</v>
      </c>
      <c r="G20" s="138">
        <f t="shared" si="5"/>
        <v>768983.87960940553</v>
      </c>
      <c r="H20" s="98">
        <f>H19*'IESS Annual Cap Costs'!H22/'IESS Annual Cap Costs'!H21</f>
        <v>3204593.3368379897</v>
      </c>
      <c r="I20" s="98">
        <f>I19*'IESS Annual Cap Costs'!I22/'IESS Annual Cap Costs'!I21</f>
        <v>796946.92977702012</v>
      </c>
      <c r="J20" s="98">
        <f>'IESS Annual Cap Costs'!J22</f>
        <v>5020996.8961110096</v>
      </c>
      <c r="K20" s="98">
        <f t="shared" si="2"/>
        <v>651000</v>
      </c>
      <c r="L20" s="98">
        <f t="shared" si="3"/>
        <v>651000</v>
      </c>
      <c r="M20" s="98">
        <f>B20*'Coal Cost Multipliers'!$B$33</f>
        <v>1902942.4690819641</v>
      </c>
      <c r="N20" s="138">
        <f t="shared" si="6"/>
        <v>2839145.5176191349</v>
      </c>
      <c r="O20" s="98">
        <f t="shared" si="0"/>
        <v>651000</v>
      </c>
      <c r="P20" s="98">
        <f t="shared" si="1"/>
        <v>651000</v>
      </c>
      <c r="Q20" s="98">
        <f>'Waste to Energy'!B30</f>
        <v>2623187.8765747696</v>
      </c>
    </row>
    <row r="21" spans="1:17" x14ac:dyDescent="0.25">
      <c r="A21" s="97">
        <v>2037</v>
      </c>
      <c r="B21" s="98">
        <f>B20*'IESS Annual Cap Costs'!B23/'IESS Annual Cap Costs'!B22</f>
        <v>1683078.0674135119</v>
      </c>
      <c r="C21" s="98">
        <f>'IESS Annual Cap Costs'!C23</f>
        <v>830629.38522131531</v>
      </c>
      <c r="D21" s="98">
        <f>D20*'IESS Annual Cap Costs'!D23/'IESS Annual Cap Costs'!D22</f>
        <v>2809663.4134263298</v>
      </c>
      <c r="E21" s="98">
        <f>E20*'IESS Annual Cap Costs'!E23/'IESS Annual Cap Costs'!E22</f>
        <v>2031742.5093200589</v>
      </c>
      <c r="F21" s="138">
        <f t="shared" si="4"/>
        <v>838891.50502844236</v>
      </c>
      <c r="G21" s="138">
        <f t="shared" si="5"/>
        <v>768983.87960940553</v>
      </c>
      <c r="H21" s="98">
        <f>H20*'IESS Annual Cap Costs'!H23/'IESS Annual Cap Costs'!H22</f>
        <v>3192004.5535865305</v>
      </c>
      <c r="I21" s="98">
        <f>I20*'IESS Annual Cap Costs'!I23/'IESS Annual Cap Costs'!I22</f>
        <v>796946.92977702012</v>
      </c>
      <c r="J21" s="98">
        <f>'IESS Annual Cap Costs'!J23</f>
        <v>5020996.8961110096</v>
      </c>
      <c r="K21" s="98">
        <f t="shared" si="2"/>
        <v>651000</v>
      </c>
      <c r="L21" s="98">
        <f t="shared" si="3"/>
        <v>651000</v>
      </c>
      <c r="M21" s="98">
        <f>B21*'Coal Cost Multipliers'!$B$33</f>
        <v>1950590.3334596176</v>
      </c>
      <c r="N21" s="138">
        <f t="shared" si="6"/>
        <v>2839145.5176191349</v>
      </c>
      <c r="O21" s="98">
        <f t="shared" si="0"/>
        <v>651000</v>
      </c>
      <c r="P21" s="98">
        <f t="shared" si="1"/>
        <v>651000</v>
      </c>
      <c r="Q21" s="98">
        <f>'Waste to Energy'!B31</f>
        <v>2604893.1897023916</v>
      </c>
    </row>
    <row r="22" spans="1:17" x14ac:dyDescent="0.25">
      <c r="A22" s="97">
        <v>2038</v>
      </c>
      <c r="B22" s="98">
        <f>B21*'IESS Annual Cap Costs'!B24/'IESS Annual Cap Costs'!B23</f>
        <v>1725099.7657787916</v>
      </c>
      <c r="C22" s="98">
        <f>'IESS Annual Cap Costs'!C24</f>
        <v>837661.38918594655</v>
      </c>
      <c r="D22" s="98">
        <f>D21*'IESS Annual Cap Costs'!D24/'IESS Annual Cap Costs'!D23</f>
        <v>2702139.8235976407</v>
      </c>
      <c r="E22" s="98">
        <f>E21*'IESS Annual Cap Costs'!E24/'IESS Annual Cap Costs'!E23</f>
        <v>1978048.7361460177</v>
      </c>
      <c r="F22" s="138">
        <f t="shared" si="4"/>
        <v>838891.50502844236</v>
      </c>
      <c r="G22" s="138">
        <f t="shared" si="5"/>
        <v>768983.87960940553</v>
      </c>
      <c r="H22" s="98">
        <f>H21*'IESS Annual Cap Costs'!H24/'IESS Annual Cap Costs'!H23</f>
        <v>3182437.0783154219</v>
      </c>
      <c r="I22" s="98">
        <f>I21*'IESS Annual Cap Costs'!I24/'IESS Annual Cap Costs'!I23</f>
        <v>796946.92977702012</v>
      </c>
      <c r="J22" s="98">
        <f>'IESS Annual Cap Costs'!J24</f>
        <v>5020996.8961110096</v>
      </c>
      <c r="K22" s="98">
        <f t="shared" si="2"/>
        <v>651000</v>
      </c>
      <c r="L22" s="98">
        <f t="shared" si="3"/>
        <v>651000</v>
      </c>
      <c r="M22" s="98">
        <f>B22*'Coal Cost Multipliers'!$B$33</f>
        <v>1999291.0563873628</v>
      </c>
      <c r="N22" s="138">
        <f t="shared" si="6"/>
        <v>2839145.5176191349</v>
      </c>
      <c r="O22" s="98">
        <f t="shared" si="0"/>
        <v>651000</v>
      </c>
      <c r="P22" s="98">
        <f t="shared" si="1"/>
        <v>651000</v>
      </c>
      <c r="Q22" s="98">
        <f>'Waste to Energy'!B32</f>
        <v>2587401.8623333946</v>
      </c>
    </row>
    <row r="23" spans="1:17" x14ac:dyDescent="0.25">
      <c r="A23" s="97">
        <v>2039</v>
      </c>
      <c r="B23" s="98">
        <f>B22*'IESS Annual Cap Costs'!B25/'IESS Annual Cap Costs'!B24</f>
        <v>1767121.4641440713</v>
      </c>
      <c r="C23" s="98">
        <f>'IESS Annual Cap Costs'!C25</f>
        <v>844693.39315057779</v>
      </c>
      <c r="D23" s="98">
        <f>D22*'IESS Annual Cap Costs'!D25/'IESS Annual Cap Costs'!D24</f>
        <v>2594616.2337689521</v>
      </c>
      <c r="E23" s="98">
        <f>E22*'IESS Annual Cap Costs'!E25/'IESS Annual Cap Costs'!E24</f>
        <v>1924354.9629719767</v>
      </c>
      <c r="F23" s="138">
        <f t="shared" si="4"/>
        <v>838891.50502844236</v>
      </c>
      <c r="G23" s="138">
        <f t="shared" si="5"/>
        <v>768983.87960940553</v>
      </c>
      <c r="H23" s="98">
        <f>H22*'IESS Annual Cap Costs'!H25/'IESS Annual Cap Costs'!H24</f>
        <v>3172869.6030443134</v>
      </c>
      <c r="I23" s="98">
        <f>I22*'IESS Annual Cap Costs'!I25/'IESS Annual Cap Costs'!I24</f>
        <v>796946.92977702012</v>
      </c>
      <c r="J23" s="98">
        <f>'IESS Annual Cap Costs'!J25</f>
        <v>5020996.8961110096</v>
      </c>
      <c r="K23" s="98">
        <f t="shared" si="2"/>
        <v>651000</v>
      </c>
      <c r="L23" s="98">
        <f t="shared" si="3"/>
        <v>651000</v>
      </c>
      <c r="M23" s="98">
        <f>B23*'Coal Cost Multipliers'!$B$33</f>
        <v>2047991.7793151082</v>
      </c>
      <c r="N23" s="138">
        <f t="shared" si="6"/>
        <v>2839145.5176191349</v>
      </c>
      <c r="O23" s="98">
        <f t="shared" si="0"/>
        <v>651000</v>
      </c>
      <c r="P23" s="98">
        <f t="shared" si="1"/>
        <v>651000</v>
      </c>
      <c r="Q23" s="98">
        <f>'Waste to Energy'!B33</f>
        <v>2569910.5349643975</v>
      </c>
    </row>
    <row r="24" spans="1:17" x14ac:dyDescent="0.25">
      <c r="A24" s="97">
        <v>2040</v>
      </c>
      <c r="B24" s="98">
        <f>B23*'IESS Annual Cap Costs'!B26/'IESS Annual Cap Costs'!B25</f>
        <v>1809143.1625093508</v>
      </c>
      <c r="C24" s="98">
        <f>'IESS Annual Cap Costs'!C26</f>
        <v>851725.39711520902</v>
      </c>
      <c r="D24" s="98">
        <f>D23*'IESS Annual Cap Costs'!D26/'IESS Annual Cap Costs'!D25</f>
        <v>2487092.643940263</v>
      </c>
      <c r="E24" s="98">
        <f>E23*'IESS Annual Cap Costs'!E26/'IESS Annual Cap Costs'!E25</f>
        <v>1870661.1897979355</v>
      </c>
      <c r="F24" s="138">
        <f t="shared" si="4"/>
        <v>838891.50502844236</v>
      </c>
      <c r="G24" s="138">
        <f t="shared" si="5"/>
        <v>768983.87960940553</v>
      </c>
      <c r="H24" s="98">
        <f>H23*'IESS Annual Cap Costs'!H26/'IESS Annual Cap Costs'!H25</f>
        <v>3163302.1277732048</v>
      </c>
      <c r="I24" s="98">
        <f>I23*'IESS Annual Cap Costs'!I26/'IESS Annual Cap Costs'!I25</f>
        <v>796946.92977702012</v>
      </c>
      <c r="J24" s="98">
        <f>'IESS Annual Cap Costs'!J26</f>
        <v>5020996.8961110096</v>
      </c>
      <c r="K24" s="98">
        <f t="shared" si="2"/>
        <v>651000</v>
      </c>
      <c r="L24" s="98">
        <f t="shared" si="3"/>
        <v>651000</v>
      </c>
      <c r="M24" s="98">
        <f>B24*'Coal Cost Multipliers'!$B$33</f>
        <v>2096692.5022428532</v>
      </c>
      <c r="N24" s="138">
        <f t="shared" si="6"/>
        <v>2839145.5176191349</v>
      </c>
      <c r="O24" s="98">
        <f t="shared" si="0"/>
        <v>651000</v>
      </c>
      <c r="P24" s="98">
        <f t="shared" si="1"/>
        <v>651000</v>
      </c>
      <c r="Q24" s="98">
        <f>'Waste to Energy'!B34</f>
        <v>2552419.2075954005</v>
      </c>
    </row>
    <row r="25" spans="1:17" x14ac:dyDescent="0.25">
      <c r="A25" s="97">
        <v>2041</v>
      </c>
      <c r="B25" s="98">
        <f>B24*'IESS Annual Cap Costs'!B27/'IESS Annual Cap Costs'!B26</f>
        <v>1851164.8608746303</v>
      </c>
      <c r="C25" s="98">
        <f>'IESS Annual Cap Costs'!C27</f>
        <v>858757.40107984026</v>
      </c>
      <c r="D25" s="98">
        <f>D24*'IESS Annual Cap Costs'!D27/'IESS Annual Cap Costs'!D26</f>
        <v>2379569.0541115743</v>
      </c>
      <c r="E25" s="98">
        <f>E24*'IESS Annual Cap Costs'!E27/'IESS Annual Cap Costs'!E26</f>
        <v>1816967.4166238944</v>
      </c>
      <c r="F25" s="138">
        <f t="shared" si="4"/>
        <v>838891.50502844236</v>
      </c>
      <c r="G25" s="138">
        <f t="shared" si="5"/>
        <v>768983.87960940553</v>
      </c>
      <c r="H25" s="98">
        <f>H24*'IESS Annual Cap Costs'!H27/'IESS Annual Cap Costs'!H26</f>
        <v>3153734.6525020963</v>
      </c>
      <c r="I25" s="98">
        <f>I24*'IESS Annual Cap Costs'!I27/'IESS Annual Cap Costs'!I26</f>
        <v>796946.92977702012</v>
      </c>
      <c r="J25" s="98">
        <f>'IESS Annual Cap Costs'!J27</f>
        <v>5020996.8961110096</v>
      </c>
      <c r="K25" s="98">
        <f t="shared" si="2"/>
        <v>651000</v>
      </c>
      <c r="L25" s="98">
        <f t="shared" si="3"/>
        <v>651000</v>
      </c>
      <c r="M25" s="98">
        <f>B25*'Coal Cost Multipliers'!$B$33</f>
        <v>2145393.2251705979</v>
      </c>
      <c r="N25" s="138">
        <f t="shared" si="6"/>
        <v>2839145.5176191349</v>
      </c>
      <c r="O25" s="98">
        <f t="shared" si="0"/>
        <v>651000</v>
      </c>
      <c r="P25" s="98">
        <f t="shared" si="1"/>
        <v>651000</v>
      </c>
      <c r="Q25" s="98">
        <f>'Waste to Energy'!B35</f>
        <v>2534927.8802264035</v>
      </c>
    </row>
    <row r="26" spans="1:17" x14ac:dyDescent="0.25">
      <c r="A26" s="97">
        <v>2042</v>
      </c>
      <c r="B26" s="98">
        <f>B25*'IESS Annual Cap Costs'!B28/'IESS Annual Cap Costs'!B27</f>
        <v>1893186.55923991</v>
      </c>
      <c r="C26" s="98">
        <f>'IESS Annual Cap Costs'!C28</f>
        <v>865789.40504447173</v>
      </c>
      <c r="D26" s="98">
        <f>D25*'IESS Annual Cap Costs'!D28/'IESS Annual Cap Costs'!D27</f>
        <v>2272045.4642828852</v>
      </c>
      <c r="E26" s="98">
        <f>E25*'IESS Annual Cap Costs'!E28/'IESS Annual Cap Costs'!E27</f>
        <v>1763273.6434498536</v>
      </c>
      <c r="F26" s="138">
        <f t="shared" si="4"/>
        <v>838891.50502844236</v>
      </c>
      <c r="G26" s="138">
        <f t="shared" si="5"/>
        <v>768983.87960940553</v>
      </c>
      <c r="H26" s="98">
        <f>H25*'IESS Annual Cap Costs'!H28/'IESS Annual Cap Costs'!H27</f>
        <v>3144167.1772309872</v>
      </c>
      <c r="I26" s="98">
        <f>I25*'IESS Annual Cap Costs'!I28/'IESS Annual Cap Costs'!I27</f>
        <v>796946.92977702012</v>
      </c>
      <c r="J26" s="98">
        <f>'IESS Annual Cap Costs'!J28</f>
        <v>5020996.8961110096</v>
      </c>
      <c r="K26" s="98">
        <f t="shared" si="2"/>
        <v>651000</v>
      </c>
      <c r="L26" s="98">
        <f t="shared" si="3"/>
        <v>651000</v>
      </c>
      <c r="M26" s="98">
        <f>B26*'Coal Cost Multipliers'!$B$33</f>
        <v>2194093.9480983433</v>
      </c>
      <c r="N26" s="138">
        <f t="shared" si="6"/>
        <v>2839145.5176191349</v>
      </c>
      <c r="O26" s="98">
        <f t="shared" si="0"/>
        <v>651000</v>
      </c>
      <c r="P26" s="98">
        <f t="shared" si="1"/>
        <v>651000</v>
      </c>
      <c r="Q26" s="98">
        <f>'Waste to Energy'!B36</f>
        <v>2517436.5528574036</v>
      </c>
    </row>
    <row r="27" spans="1:17" x14ac:dyDescent="0.25">
      <c r="A27" s="97">
        <v>2043</v>
      </c>
      <c r="B27" s="98">
        <f>B26*'IESS Annual Cap Costs'!B29/'IESS Annual Cap Costs'!B28</f>
        <v>1956386.7349720001</v>
      </c>
      <c r="C27" s="98">
        <f>'IESS Annual Cap Costs'!C29</f>
        <v>872821.40900910308</v>
      </c>
      <c r="D27" s="98">
        <f>D26*'IESS Annual Cap Costs'!D29/'IESS Annual Cap Costs'!D28</f>
        <v>2224582.1185382358</v>
      </c>
      <c r="E27" s="98">
        <f>E26*'IESS Annual Cap Costs'!E29/'IESS Annual Cap Costs'!E28</f>
        <v>1762558.6315525512</v>
      </c>
      <c r="F27" s="138">
        <f t="shared" si="4"/>
        <v>838891.50502844236</v>
      </c>
      <c r="G27" s="138">
        <f t="shared" si="5"/>
        <v>768983.87960940553</v>
      </c>
      <c r="H27" s="98">
        <f>H26*'IESS Annual Cap Costs'!H29/'IESS Annual Cap Costs'!H28</f>
        <v>3137278.5950357895</v>
      </c>
      <c r="I27" s="98">
        <f>I26*'IESS Annual Cap Costs'!I29/'IESS Annual Cap Costs'!I28</f>
        <v>796946.92977702012</v>
      </c>
      <c r="J27" s="98">
        <f>'IESS Annual Cap Costs'!J29</f>
        <v>5020996.8961110096</v>
      </c>
      <c r="K27" s="98">
        <f t="shared" si="2"/>
        <v>651000</v>
      </c>
      <c r="L27" s="98">
        <f t="shared" si="3"/>
        <v>651000</v>
      </c>
      <c r="M27" s="98">
        <f>B27*'Coal Cost Multipliers'!$B$33</f>
        <v>2267339.3038799753</v>
      </c>
      <c r="N27" s="138">
        <f t="shared" si="6"/>
        <v>2839145.5176191349</v>
      </c>
      <c r="O27" s="98">
        <f t="shared" si="0"/>
        <v>651000</v>
      </c>
      <c r="P27" s="98">
        <f t="shared" si="1"/>
        <v>651000</v>
      </c>
      <c r="Q27" s="98">
        <f>'Waste to Energy'!B37</f>
        <v>2500639.0359685943</v>
      </c>
    </row>
    <row r="28" spans="1:17" x14ac:dyDescent="0.25">
      <c r="A28" s="97">
        <v>2044</v>
      </c>
      <c r="B28" s="98">
        <f>B27*'IESS Annual Cap Costs'!B30/'IESS Annual Cap Costs'!B29</f>
        <v>2019586.9107040903</v>
      </c>
      <c r="C28" s="98">
        <f>'IESS Annual Cap Costs'!C30</f>
        <v>879853.41297373443</v>
      </c>
      <c r="D28" s="98">
        <f>D27*'IESS Annual Cap Costs'!D30/'IESS Annual Cap Costs'!D29</f>
        <v>2177118.7727935864</v>
      </c>
      <c r="E28" s="98">
        <f>E27*'IESS Annual Cap Costs'!E30/'IESS Annual Cap Costs'!E29</f>
        <v>1761843.6196552489</v>
      </c>
      <c r="F28" s="138">
        <f t="shared" si="4"/>
        <v>838891.50502844236</v>
      </c>
      <c r="G28" s="138">
        <f t="shared" si="5"/>
        <v>768983.87960940553</v>
      </c>
      <c r="H28" s="98">
        <f>H27*'IESS Annual Cap Costs'!H30/'IESS Annual Cap Costs'!H29</f>
        <v>3130390.0128405914</v>
      </c>
      <c r="I28" s="98">
        <f>I27*'IESS Annual Cap Costs'!I30/'IESS Annual Cap Costs'!I29</f>
        <v>796946.92977702012</v>
      </c>
      <c r="J28" s="98">
        <f>'IESS Annual Cap Costs'!J30</f>
        <v>5020996.8961110096</v>
      </c>
      <c r="K28" s="98">
        <f t="shared" si="2"/>
        <v>651000</v>
      </c>
      <c r="L28" s="98">
        <f t="shared" si="3"/>
        <v>651000</v>
      </c>
      <c r="M28" s="98">
        <f>B28*'Coal Cost Multipliers'!$B$33</f>
        <v>2340584.6596616074</v>
      </c>
      <c r="N28" s="138">
        <f t="shared" si="6"/>
        <v>2839145.5176191349</v>
      </c>
      <c r="O28" s="98">
        <f t="shared" si="0"/>
        <v>651000</v>
      </c>
      <c r="P28" s="98">
        <f t="shared" si="1"/>
        <v>651000</v>
      </c>
      <c r="Q28" s="98">
        <f>'Waste to Energy'!B38</f>
        <v>2483841.5190797895</v>
      </c>
    </row>
    <row r="29" spans="1:17" x14ac:dyDescent="0.25">
      <c r="A29" s="97">
        <v>2045</v>
      </c>
      <c r="B29" s="98">
        <f>B28*'IESS Annual Cap Costs'!B31/'IESS Annual Cap Costs'!B30</f>
        <v>2082787.0864361804</v>
      </c>
      <c r="C29" s="98">
        <f>'IESS Annual Cap Costs'!C31</f>
        <v>886885.41693836579</v>
      </c>
      <c r="D29" s="98">
        <f>D28*'IESS Annual Cap Costs'!D31/'IESS Annual Cap Costs'!D30</f>
        <v>2129655.4270489365</v>
      </c>
      <c r="E29" s="98">
        <f>E28*'IESS Annual Cap Costs'!E31/'IESS Annual Cap Costs'!E30</f>
        <v>1761128.6077579465</v>
      </c>
      <c r="F29" s="138">
        <f t="shared" si="4"/>
        <v>838891.50502844236</v>
      </c>
      <c r="G29" s="138">
        <f t="shared" si="5"/>
        <v>768983.87960940553</v>
      </c>
      <c r="H29" s="98">
        <f>H28*'IESS Annual Cap Costs'!H31/'IESS Annual Cap Costs'!H30</f>
        <v>3123501.4306453932</v>
      </c>
      <c r="I29" s="98">
        <f>I28*'IESS Annual Cap Costs'!I31/'IESS Annual Cap Costs'!I30</f>
        <v>796946.92977702012</v>
      </c>
      <c r="J29" s="98">
        <f>'IESS Annual Cap Costs'!J31</f>
        <v>5020996.8961110096</v>
      </c>
      <c r="K29" s="98">
        <f t="shared" si="2"/>
        <v>651000</v>
      </c>
      <c r="L29" s="98">
        <f t="shared" si="3"/>
        <v>651000</v>
      </c>
      <c r="M29" s="98">
        <f>B29*'Coal Cost Multipliers'!$B$33</f>
        <v>2413830.0154432389</v>
      </c>
      <c r="N29" s="138">
        <f t="shared" si="6"/>
        <v>2839145.5176191349</v>
      </c>
      <c r="O29" s="98">
        <f t="shared" si="0"/>
        <v>651000</v>
      </c>
      <c r="P29" s="98">
        <f t="shared" si="1"/>
        <v>651000</v>
      </c>
      <c r="Q29" s="98">
        <f>'Waste to Energy'!B39</f>
        <v>2467044.0021909773</v>
      </c>
    </row>
    <row r="30" spans="1:17" x14ac:dyDescent="0.25">
      <c r="A30" s="97">
        <v>2046</v>
      </c>
      <c r="B30" s="98">
        <f>B29*'IESS Annual Cap Costs'!B32/'IESS Annual Cap Costs'!B31</f>
        <v>2145987.2621682705</v>
      </c>
      <c r="C30" s="98">
        <f>'IESS Annual Cap Costs'!C32</f>
        <v>893917.42090299714</v>
      </c>
      <c r="D30" s="98">
        <f>D29*'IESS Annual Cap Costs'!D32/'IESS Annual Cap Costs'!D31</f>
        <v>2082192.0813042866</v>
      </c>
      <c r="E30" s="98">
        <f>E29*'IESS Annual Cap Costs'!E32/'IESS Annual Cap Costs'!E31</f>
        <v>1760413.5958606442</v>
      </c>
      <c r="F30" s="138">
        <f t="shared" si="4"/>
        <v>838891.50502844236</v>
      </c>
      <c r="G30" s="138">
        <f t="shared" si="5"/>
        <v>768983.87960940553</v>
      </c>
      <c r="H30" s="98">
        <f>H29*'IESS Annual Cap Costs'!H32/'IESS Annual Cap Costs'!H31</f>
        <v>3116612.8484501955</v>
      </c>
      <c r="I30" s="98">
        <f>I29*'IESS Annual Cap Costs'!I32/'IESS Annual Cap Costs'!I31</f>
        <v>796946.92977702012</v>
      </c>
      <c r="J30" s="98">
        <f>'IESS Annual Cap Costs'!J32</f>
        <v>5020996.8961110096</v>
      </c>
      <c r="K30" s="98">
        <f t="shared" si="2"/>
        <v>651000</v>
      </c>
      <c r="L30" s="98">
        <f t="shared" si="3"/>
        <v>651000</v>
      </c>
      <c r="M30" s="98">
        <f>B30*'Coal Cost Multipliers'!$B$33</f>
        <v>2487075.3712248709</v>
      </c>
      <c r="N30" s="138">
        <f t="shared" si="6"/>
        <v>2839145.5176191349</v>
      </c>
      <c r="O30" s="98">
        <f t="shared" si="0"/>
        <v>651000</v>
      </c>
      <c r="P30" s="98">
        <f t="shared" si="1"/>
        <v>651000</v>
      </c>
      <c r="Q30" s="98">
        <f>'Waste to Energy'!B40</f>
        <v>2450246.4853021726</v>
      </c>
    </row>
    <row r="31" spans="1:17" x14ac:dyDescent="0.25">
      <c r="A31" s="97">
        <v>2047</v>
      </c>
      <c r="B31" s="98">
        <f>B30*'IESS Annual Cap Costs'!B33/'IESS Annual Cap Costs'!B32</f>
        <v>2209187.4379003607</v>
      </c>
      <c r="C31" s="98">
        <f>'IESS Annual Cap Costs'!C33</f>
        <v>900949.42486762838</v>
      </c>
      <c r="D31" s="98">
        <f>D30*'IESS Annual Cap Costs'!D33/'IESS Annual Cap Costs'!D32</f>
        <v>2034728.7355596379</v>
      </c>
      <c r="E31" s="98">
        <f>E30*'IESS Annual Cap Costs'!E33/'IESS Annual Cap Costs'!E32</f>
        <v>1759698.5839633422</v>
      </c>
      <c r="F31" s="138">
        <f t="shared" si="4"/>
        <v>838891.50502844236</v>
      </c>
      <c r="G31" s="138">
        <f t="shared" si="5"/>
        <v>768983.87960940553</v>
      </c>
      <c r="H31" s="98">
        <f>H30*'IESS Annual Cap Costs'!H33/'IESS Annual Cap Costs'!H32</f>
        <v>3109724.2662549964</v>
      </c>
      <c r="I31" s="98">
        <f>I30*'IESS Annual Cap Costs'!I33/'IESS Annual Cap Costs'!I32</f>
        <v>796946.92977702012</v>
      </c>
      <c r="J31" s="98">
        <f>'IESS Annual Cap Costs'!J33</f>
        <v>5020996.8961110096</v>
      </c>
      <c r="K31" s="98">
        <f t="shared" si="2"/>
        <v>651000</v>
      </c>
      <c r="L31" s="98">
        <f t="shared" si="3"/>
        <v>651000</v>
      </c>
      <c r="M31" s="98">
        <f>B31*'Coal Cost Multipliers'!$B$33</f>
        <v>2560320.7270065029</v>
      </c>
      <c r="N31" s="138">
        <f t="shared" si="6"/>
        <v>2839145.5176191349</v>
      </c>
      <c r="O31" s="98">
        <f t="shared" si="0"/>
        <v>651000</v>
      </c>
      <c r="P31" s="98">
        <f t="shared" si="1"/>
        <v>651000</v>
      </c>
      <c r="Q31" s="98">
        <f>'Waste to Energy'!B41</f>
        <v>2433448.9684133651</v>
      </c>
    </row>
    <row r="32" spans="1:17" x14ac:dyDescent="0.25">
      <c r="A32" s="97">
        <v>2048</v>
      </c>
      <c r="B32" s="98">
        <f>B31*'IESS Annual Cap Costs'!B34/'IESS Annual Cap Costs'!B33</f>
        <v>2272387.6136324508</v>
      </c>
      <c r="C32" s="98">
        <f>'IESS Annual Cap Costs'!C34</f>
        <v>907981.42883225973</v>
      </c>
      <c r="D32" s="98">
        <f>D31*'IESS Annual Cap Costs'!D34/'IESS Annual Cap Costs'!D33</f>
        <v>1987265.3898149885</v>
      </c>
      <c r="E32" s="98">
        <f>E31*'IESS Annual Cap Costs'!E34/'IESS Annual Cap Costs'!E33</f>
        <v>1758983.5720660398</v>
      </c>
      <c r="F32" s="138">
        <f t="shared" si="4"/>
        <v>838891.50502844236</v>
      </c>
      <c r="G32" s="138">
        <f t="shared" si="5"/>
        <v>768983.87960940553</v>
      </c>
      <c r="H32" s="98">
        <f>H31*'IESS Annual Cap Costs'!H34/'IESS Annual Cap Costs'!H33</f>
        <v>3102835.6840597987</v>
      </c>
      <c r="I32" s="98">
        <f>I31*'IESS Annual Cap Costs'!I34/'IESS Annual Cap Costs'!I33</f>
        <v>796946.92977702012</v>
      </c>
      <c r="J32" s="98">
        <f>'IESS Annual Cap Costs'!J34</f>
        <v>5020996.8961110096</v>
      </c>
      <c r="K32" s="98">
        <f t="shared" si="2"/>
        <v>651000</v>
      </c>
      <c r="L32" s="98">
        <f t="shared" si="3"/>
        <v>651000</v>
      </c>
      <c r="M32" s="98">
        <f>B32*'Coal Cost Multipliers'!$B$33</f>
        <v>2633566.0827881349</v>
      </c>
      <c r="N32" s="138">
        <f t="shared" si="6"/>
        <v>2839145.5176191349</v>
      </c>
      <c r="O32" s="98">
        <f t="shared" si="0"/>
        <v>651000</v>
      </c>
      <c r="P32" s="98">
        <f t="shared" si="1"/>
        <v>651000</v>
      </c>
      <c r="Q32" s="98">
        <f>'Waste to Energy'!B42</f>
        <v>2416651.4515245557</v>
      </c>
    </row>
    <row r="33" spans="1:17" x14ac:dyDescent="0.25">
      <c r="A33" s="97">
        <v>2049</v>
      </c>
      <c r="B33" s="98">
        <f>B32*'IESS Annual Cap Costs'!B35/'IESS Annual Cap Costs'!B34</f>
        <v>2335587.7893645409</v>
      </c>
      <c r="C33" s="98">
        <f>'IESS Annual Cap Costs'!C35</f>
        <v>915013.43279689108</v>
      </c>
      <c r="D33" s="98">
        <f>D32*'IESS Annual Cap Costs'!D35/'IESS Annual Cap Costs'!D34</f>
        <v>1939802.0440703391</v>
      </c>
      <c r="E33" s="98">
        <f>E32*'IESS Annual Cap Costs'!E35/'IESS Annual Cap Costs'!E34</f>
        <v>1758268.5601687375</v>
      </c>
      <c r="F33" s="138">
        <f t="shared" si="4"/>
        <v>838891.50502844236</v>
      </c>
      <c r="G33" s="138">
        <f t="shared" si="5"/>
        <v>768983.87960940553</v>
      </c>
      <c r="H33" s="98">
        <f>H32*'IESS Annual Cap Costs'!H35/'IESS Annual Cap Costs'!H34</f>
        <v>3095947.1018646006</v>
      </c>
      <c r="I33" s="98">
        <f>I32*'IESS Annual Cap Costs'!I35/'IESS Annual Cap Costs'!I34</f>
        <v>796946.92977702012</v>
      </c>
      <c r="J33" s="98">
        <f>'IESS Annual Cap Costs'!J35</f>
        <v>5020996.8961110096</v>
      </c>
      <c r="K33" s="98">
        <f t="shared" si="2"/>
        <v>651000</v>
      </c>
      <c r="L33" s="98">
        <f t="shared" si="3"/>
        <v>651000</v>
      </c>
      <c r="M33" s="98">
        <f>B33*'Coal Cost Multipliers'!$B$33</f>
        <v>2706811.4385697669</v>
      </c>
      <c r="N33" s="138">
        <f t="shared" si="6"/>
        <v>2839145.5176191349</v>
      </c>
      <c r="O33" s="98">
        <f t="shared" si="0"/>
        <v>651000</v>
      </c>
      <c r="P33" s="98">
        <f t="shared" si="1"/>
        <v>651000</v>
      </c>
      <c r="Q33" s="98">
        <f>'Waste to Energy'!B43</f>
        <v>2399853.9346357509</v>
      </c>
    </row>
    <row r="34" spans="1:17" x14ac:dyDescent="0.25">
      <c r="A34" s="97">
        <v>2050</v>
      </c>
      <c r="B34" s="98">
        <f>B33*'IESS Annual Cap Costs'!B36/'IESS Annual Cap Costs'!B35</f>
        <v>2398787.9650966311</v>
      </c>
      <c r="C34" s="98">
        <f>'IESS Annual Cap Costs'!C36</f>
        <v>922045.43676152243</v>
      </c>
      <c r="D34" s="98">
        <f>D33*'IESS Annual Cap Costs'!D36/'IESS Annual Cap Costs'!D35</f>
        <v>1892338.6983256896</v>
      </c>
      <c r="E34" s="98">
        <f>E33*'IESS Annual Cap Costs'!E36/'IESS Annual Cap Costs'!E35</f>
        <v>1757553.5482714351</v>
      </c>
      <c r="F34" s="138">
        <f t="shared" si="4"/>
        <v>838891.50502844236</v>
      </c>
      <c r="G34" s="138">
        <f t="shared" si="5"/>
        <v>768983.87960940553</v>
      </c>
      <c r="H34" s="98">
        <f>H33*'IESS Annual Cap Costs'!H36/'IESS Annual Cap Costs'!H35</f>
        <v>3089058.5196694024</v>
      </c>
      <c r="I34" s="98">
        <f>I33*'IESS Annual Cap Costs'!I36/'IESS Annual Cap Costs'!I35</f>
        <v>796946.92977702012</v>
      </c>
      <c r="J34" s="98">
        <f>'IESS Annual Cap Costs'!J36</f>
        <v>5020996.8961110096</v>
      </c>
      <c r="K34" s="98">
        <f t="shared" si="2"/>
        <v>651000</v>
      </c>
      <c r="L34" s="98">
        <f t="shared" si="3"/>
        <v>651000</v>
      </c>
      <c r="M34" s="98">
        <f>B34*'Coal Cost Multipliers'!$B$33</f>
        <v>2780056.7943513985</v>
      </c>
      <c r="N34" s="138">
        <f t="shared" si="6"/>
        <v>2839145.5176191349</v>
      </c>
      <c r="O34" s="98">
        <f t="shared" si="0"/>
        <v>651000</v>
      </c>
      <c r="P34" s="98">
        <f t="shared" si="1"/>
        <v>651000</v>
      </c>
      <c r="Q34" s="98">
        <f>'Waste to Energy'!B44</f>
        <v>2383056.4177469388</v>
      </c>
    </row>
    <row r="35" spans="1:17" x14ac:dyDescent="0.25">
      <c r="B35" s="99"/>
    </row>
    <row r="36" spans="1:17" x14ac:dyDescent="0.25">
      <c r="B36" s="99"/>
    </row>
    <row r="37" spans="1:17" x14ac:dyDescent="0.25">
      <c r="B37" s="99"/>
    </row>
    <row r="38" spans="1:17" x14ac:dyDescent="0.25">
      <c r="B38" s="99"/>
    </row>
    <row r="39" spans="1:17" x14ac:dyDescent="0.25">
      <c r="B39" s="99"/>
    </row>
    <row r="40" spans="1:17" x14ac:dyDescent="0.25">
      <c r="B40" s="99"/>
    </row>
    <row r="41" spans="1:17" x14ac:dyDescent="0.25">
      <c r="B41" s="99"/>
    </row>
    <row r="42" spans="1:17" x14ac:dyDescent="0.25">
      <c r="B42" s="99"/>
    </row>
    <row r="43" spans="1:17" x14ac:dyDescent="0.25">
      <c r="B43" s="99"/>
    </row>
    <row r="44" spans="1:17" x14ac:dyDescent="0.25">
      <c r="B44" s="99"/>
    </row>
    <row r="45" spans="1:17" x14ac:dyDescent="0.25">
      <c r="B45" s="99"/>
    </row>
    <row r="46" spans="1:17" x14ac:dyDescent="0.25">
      <c r="B46" s="99"/>
    </row>
    <row r="47" spans="1:17" x14ac:dyDescent="0.25">
      <c r="B47" s="9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17"/>
  <sheetViews>
    <sheetView workbookViewId="0"/>
  </sheetViews>
  <sheetFormatPr defaultRowHeight="15" x14ac:dyDescent="0.25"/>
  <cols>
    <col min="1" max="1" width="33.28515625" customWidth="1"/>
    <col min="2" max="2" width="23.140625" customWidth="1"/>
    <col min="3" max="3" width="28.5703125" customWidth="1"/>
    <col min="4" max="4" width="23.140625" customWidth="1"/>
  </cols>
  <sheetData>
    <row r="1" spans="1:4" x14ac:dyDescent="0.25">
      <c r="A1" s="5" t="s">
        <v>72</v>
      </c>
      <c r="B1" s="17" t="s">
        <v>15</v>
      </c>
      <c r="C1" s="17" t="s">
        <v>73</v>
      </c>
      <c r="D1" s="17" t="s">
        <v>16</v>
      </c>
    </row>
    <row r="2" spans="1:4" x14ac:dyDescent="0.25">
      <c r="A2" s="20" t="s">
        <v>14</v>
      </c>
      <c r="B2" s="4">
        <f>Lazard!D19*10^3</f>
        <v>36675.000000000007</v>
      </c>
      <c r="C2" s="4">
        <v>0</v>
      </c>
      <c r="D2" s="4">
        <f>B2</f>
        <v>36675.000000000007</v>
      </c>
    </row>
    <row r="3" spans="1:4" x14ac:dyDescent="0.25">
      <c r="A3" s="20" t="s">
        <v>17</v>
      </c>
      <c r="B3" s="4">
        <f>Lazard!D20*10^3</f>
        <v>9900</v>
      </c>
      <c r="C3" s="4">
        <v>0</v>
      </c>
      <c r="D3" s="4">
        <f t="shared" ref="D3:D14" si="0">B3</f>
        <v>9900</v>
      </c>
    </row>
    <row r="4" spans="1:4" x14ac:dyDescent="0.25">
      <c r="A4" s="20" t="s">
        <v>19</v>
      </c>
      <c r="B4" s="4">
        <f>Lazard!D21*10^3</f>
        <v>97650</v>
      </c>
      <c r="C4" s="4">
        <v>0</v>
      </c>
      <c r="D4" s="4">
        <f t="shared" si="0"/>
        <v>97650</v>
      </c>
    </row>
    <row r="5" spans="1:4" x14ac:dyDescent="0.25">
      <c r="A5" s="20" t="s">
        <v>23</v>
      </c>
      <c r="B5" s="4">
        <v>0</v>
      </c>
      <c r="C5" s="4">
        <v>0</v>
      </c>
      <c r="D5" s="4">
        <f t="shared" si="0"/>
        <v>0</v>
      </c>
    </row>
    <row r="6" spans="1:4" x14ac:dyDescent="0.25">
      <c r="A6" s="20" t="s">
        <v>24</v>
      </c>
      <c r="B6" s="4">
        <f>Lazard!D23*10^3</f>
        <v>25200</v>
      </c>
      <c r="C6" s="4">
        <v>0</v>
      </c>
      <c r="D6" s="4">
        <f t="shared" si="0"/>
        <v>25200</v>
      </c>
    </row>
    <row r="7" spans="1:4" x14ac:dyDescent="0.25">
      <c r="A7" s="20" t="s">
        <v>27</v>
      </c>
      <c r="B7" s="4">
        <f>Lazard!D24*10^3</f>
        <v>8100</v>
      </c>
      <c r="C7" s="4">
        <v>0</v>
      </c>
      <c r="D7" s="4">
        <f t="shared" si="0"/>
        <v>8100</v>
      </c>
    </row>
    <row r="8" spans="1:4" x14ac:dyDescent="0.25">
      <c r="A8" s="20" t="s">
        <v>26</v>
      </c>
      <c r="B8" s="4">
        <f>Lazard!D25*10^3</f>
        <v>67500</v>
      </c>
      <c r="C8" s="4">
        <v>0</v>
      </c>
      <c r="D8" s="4">
        <f t="shared" si="0"/>
        <v>67500</v>
      </c>
    </row>
    <row r="9" spans="1:4" x14ac:dyDescent="0.25">
      <c r="A9" s="20" t="s">
        <v>20</v>
      </c>
      <c r="B9" s="4">
        <f>Lazard!D26*10^3</f>
        <v>45000</v>
      </c>
      <c r="C9" s="4">
        <v>0</v>
      </c>
      <c r="D9" s="4">
        <f t="shared" si="0"/>
        <v>45000</v>
      </c>
    </row>
    <row r="10" spans="1:4" x14ac:dyDescent="0.25">
      <c r="A10" s="20" t="s">
        <v>21</v>
      </c>
      <c r="B10" s="4">
        <v>0</v>
      </c>
      <c r="C10" s="4">
        <v>0</v>
      </c>
      <c r="D10" s="4">
        <f t="shared" si="0"/>
        <v>0</v>
      </c>
    </row>
    <row r="11" spans="1:4" x14ac:dyDescent="0.25">
      <c r="A11" s="20" t="s">
        <v>74</v>
      </c>
      <c r="B11" s="4">
        <f>Lazard!D28*10^3</f>
        <v>4950</v>
      </c>
      <c r="C11" s="4">
        <v>0</v>
      </c>
      <c r="D11" s="4">
        <f t="shared" si="0"/>
        <v>4950</v>
      </c>
    </row>
    <row r="12" spans="1:4" x14ac:dyDescent="0.25">
      <c r="A12" s="20" t="s">
        <v>18</v>
      </c>
      <c r="B12" s="4">
        <f>Lazard!D29*10^3</f>
        <v>4950</v>
      </c>
      <c r="C12" s="4">
        <v>0</v>
      </c>
      <c r="D12" s="4">
        <f t="shared" si="0"/>
        <v>4950</v>
      </c>
    </row>
    <row r="13" spans="1:4" x14ac:dyDescent="0.25">
      <c r="A13" s="20" t="s">
        <v>75</v>
      </c>
      <c r="B13" s="4">
        <f>B2*'Coal Cost Multipliers'!$B$35</f>
        <v>36675.000000000007</v>
      </c>
      <c r="C13" s="4">
        <f>C2*'Coal Cost Multipliers'!$B$35</f>
        <v>0</v>
      </c>
      <c r="D13" s="4">
        <f>D2*'Coal Cost Multipliers'!$B$35</f>
        <v>36675.000000000007</v>
      </c>
    </row>
    <row r="14" spans="1:4" x14ac:dyDescent="0.25">
      <c r="A14" s="20" t="s">
        <v>25</v>
      </c>
      <c r="B14" s="4">
        <f>Lazard!D31*10^3</f>
        <v>72000</v>
      </c>
      <c r="C14" s="4">
        <v>0</v>
      </c>
      <c r="D14" s="4">
        <f t="shared" si="0"/>
        <v>72000</v>
      </c>
    </row>
    <row r="15" spans="1:4" x14ac:dyDescent="0.25">
      <c r="A15" s="20" t="s">
        <v>195</v>
      </c>
      <c r="B15" s="4">
        <f>B11</f>
        <v>4950</v>
      </c>
      <c r="C15" s="4">
        <f t="shared" ref="C15:D15" si="1">C11</f>
        <v>0</v>
      </c>
      <c r="D15" s="4">
        <f t="shared" si="1"/>
        <v>4950</v>
      </c>
    </row>
    <row r="16" spans="1:4" x14ac:dyDescent="0.25">
      <c r="A16" s="20" t="s">
        <v>196</v>
      </c>
      <c r="B16" s="4">
        <f>B11</f>
        <v>4950</v>
      </c>
      <c r="C16" s="4">
        <f t="shared" ref="C16:D16" si="2">C11</f>
        <v>0</v>
      </c>
      <c r="D16" s="4">
        <f t="shared" si="2"/>
        <v>4950</v>
      </c>
    </row>
    <row r="17" spans="1:4" x14ac:dyDescent="0.25">
      <c r="A17" s="20" t="s">
        <v>197</v>
      </c>
      <c r="B17" s="4">
        <f>'Waste to Energy'!A8*'CCaMC-BCCpUC_old'!Q2</f>
        <v>178467.40916560157</v>
      </c>
      <c r="C17" s="4">
        <v>0</v>
      </c>
      <c r="D17" s="4">
        <f>B17</f>
        <v>178467.40916560157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D17"/>
  <sheetViews>
    <sheetView workbookViewId="0"/>
  </sheetViews>
  <sheetFormatPr defaultColWidth="9.140625" defaultRowHeight="15" x14ac:dyDescent="0.25"/>
  <cols>
    <col min="1" max="1" width="33.28515625" style="20" customWidth="1"/>
    <col min="2" max="4" width="24" style="20" customWidth="1"/>
    <col min="5" max="16384" width="9.140625" style="20"/>
  </cols>
  <sheetData>
    <row r="1" spans="1:4" x14ac:dyDescent="0.25">
      <c r="A1" s="5" t="s">
        <v>76</v>
      </c>
      <c r="B1" s="17" t="s">
        <v>15</v>
      </c>
      <c r="C1" s="17" t="s">
        <v>73</v>
      </c>
      <c r="D1" s="17" t="s">
        <v>16</v>
      </c>
    </row>
    <row r="2" spans="1:4" x14ac:dyDescent="0.25">
      <c r="A2" s="20" t="s">
        <v>71</v>
      </c>
      <c r="B2" s="16">
        <f>Lazard!C19</f>
        <v>2.4750000000000001</v>
      </c>
      <c r="C2" s="20">
        <v>0</v>
      </c>
      <c r="D2" s="16">
        <f>B2</f>
        <v>2.4750000000000001</v>
      </c>
    </row>
    <row r="3" spans="1:4" x14ac:dyDescent="0.25">
      <c r="A3" s="20" t="s">
        <v>17</v>
      </c>
      <c r="B3" s="16">
        <f>Lazard!C20</f>
        <v>2.7</v>
      </c>
      <c r="C3" s="20">
        <v>0</v>
      </c>
      <c r="D3" s="16">
        <f t="shared" ref="D3:D14" si="0">B3</f>
        <v>2.7</v>
      </c>
    </row>
    <row r="4" spans="1:4" x14ac:dyDescent="0.25">
      <c r="A4" s="20" t="s">
        <v>19</v>
      </c>
      <c r="B4" s="16">
        <f>Lazard!C21</f>
        <v>3.15</v>
      </c>
      <c r="C4" s="20">
        <v>0</v>
      </c>
      <c r="D4" s="16">
        <f t="shared" si="0"/>
        <v>3.15</v>
      </c>
    </row>
    <row r="5" spans="1:4" x14ac:dyDescent="0.25">
      <c r="A5" s="20" t="s">
        <v>23</v>
      </c>
      <c r="B5" s="16">
        <f>Lazard!C22</f>
        <v>0</v>
      </c>
      <c r="C5" s="20">
        <v>0</v>
      </c>
      <c r="D5" s="16">
        <f t="shared" si="0"/>
        <v>0</v>
      </c>
    </row>
    <row r="6" spans="1:4" x14ac:dyDescent="0.25">
      <c r="A6" s="20" t="s">
        <v>24</v>
      </c>
      <c r="B6" s="4">
        <f>Lazard!C23</f>
        <v>0</v>
      </c>
      <c r="C6" s="20">
        <v>0</v>
      </c>
      <c r="D6" s="4">
        <f t="shared" si="0"/>
        <v>0</v>
      </c>
    </row>
    <row r="7" spans="1:4" x14ac:dyDescent="0.25">
      <c r="A7" s="20" t="s">
        <v>27</v>
      </c>
      <c r="B7" s="4">
        <f>Lazard!C24</f>
        <v>0</v>
      </c>
      <c r="C7" s="20">
        <v>0</v>
      </c>
      <c r="D7" s="4">
        <f t="shared" si="0"/>
        <v>0</v>
      </c>
    </row>
    <row r="8" spans="1:4" x14ac:dyDescent="0.25">
      <c r="A8" s="20" t="s">
        <v>26</v>
      </c>
      <c r="B8" s="4">
        <f>Lazard!C25</f>
        <v>0</v>
      </c>
      <c r="C8" s="20">
        <v>0</v>
      </c>
      <c r="D8" s="4">
        <f t="shared" si="0"/>
        <v>0</v>
      </c>
    </row>
    <row r="9" spans="1:4" x14ac:dyDescent="0.25">
      <c r="A9" s="20" t="s">
        <v>20</v>
      </c>
      <c r="B9" s="16">
        <f>Lazard!C26</f>
        <v>9</v>
      </c>
      <c r="C9" s="20">
        <v>0</v>
      </c>
      <c r="D9" s="16">
        <f t="shared" si="0"/>
        <v>9</v>
      </c>
    </row>
    <row r="10" spans="1:4" x14ac:dyDescent="0.25">
      <c r="A10" s="20" t="s">
        <v>21</v>
      </c>
      <c r="B10" s="4">
        <f>Lazard!C27</f>
        <v>21.6</v>
      </c>
      <c r="C10" s="20">
        <v>0</v>
      </c>
      <c r="D10" s="4">
        <f t="shared" si="0"/>
        <v>21.6</v>
      </c>
    </row>
    <row r="11" spans="1:4" x14ac:dyDescent="0.25">
      <c r="A11" s="20" t="s">
        <v>74</v>
      </c>
      <c r="B11" s="16">
        <f>Lazard!C28</f>
        <v>4.2750000000000004</v>
      </c>
      <c r="C11" s="20">
        <v>0</v>
      </c>
      <c r="D11" s="16">
        <f t="shared" si="0"/>
        <v>4.2750000000000004</v>
      </c>
    </row>
    <row r="12" spans="1:4" x14ac:dyDescent="0.25">
      <c r="A12" s="20" t="s">
        <v>18</v>
      </c>
      <c r="B12" s="16">
        <f>Lazard!C29</f>
        <v>4.2750000000000004</v>
      </c>
      <c r="C12" s="20">
        <v>0</v>
      </c>
      <c r="D12" s="16">
        <f t="shared" si="0"/>
        <v>4.2750000000000004</v>
      </c>
    </row>
    <row r="13" spans="1:4" x14ac:dyDescent="0.25">
      <c r="A13" s="20" t="s">
        <v>75</v>
      </c>
      <c r="B13" s="16">
        <f>B2*'Coal Cost Multipliers'!$B$34</f>
        <v>4.1929411764705886</v>
      </c>
      <c r="C13" s="4">
        <f>C2*'Coal Cost Multipliers'!$B$34</f>
        <v>0</v>
      </c>
      <c r="D13" s="16">
        <f>D2*'Coal Cost Multipliers'!$B$34</f>
        <v>4.1929411764705886</v>
      </c>
    </row>
    <row r="14" spans="1:4" x14ac:dyDescent="0.25">
      <c r="A14" s="20" t="s">
        <v>25</v>
      </c>
      <c r="B14" s="20">
        <f>Lazard!C31</f>
        <v>0</v>
      </c>
      <c r="C14" s="20">
        <v>0</v>
      </c>
      <c r="D14" s="20">
        <f t="shared" si="0"/>
        <v>0</v>
      </c>
    </row>
    <row r="15" spans="1:4" x14ac:dyDescent="0.25">
      <c r="A15" s="20" t="s">
        <v>195</v>
      </c>
      <c r="B15" s="16">
        <f>B11</f>
        <v>4.2750000000000004</v>
      </c>
      <c r="C15" s="20">
        <f t="shared" ref="C15:D15" si="1">C11</f>
        <v>0</v>
      </c>
      <c r="D15" s="16">
        <f t="shared" si="1"/>
        <v>4.2750000000000004</v>
      </c>
    </row>
    <row r="16" spans="1:4" x14ac:dyDescent="0.25">
      <c r="A16" s="20" t="s">
        <v>196</v>
      </c>
      <c r="B16" s="16">
        <f>B11</f>
        <v>4.2750000000000004</v>
      </c>
      <c r="C16" s="20">
        <f t="shared" ref="C16:D16" si="2">C11</f>
        <v>0</v>
      </c>
      <c r="D16" s="16">
        <f t="shared" si="2"/>
        <v>4.2750000000000004</v>
      </c>
    </row>
    <row r="17" spans="1:4" x14ac:dyDescent="0.25">
      <c r="A17" s="20" t="s">
        <v>197</v>
      </c>
      <c r="B17" s="16">
        <f>B9</f>
        <v>9</v>
      </c>
      <c r="C17" s="20">
        <f t="shared" ref="C17:D17" si="3">C9</f>
        <v>0</v>
      </c>
      <c r="D17" s="16">
        <f t="shared" si="3"/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226D-A2E5-450C-ACE3-45EE33AAADA3}">
  <sheetPr>
    <tabColor theme="3"/>
  </sheetPr>
  <dimension ref="A1:AH17"/>
  <sheetViews>
    <sheetView workbookViewId="0">
      <selection activeCell="B14" sqref="B14"/>
    </sheetView>
  </sheetViews>
  <sheetFormatPr defaultRowHeight="15" x14ac:dyDescent="0.25"/>
  <cols>
    <col min="1" max="1" width="21.140625" customWidth="1"/>
    <col min="2" max="2" width="9.7109375" style="20" customWidth="1"/>
    <col min="4" max="4" width="10.5703125" customWidth="1"/>
    <col min="5" max="5" width="11.42578125" customWidth="1"/>
    <col min="6" max="6" width="11" customWidth="1"/>
    <col min="7" max="7" width="14" customWidth="1"/>
    <col min="8" max="8" width="11.7109375" customWidth="1"/>
    <col min="9" max="9" width="10.85546875" customWidth="1"/>
    <col min="10" max="10" width="10.42578125" customWidth="1"/>
  </cols>
  <sheetData>
    <row r="1" spans="1:34" x14ac:dyDescent="0.25">
      <c r="A1" s="91" t="s">
        <v>233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25">
      <c r="A2" s="1" t="s">
        <v>151</v>
      </c>
      <c r="B2" s="113">
        <f t="array" ref="B2:AH2">TRANSPOSE('CCaMC-BCCpUC_old'!B2:B34)</f>
        <v>945151.09566537838</v>
      </c>
      <c r="C2" s="113">
        <v>982901.21339165827</v>
      </c>
      <c r="D2" s="113">
        <v>1022049.483626319</v>
      </c>
      <c r="E2" s="113">
        <v>1062595.9063693604</v>
      </c>
      <c r="F2" s="113">
        <v>1104540.4816207823</v>
      </c>
      <c r="G2" s="113">
        <v>1146485.0568722044</v>
      </c>
      <c r="H2" s="113">
        <v>1188429.6321236268</v>
      </c>
      <c r="I2" s="113">
        <v>1244355.7324588562</v>
      </c>
      <c r="J2" s="113">
        <v>1293291.0702521817</v>
      </c>
      <c r="K2" s="114">
        <v>1306839.8206140203</v>
      </c>
      <c r="L2" s="114">
        <v>1340974.2366529652</v>
      </c>
      <c r="M2" s="114">
        <v>1375108.65269191</v>
      </c>
      <c r="N2" s="114">
        <v>1409243.0687308547</v>
      </c>
      <c r="O2" s="114">
        <v>1443377.4847697995</v>
      </c>
      <c r="P2" s="114">
        <v>1477511.9008087446</v>
      </c>
      <c r="Q2" s="114">
        <v>1518625.1341296979</v>
      </c>
      <c r="R2" s="114">
        <v>1559738.3674506512</v>
      </c>
      <c r="S2" s="114">
        <v>1600851.6007716046</v>
      </c>
      <c r="T2" s="114">
        <v>1641964.8340925581</v>
      </c>
      <c r="U2" s="114">
        <v>1683078.0674135119</v>
      </c>
      <c r="V2" s="114">
        <v>1725099.7657787916</v>
      </c>
      <c r="W2" s="114">
        <v>1767121.4641440713</v>
      </c>
      <c r="X2" s="114">
        <v>1809143.1625093508</v>
      </c>
      <c r="Y2" s="114">
        <v>1851164.8608746303</v>
      </c>
      <c r="Z2" s="114">
        <v>1893186.55923991</v>
      </c>
      <c r="AA2" s="114">
        <v>1956386.7349720001</v>
      </c>
      <c r="AB2" s="114">
        <v>2019586.9107040903</v>
      </c>
      <c r="AC2" s="114">
        <v>2082787.0864361804</v>
      </c>
      <c r="AD2" s="114">
        <v>2145987.2621682705</v>
      </c>
      <c r="AE2" s="114">
        <v>2209187.4379003607</v>
      </c>
      <c r="AF2" s="114">
        <v>2272387.6136324508</v>
      </c>
      <c r="AG2" s="114">
        <v>2335587.7893645409</v>
      </c>
      <c r="AH2" s="114">
        <v>2398787.9650966311</v>
      </c>
    </row>
    <row r="3" spans="1:34" x14ac:dyDescent="0.25">
      <c r="A3" s="1" t="s">
        <v>234</v>
      </c>
      <c r="B3" s="93">
        <f t="array" ref="B3:AH3">TRANSPOSE('CCaMC-BCCpUC_old'!C2:C34)</f>
        <v>697021.3098933202</v>
      </c>
      <c r="C3" s="93">
        <v>704053.31385795155</v>
      </c>
      <c r="D3" s="93">
        <v>711085.3178225829</v>
      </c>
      <c r="E3" s="93">
        <v>718117.32178721426</v>
      </c>
      <c r="F3" s="93">
        <v>725149.32575184549</v>
      </c>
      <c r="G3" s="93">
        <v>732181.32971647684</v>
      </c>
      <c r="H3" s="93">
        <v>739213.3336811082</v>
      </c>
      <c r="I3" s="93">
        <v>746245.33764573955</v>
      </c>
      <c r="J3" s="93">
        <v>753277.3416103709</v>
      </c>
      <c r="K3" s="93">
        <v>760309.34557500202</v>
      </c>
      <c r="L3" s="93">
        <v>767341.34953963337</v>
      </c>
      <c r="M3" s="93">
        <v>774373.35350426473</v>
      </c>
      <c r="N3" s="93">
        <v>781405.35746889608</v>
      </c>
      <c r="O3" s="93">
        <v>788437.36143352743</v>
      </c>
      <c r="P3" s="93">
        <v>795469.36539815855</v>
      </c>
      <c r="Q3" s="93">
        <v>802501.3693627899</v>
      </c>
      <c r="R3" s="93">
        <v>809533.37332742126</v>
      </c>
      <c r="S3" s="93">
        <v>816565.37729205261</v>
      </c>
      <c r="T3" s="93">
        <v>823597.38125668396</v>
      </c>
      <c r="U3" s="93">
        <v>830629.38522131531</v>
      </c>
      <c r="V3" s="93">
        <v>837661.38918594655</v>
      </c>
      <c r="W3" s="93">
        <v>844693.39315057779</v>
      </c>
      <c r="X3" s="93">
        <v>851725.39711520902</v>
      </c>
      <c r="Y3" s="93">
        <v>858757.40107984026</v>
      </c>
      <c r="Z3" s="93">
        <v>865789.40504447173</v>
      </c>
      <c r="AA3" s="93">
        <v>872821.40900910308</v>
      </c>
      <c r="AB3" s="93">
        <v>879853.41297373443</v>
      </c>
      <c r="AC3" s="93">
        <v>886885.41693836579</v>
      </c>
      <c r="AD3" s="93">
        <v>893917.42090299714</v>
      </c>
      <c r="AE3" s="93">
        <v>900949.42486762838</v>
      </c>
      <c r="AF3" s="93">
        <v>907981.42883225973</v>
      </c>
      <c r="AG3" s="93">
        <v>915013.43279689108</v>
      </c>
      <c r="AH3" s="93">
        <v>922045.43676152243</v>
      </c>
    </row>
    <row r="4" spans="1:34" x14ac:dyDescent="0.25">
      <c r="A4" s="1" t="s">
        <v>235</v>
      </c>
      <c r="B4" s="1">
        <f t="array" ref="B4:AH4">TRANSPOSE('CCaMC-BCCpUC_old'!D2:D34)</f>
        <v>1454078.6087159668</v>
      </c>
      <c r="C4" s="4">
        <v>1510004.7090511965</v>
      </c>
      <c r="D4" s="4">
        <v>1565930.8093864257</v>
      </c>
      <c r="E4" s="4">
        <v>1635838.4348054626</v>
      </c>
      <c r="F4" s="4">
        <v>1705746.0602244993</v>
      </c>
      <c r="G4" s="4">
        <v>1775653.6856435363</v>
      </c>
      <c r="H4" s="4">
        <v>1845561.3110625728</v>
      </c>
      <c r="I4" s="4">
        <v>1915468.9364816097</v>
      </c>
      <c r="J4" s="4">
        <v>1985376.5619006469</v>
      </c>
      <c r="K4" s="4">
        <v>2133576.1577339745</v>
      </c>
      <c r="L4" s="4">
        <v>1974525.3033663556</v>
      </c>
      <c r="M4" s="4">
        <v>1815474.4489987369</v>
      </c>
      <c r="N4" s="4">
        <v>1656423.594631118</v>
      </c>
      <c r="O4" s="4">
        <v>1497372.7402634991</v>
      </c>
      <c r="P4" s="4">
        <v>1338321.8858958806</v>
      </c>
      <c r="Q4" s="4">
        <v>1632590.1914019706</v>
      </c>
      <c r="R4" s="4">
        <v>1926858.4969080603</v>
      </c>
      <c r="S4" s="4">
        <v>2221126.80241415</v>
      </c>
      <c r="T4" s="4">
        <v>2515395.1079202401</v>
      </c>
      <c r="U4" s="4">
        <v>2809663.4134263298</v>
      </c>
      <c r="V4" s="4">
        <v>2702139.8235976407</v>
      </c>
      <c r="W4" s="4">
        <v>2594616.2337689521</v>
      </c>
      <c r="X4" s="4">
        <v>2487092.643940263</v>
      </c>
      <c r="Y4" s="4">
        <v>2379569.0541115743</v>
      </c>
      <c r="Z4" s="4">
        <v>2272045.4642828852</v>
      </c>
      <c r="AA4" s="4">
        <v>2224582.1185382358</v>
      </c>
      <c r="AB4" s="4">
        <v>2177118.7727935864</v>
      </c>
      <c r="AC4" s="4">
        <v>2129655.4270489365</v>
      </c>
      <c r="AD4" s="4">
        <v>2082192.0813042866</v>
      </c>
      <c r="AE4" s="4">
        <v>2034728.7355596379</v>
      </c>
      <c r="AF4" s="4">
        <v>1987265.3898149885</v>
      </c>
      <c r="AG4" s="4">
        <v>1939802.0440703391</v>
      </c>
      <c r="AH4" s="4">
        <v>1892338.6983256896</v>
      </c>
    </row>
    <row r="5" spans="1:34" x14ac:dyDescent="0.25">
      <c r="A5" s="1" t="s">
        <v>236</v>
      </c>
      <c r="B5" s="43">
        <f t="array" ref="B5:AH5">TRANSPOSE('CCaMC-BCCpUC_old'!E2:E34)</f>
        <v>1454078.6087159668</v>
      </c>
      <c r="C5" s="4">
        <v>1510004.7090511965</v>
      </c>
      <c r="D5" s="4">
        <v>1565930.8093864257</v>
      </c>
      <c r="E5" s="4">
        <v>1635838.4348054626</v>
      </c>
      <c r="F5" s="4">
        <v>1705746.0602244993</v>
      </c>
      <c r="G5" s="4">
        <v>1775653.6856435363</v>
      </c>
      <c r="H5" s="4">
        <v>1845561.3110625728</v>
      </c>
      <c r="I5" s="4">
        <v>1915468.9364816097</v>
      </c>
      <c r="J5" s="4">
        <v>1985376.5619006469</v>
      </c>
      <c r="K5" s="4">
        <v>1885308.374445213</v>
      </c>
      <c r="L5" s="4">
        <v>1905127.1767902004</v>
      </c>
      <c r="M5" s="4">
        <v>1924945.9791351876</v>
      </c>
      <c r="N5" s="4">
        <v>1944764.7814801747</v>
      </c>
      <c r="O5" s="4">
        <v>1964583.5838251619</v>
      </c>
      <c r="P5" s="4">
        <v>1984402.3861701486</v>
      </c>
      <c r="Q5" s="4">
        <v>1993870.4108001308</v>
      </c>
      <c r="R5" s="4">
        <v>2003338.4354301128</v>
      </c>
      <c r="S5" s="4">
        <v>2012806.4600600947</v>
      </c>
      <c r="T5" s="4">
        <v>2022274.4846900767</v>
      </c>
      <c r="U5" s="4">
        <v>2031742.5093200589</v>
      </c>
      <c r="V5" s="4">
        <v>1978048.7361460177</v>
      </c>
      <c r="W5" s="4">
        <v>1924354.9629719767</v>
      </c>
      <c r="X5" s="4">
        <v>1870661.1897979355</v>
      </c>
      <c r="Y5" s="4">
        <v>1816967.4166238944</v>
      </c>
      <c r="Z5" s="4">
        <v>1763273.6434498536</v>
      </c>
      <c r="AA5" s="4">
        <v>1762558.6315525512</v>
      </c>
      <c r="AB5" s="4">
        <v>1761843.6196552489</v>
      </c>
      <c r="AC5" s="4">
        <v>1761128.6077579465</v>
      </c>
      <c r="AD5" s="4">
        <v>1760413.5958606442</v>
      </c>
      <c r="AE5" s="4">
        <v>1759698.5839633422</v>
      </c>
      <c r="AF5" s="4">
        <v>1758983.5720660398</v>
      </c>
      <c r="AG5" s="4">
        <v>1758268.5601687375</v>
      </c>
      <c r="AH5" s="4">
        <v>1757553.5482714351</v>
      </c>
    </row>
    <row r="6" spans="1:34" x14ac:dyDescent="0.25">
      <c r="A6" s="1" t="s">
        <v>237</v>
      </c>
      <c r="B6" s="1">
        <f t="array" ref="B6:AH6">TRANSPOSE('CCaMC-BCCpUC_old'!F2:F34)</f>
        <v>838891.50502844236</v>
      </c>
      <c r="C6" s="19">
        <v>838891.50502844236</v>
      </c>
      <c r="D6" s="4">
        <v>838891.50502844236</v>
      </c>
      <c r="E6" s="4">
        <v>838891.50502844236</v>
      </c>
      <c r="F6" s="4">
        <v>838891.50502844236</v>
      </c>
      <c r="G6" s="4">
        <v>838891.50502844236</v>
      </c>
      <c r="H6" s="4">
        <v>838891.50502844236</v>
      </c>
      <c r="I6" s="4">
        <v>838891.50502844236</v>
      </c>
      <c r="J6" s="4">
        <v>838891.50502844236</v>
      </c>
      <c r="K6" s="4">
        <v>838891.50502844236</v>
      </c>
      <c r="L6" s="4">
        <v>838891.50502844236</v>
      </c>
      <c r="M6" s="4">
        <v>838891.50502844236</v>
      </c>
      <c r="N6" s="4">
        <v>838891.50502844236</v>
      </c>
      <c r="O6" s="4">
        <v>838891.50502844236</v>
      </c>
      <c r="P6" s="4">
        <v>838891.50502844236</v>
      </c>
      <c r="Q6" s="4">
        <v>838891.50502844236</v>
      </c>
      <c r="R6" s="4">
        <v>838891.50502844236</v>
      </c>
      <c r="S6" s="4">
        <v>838891.50502844236</v>
      </c>
      <c r="T6" s="4">
        <v>838891.50502844236</v>
      </c>
      <c r="U6" s="4">
        <v>838891.50502844236</v>
      </c>
      <c r="V6" s="4">
        <v>838891.50502844236</v>
      </c>
      <c r="W6" s="4">
        <v>838891.50502844236</v>
      </c>
      <c r="X6" s="4">
        <v>838891.50502844236</v>
      </c>
      <c r="Y6" s="4">
        <v>838891.50502844236</v>
      </c>
      <c r="Z6" s="4">
        <v>838891.50502844236</v>
      </c>
      <c r="AA6" s="4">
        <v>838891.50502844236</v>
      </c>
      <c r="AB6" s="4">
        <v>838891.50502844236</v>
      </c>
      <c r="AC6" s="4">
        <v>838891.50502844236</v>
      </c>
      <c r="AD6" s="4">
        <v>838891.50502844236</v>
      </c>
      <c r="AE6" s="4">
        <v>838891.50502844236</v>
      </c>
      <c r="AF6" s="4">
        <v>838891.50502844236</v>
      </c>
      <c r="AG6" s="4">
        <v>838891.50502844236</v>
      </c>
      <c r="AH6" s="4">
        <v>838891.50502844236</v>
      </c>
    </row>
    <row r="7" spans="1:34" x14ac:dyDescent="0.25">
      <c r="A7" s="1" t="s">
        <v>238</v>
      </c>
      <c r="B7" s="1">
        <f t="array" ref="B7:AH7">TRANSPOSE('CCaMC-BCCpUC_old'!G2:G34)</f>
        <v>768983.87960940553</v>
      </c>
      <c r="C7" s="19">
        <v>768983.87960940553</v>
      </c>
      <c r="D7" s="4">
        <v>768983.87960940553</v>
      </c>
      <c r="E7" s="4">
        <v>768983.87960940553</v>
      </c>
      <c r="F7" s="4">
        <v>768983.87960940553</v>
      </c>
      <c r="G7" s="4">
        <v>768983.87960940553</v>
      </c>
      <c r="H7" s="4">
        <v>768983.87960940553</v>
      </c>
      <c r="I7" s="4">
        <v>768983.87960940553</v>
      </c>
      <c r="J7" s="4">
        <v>768983.87960940553</v>
      </c>
      <c r="K7" s="4">
        <v>768983.87960940553</v>
      </c>
      <c r="L7" s="4">
        <v>768983.87960940553</v>
      </c>
      <c r="M7" s="4">
        <v>768983.87960940553</v>
      </c>
      <c r="N7" s="4">
        <v>768983.87960940553</v>
      </c>
      <c r="O7" s="4">
        <v>768983.87960940553</v>
      </c>
      <c r="P7" s="4">
        <v>768983.87960940553</v>
      </c>
      <c r="Q7" s="4">
        <v>768983.87960940553</v>
      </c>
      <c r="R7" s="4">
        <v>768983.87960940553</v>
      </c>
      <c r="S7" s="4">
        <v>768983.87960940553</v>
      </c>
      <c r="T7" s="4">
        <v>768983.87960940553</v>
      </c>
      <c r="U7" s="4">
        <v>768983.87960940553</v>
      </c>
      <c r="V7" s="4">
        <v>768983.87960940553</v>
      </c>
      <c r="W7" s="4">
        <v>768983.87960940553</v>
      </c>
      <c r="X7" s="4">
        <v>768983.87960940553</v>
      </c>
      <c r="Y7" s="4">
        <v>768983.87960940553</v>
      </c>
      <c r="Z7" s="4">
        <v>768983.87960940553</v>
      </c>
      <c r="AA7" s="4">
        <v>768983.87960940553</v>
      </c>
      <c r="AB7" s="4">
        <v>768983.87960940553</v>
      </c>
      <c r="AC7" s="4">
        <v>768983.87960940553</v>
      </c>
      <c r="AD7" s="4">
        <v>768983.87960940553</v>
      </c>
      <c r="AE7" s="4">
        <v>768983.87960940553</v>
      </c>
      <c r="AF7" s="4">
        <v>768983.87960940553</v>
      </c>
      <c r="AG7" s="4">
        <v>768983.87960940553</v>
      </c>
      <c r="AH7" s="4">
        <v>768983.87960940553</v>
      </c>
    </row>
    <row r="8" spans="1:34" x14ac:dyDescent="0.25">
      <c r="A8" s="1" t="s">
        <v>239</v>
      </c>
      <c r="B8" s="1">
        <f t="array" ref="B8:AH8">TRANSPOSE('CCaMC-BCCpUC_old'!H2:H34)</f>
        <v>2715972.8030847143</v>
      </c>
      <c r="C8" s="4">
        <v>2745983.7177102477</v>
      </c>
      <c r="D8" s="4">
        <v>2775994.6323357816</v>
      </c>
      <c r="E8" s="4">
        <v>2806005.5469613154</v>
      </c>
      <c r="F8" s="4">
        <v>2836016.4615868502</v>
      </c>
      <c r="G8" s="4">
        <v>2874821.6620558943</v>
      </c>
      <c r="H8" s="4">
        <v>2913626.8625249378</v>
      </c>
      <c r="I8" s="4">
        <v>2952432.0629939814</v>
      </c>
      <c r="J8" s="4">
        <v>2991237.263463025</v>
      </c>
      <c r="K8" s="4">
        <v>3030042.4639320699</v>
      </c>
      <c r="L8" s="4">
        <v>3075023.6651144214</v>
      </c>
      <c r="M8" s="4">
        <v>3120004.8662967728</v>
      </c>
      <c r="N8" s="4">
        <v>3164986.0674791238</v>
      </c>
      <c r="O8" s="4">
        <v>3209967.2686614753</v>
      </c>
      <c r="P8" s="4">
        <v>3254948.4698438249</v>
      </c>
      <c r="Q8" s="4">
        <v>3242359.6865923661</v>
      </c>
      <c r="R8" s="4">
        <v>3229770.9033409073</v>
      </c>
      <c r="S8" s="4">
        <v>3217182.1200894485</v>
      </c>
      <c r="T8" s="4">
        <v>3204593.3368379897</v>
      </c>
      <c r="U8" s="4">
        <v>3192004.5535865305</v>
      </c>
      <c r="V8" s="4">
        <v>3182437.0783154219</v>
      </c>
      <c r="W8" s="4">
        <v>3172869.6030443134</v>
      </c>
      <c r="X8" s="4">
        <v>3163302.1277732048</v>
      </c>
      <c r="Y8" s="4">
        <v>3153734.6525020963</v>
      </c>
      <c r="Z8" s="4">
        <v>3144167.1772309872</v>
      </c>
      <c r="AA8" s="4">
        <v>3137278.5950357895</v>
      </c>
      <c r="AB8" s="4">
        <v>3130390.0128405914</v>
      </c>
      <c r="AC8" s="4">
        <v>3123501.4306453932</v>
      </c>
      <c r="AD8" s="4">
        <v>3116612.8484501955</v>
      </c>
      <c r="AE8" s="4">
        <v>3109724.2662549964</v>
      </c>
      <c r="AF8" s="4">
        <v>3102835.6840597987</v>
      </c>
      <c r="AG8" s="4">
        <v>3095947.1018646006</v>
      </c>
      <c r="AH8" s="4">
        <v>3089058.5196694024</v>
      </c>
    </row>
    <row r="9" spans="1:34" x14ac:dyDescent="0.25">
      <c r="A9" s="1" t="s">
        <v>240</v>
      </c>
      <c r="B9" s="1">
        <f t="array" ref="B9:AH9">TRANSPOSE('CCaMC-BCCpUC_old'!I2:I34)</f>
        <v>796946.92977702012</v>
      </c>
      <c r="C9" s="1">
        <v>796946.92977702012</v>
      </c>
      <c r="D9" s="4">
        <v>796946.92977702012</v>
      </c>
      <c r="E9" s="4">
        <v>796946.92977702012</v>
      </c>
      <c r="F9" s="4">
        <v>796946.92977702012</v>
      </c>
      <c r="G9" s="4">
        <v>796946.92977702012</v>
      </c>
      <c r="H9" s="4">
        <v>796946.92977702012</v>
      </c>
      <c r="I9" s="4">
        <v>796946.92977702012</v>
      </c>
      <c r="J9" s="4">
        <v>796946.92977702012</v>
      </c>
      <c r="K9" s="4">
        <v>796946.92977702012</v>
      </c>
      <c r="L9" s="4">
        <v>796946.92977702012</v>
      </c>
      <c r="M9" s="4">
        <v>796946.92977702012</v>
      </c>
      <c r="N9" s="4">
        <v>796946.92977702012</v>
      </c>
      <c r="O9" s="4">
        <v>796946.92977702012</v>
      </c>
      <c r="P9" s="4">
        <v>796946.92977702012</v>
      </c>
      <c r="Q9" s="4">
        <v>796946.92977702012</v>
      </c>
      <c r="R9" s="4">
        <v>796946.92977702012</v>
      </c>
      <c r="S9" s="4">
        <v>796946.92977702012</v>
      </c>
      <c r="T9" s="4">
        <v>796946.92977702012</v>
      </c>
      <c r="U9" s="4">
        <v>796946.92977702012</v>
      </c>
      <c r="V9" s="4">
        <v>796946.92977702012</v>
      </c>
      <c r="W9" s="4">
        <v>796946.92977702012</v>
      </c>
      <c r="X9" s="4">
        <v>796946.92977702012</v>
      </c>
      <c r="Y9" s="4">
        <v>796946.92977702012</v>
      </c>
      <c r="Z9" s="4">
        <v>796946.92977702012</v>
      </c>
      <c r="AA9" s="4">
        <v>796946.92977702012</v>
      </c>
      <c r="AB9" s="4">
        <v>796946.92977702012</v>
      </c>
      <c r="AC9" s="4">
        <v>796946.92977702012</v>
      </c>
      <c r="AD9" s="4">
        <v>796946.92977702012</v>
      </c>
      <c r="AE9" s="4">
        <v>796946.92977702012</v>
      </c>
      <c r="AF9" s="4">
        <v>796946.92977702012</v>
      </c>
      <c r="AG9" s="4">
        <v>796946.92977702012</v>
      </c>
      <c r="AH9" s="4">
        <v>796946.92977702012</v>
      </c>
    </row>
    <row r="10" spans="1:34" x14ac:dyDescent="0.25">
      <c r="A10" s="1" t="s">
        <v>22</v>
      </c>
      <c r="B10" s="1">
        <f t="array" ref="B10:AH10">TRANSPOSE('CCaMC-BCCpUC_old'!J2:J34)</f>
        <v>5020996.8961110096</v>
      </c>
      <c r="C10" s="4">
        <v>5020996.8961110096</v>
      </c>
      <c r="D10" s="4">
        <v>5020996.8961110096</v>
      </c>
      <c r="E10" s="4">
        <v>5020996.8961110096</v>
      </c>
      <c r="F10" s="4">
        <v>5020996.8961110096</v>
      </c>
      <c r="G10" s="4">
        <v>5020996.8961110096</v>
      </c>
      <c r="H10" s="4">
        <v>5020996.8961110096</v>
      </c>
      <c r="I10" s="4">
        <v>5020996.8961110096</v>
      </c>
      <c r="J10" s="4">
        <v>5020996.8961110096</v>
      </c>
      <c r="K10" s="4">
        <v>5020996.8961110096</v>
      </c>
      <c r="L10" s="4">
        <v>5020996.8961110096</v>
      </c>
      <c r="M10" s="4">
        <v>5020996.8961110096</v>
      </c>
      <c r="N10" s="4">
        <v>5020996.8961110096</v>
      </c>
      <c r="O10" s="4">
        <v>5020996.8961110096</v>
      </c>
      <c r="P10" s="4">
        <v>5020996.8961110096</v>
      </c>
      <c r="Q10" s="4">
        <v>5020996.8961110096</v>
      </c>
      <c r="R10" s="4">
        <v>5020996.8961110096</v>
      </c>
      <c r="S10" s="4">
        <v>5020996.8961110096</v>
      </c>
      <c r="T10" s="4">
        <v>5020996.8961110096</v>
      </c>
      <c r="U10" s="4">
        <v>5020996.8961110096</v>
      </c>
      <c r="V10" s="4">
        <v>5020996.8961110096</v>
      </c>
      <c r="W10" s="4">
        <v>5020996.8961110096</v>
      </c>
      <c r="X10" s="4">
        <v>5020996.8961110096</v>
      </c>
      <c r="Y10" s="4">
        <v>5020996.8961110096</v>
      </c>
      <c r="Z10" s="4">
        <v>5020996.8961110096</v>
      </c>
      <c r="AA10" s="4">
        <v>5020996.8961110096</v>
      </c>
      <c r="AB10" s="4">
        <v>5020996.8961110096</v>
      </c>
      <c r="AC10" s="4">
        <v>5020996.8961110096</v>
      </c>
      <c r="AD10" s="4">
        <v>5020996.8961110096</v>
      </c>
      <c r="AE10" s="4">
        <v>5020996.8961110096</v>
      </c>
      <c r="AF10" s="4">
        <v>5020996.8961110096</v>
      </c>
      <c r="AG10" s="4">
        <v>5020996.8961110096</v>
      </c>
      <c r="AH10" s="4">
        <v>5020996.8961110096</v>
      </c>
    </row>
    <row r="11" spans="1:34" x14ac:dyDescent="0.25">
      <c r="A11" s="1" t="s">
        <v>241</v>
      </c>
      <c r="B11" s="1">
        <f t="array" ref="B11:AH11">TRANSPOSE('CCaMC-BCCpUC_old'!K2:K34)</f>
        <v>651000</v>
      </c>
      <c r="C11" s="4">
        <v>651000</v>
      </c>
      <c r="D11" s="4">
        <v>651000</v>
      </c>
      <c r="E11" s="4">
        <v>651000</v>
      </c>
      <c r="F11" s="4">
        <v>651000</v>
      </c>
      <c r="G11" s="4">
        <v>651000</v>
      </c>
      <c r="H11" s="4">
        <v>651000</v>
      </c>
      <c r="I11" s="4">
        <v>651000</v>
      </c>
      <c r="J11" s="4">
        <v>651000</v>
      </c>
      <c r="K11" s="4">
        <v>651000</v>
      </c>
      <c r="L11" s="4">
        <v>651000</v>
      </c>
      <c r="M11" s="4">
        <v>651000</v>
      </c>
      <c r="N11" s="4">
        <v>651000</v>
      </c>
      <c r="O11" s="4">
        <v>651000</v>
      </c>
      <c r="P11" s="4">
        <v>651000</v>
      </c>
      <c r="Q11" s="4">
        <v>651000</v>
      </c>
      <c r="R11" s="4">
        <v>651000</v>
      </c>
      <c r="S11" s="4">
        <v>651000</v>
      </c>
      <c r="T11" s="4">
        <v>651000</v>
      </c>
      <c r="U11" s="4">
        <v>651000</v>
      </c>
      <c r="V11" s="4">
        <v>651000</v>
      </c>
      <c r="W11" s="4">
        <v>651000</v>
      </c>
      <c r="X11" s="4">
        <v>651000</v>
      </c>
      <c r="Y11" s="4">
        <v>651000</v>
      </c>
      <c r="Z11" s="4">
        <v>651000</v>
      </c>
      <c r="AA11" s="4">
        <v>651000</v>
      </c>
      <c r="AB11" s="4">
        <v>651000</v>
      </c>
      <c r="AC11" s="4">
        <v>651000</v>
      </c>
      <c r="AD11" s="4">
        <v>651000</v>
      </c>
      <c r="AE11" s="4">
        <v>651000</v>
      </c>
      <c r="AF11" s="4">
        <v>651000</v>
      </c>
      <c r="AG11" s="4">
        <v>651000</v>
      </c>
      <c r="AH11" s="4">
        <v>651000</v>
      </c>
    </row>
    <row r="12" spans="1:34" x14ac:dyDescent="0.25">
      <c r="A12" s="1" t="s">
        <v>242</v>
      </c>
      <c r="B12" s="1">
        <f t="array" ref="B12:AH12">TRANSPOSE('CCaMC-BCCpUC_old'!L2:L34)</f>
        <v>651000</v>
      </c>
      <c r="C12" s="4">
        <v>651000</v>
      </c>
      <c r="D12" s="4">
        <v>651000</v>
      </c>
      <c r="E12" s="4">
        <v>651000</v>
      </c>
      <c r="F12" s="4">
        <v>651000</v>
      </c>
      <c r="G12" s="4">
        <v>651000</v>
      </c>
      <c r="H12" s="4">
        <v>651000</v>
      </c>
      <c r="I12" s="4">
        <v>651000</v>
      </c>
      <c r="J12" s="4">
        <v>651000</v>
      </c>
      <c r="K12" s="4">
        <v>651000</v>
      </c>
      <c r="L12" s="4">
        <v>651000</v>
      </c>
      <c r="M12" s="4">
        <v>651000</v>
      </c>
      <c r="N12" s="4">
        <v>651000</v>
      </c>
      <c r="O12" s="4">
        <v>651000</v>
      </c>
      <c r="P12" s="4">
        <v>651000</v>
      </c>
      <c r="Q12" s="4">
        <v>651000</v>
      </c>
      <c r="R12" s="4">
        <v>651000</v>
      </c>
      <c r="S12" s="4">
        <v>651000</v>
      </c>
      <c r="T12" s="4">
        <v>651000</v>
      </c>
      <c r="U12" s="4">
        <v>651000</v>
      </c>
      <c r="V12" s="4">
        <v>651000</v>
      </c>
      <c r="W12" s="4">
        <v>651000</v>
      </c>
      <c r="X12" s="4">
        <v>651000</v>
      </c>
      <c r="Y12" s="4">
        <v>651000</v>
      </c>
      <c r="Z12" s="4">
        <v>651000</v>
      </c>
      <c r="AA12" s="4">
        <v>651000</v>
      </c>
      <c r="AB12" s="4">
        <v>651000</v>
      </c>
      <c r="AC12" s="4">
        <v>651000</v>
      </c>
      <c r="AD12" s="4">
        <v>651000</v>
      </c>
      <c r="AE12" s="4">
        <v>651000</v>
      </c>
      <c r="AF12" s="4">
        <v>651000</v>
      </c>
      <c r="AG12" s="4">
        <v>651000</v>
      </c>
      <c r="AH12" s="4">
        <v>651000</v>
      </c>
    </row>
    <row r="13" spans="1:34" x14ac:dyDescent="0.25">
      <c r="A13" s="1" t="s">
        <v>243</v>
      </c>
      <c r="B13" s="1">
        <f t="array" ref="B13:AH13">TRANSPOSE('CCaMC-BCCpUC_old'!M2:M34)</f>
        <v>1095375.5660881668</v>
      </c>
      <c r="C13" s="4">
        <v>1139125.7736094396</v>
      </c>
      <c r="D13" s="4">
        <v>1184496.3591870561</v>
      </c>
      <c r="E13" s="4">
        <v>1231487.322821016</v>
      </c>
      <c r="F13" s="4">
        <v>1280098.664511319</v>
      </c>
      <c r="G13" s="4">
        <v>1328710.0062016223</v>
      </c>
      <c r="H13" s="4">
        <v>1377321.3478919258</v>
      </c>
      <c r="I13" s="4">
        <v>1442136.4701456635</v>
      </c>
      <c r="J13" s="4">
        <v>1498849.7021176836</v>
      </c>
      <c r="K13" s="4">
        <v>1514551.9217579605</v>
      </c>
      <c r="L13" s="4">
        <v>1554111.7397206388</v>
      </c>
      <c r="M13" s="4">
        <v>1593671.557683317</v>
      </c>
      <c r="N13" s="4">
        <v>1633231.3756459949</v>
      </c>
      <c r="O13" s="4">
        <v>1672791.1936086731</v>
      </c>
      <c r="P13" s="4">
        <v>1712351.0115713514</v>
      </c>
      <c r="Q13" s="4">
        <v>1759998.8759490047</v>
      </c>
      <c r="R13" s="4">
        <v>1807646.7403266577</v>
      </c>
      <c r="S13" s="4">
        <v>1855294.6047043107</v>
      </c>
      <c r="T13" s="4">
        <v>1902942.4690819641</v>
      </c>
      <c r="U13" s="4">
        <v>1950590.3334596176</v>
      </c>
      <c r="V13" s="4">
        <v>1999291.0563873628</v>
      </c>
      <c r="W13" s="4">
        <v>2047991.7793151082</v>
      </c>
      <c r="X13" s="4">
        <v>2096692.5022428532</v>
      </c>
      <c r="Y13" s="4">
        <v>2145393.2251705979</v>
      </c>
      <c r="Z13" s="4">
        <v>2194093.9480983433</v>
      </c>
      <c r="AA13" s="4">
        <v>2267339.3038799753</v>
      </c>
      <c r="AB13" s="4">
        <v>2340584.6596616074</v>
      </c>
      <c r="AC13" s="4">
        <v>2413830.0154432389</v>
      </c>
      <c r="AD13" s="4">
        <v>2487075.3712248709</v>
      </c>
      <c r="AE13" s="4">
        <v>2560320.7270065029</v>
      </c>
      <c r="AF13" s="4">
        <v>2633566.0827881349</v>
      </c>
      <c r="AG13" s="4">
        <v>2706811.4385697669</v>
      </c>
      <c r="AH13" s="4">
        <v>2780056.7943513985</v>
      </c>
    </row>
    <row r="14" spans="1:34" x14ac:dyDescent="0.25">
      <c r="A14" s="1" t="s">
        <v>244</v>
      </c>
      <c r="B14" s="1">
        <f t="array" ref="B14:AH14">TRANSPOSE('CCaMC-BCCpUC_old'!N2:N34)</f>
        <v>2839145.5176191349</v>
      </c>
      <c r="C14" s="19">
        <v>2839145.5176191349</v>
      </c>
      <c r="D14" s="4">
        <v>2839145.5176191349</v>
      </c>
      <c r="E14" s="4">
        <v>2839145.5176191349</v>
      </c>
      <c r="F14" s="4">
        <v>2839145.5176191349</v>
      </c>
      <c r="G14" s="4">
        <v>2839145.5176191349</v>
      </c>
      <c r="H14" s="4">
        <v>2839145.5176191349</v>
      </c>
      <c r="I14" s="4">
        <v>2839145.5176191349</v>
      </c>
      <c r="J14" s="4">
        <v>2839145.5176191349</v>
      </c>
      <c r="K14" s="4">
        <v>2839145.5176191349</v>
      </c>
      <c r="L14" s="4">
        <v>2839145.5176191349</v>
      </c>
      <c r="M14" s="4">
        <v>2839145.5176191349</v>
      </c>
      <c r="N14" s="4">
        <v>2839145.5176191349</v>
      </c>
      <c r="O14" s="4">
        <v>2839145.5176191349</v>
      </c>
      <c r="P14" s="4">
        <v>2839145.5176191349</v>
      </c>
      <c r="Q14" s="4">
        <v>2839145.5176191349</v>
      </c>
      <c r="R14" s="4">
        <v>2839145.5176191349</v>
      </c>
      <c r="S14" s="4">
        <v>2839145.5176191349</v>
      </c>
      <c r="T14" s="4">
        <v>2839145.5176191349</v>
      </c>
      <c r="U14" s="4">
        <v>2839145.5176191349</v>
      </c>
      <c r="V14" s="4">
        <v>2839145.5176191349</v>
      </c>
      <c r="W14" s="4">
        <v>2839145.5176191349</v>
      </c>
      <c r="X14" s="4">
        <v>2839145.5176191349</v>
      </c>
      <c r="Y14" s="4">
        <v>2839145.5176191349</v>
      </c>
      <c r="Z14" s="4">
        <v>2839145.5176191349</v>
      </c>
      <c r="AA14" s="4">
        <v>2839145.5176191349</v>
      </c>
      <c r="AB14" s="4">
        <v>2839145.5176191349</v>
      </c>
      <c r="AC14" s="4">
        <v>2839145.5176191349</v>
      </c>
      <c r="AD14" s="4">
        <v>2839145.5176191349</v>
      </c>
      <c r="AE14" s="4">
        <v>2839145.5176191349</v>
      </c>
      <c r="AF14" s="4">
        <v>2839145.5176191349</v>
      </c>
      <c r="AG14" s="4">
        <v>2839145.5176191349</v>
      </c>
      <c r="AH14" s="4">
        <v>2839145.5176191349</v>
      </c>
    </row>
    <row r="15" spans="1:34" x14ac:dyDescent="0.25">
      <c r="A15" s="92" t="s">
        <v>245</v>
      </c>
      <c r="B15" s="92">
        <f t="array" ref="B15:AH15">TRANSPOSE('CCaMC-BCCpUC_old'!O2:O34)</f>
        <v>651000</v>
      </c>
      <c r="C15" s="4">
        <v>651000</v>
      </c>
      <c r="D15" s="4">
        <v>651000</v>
      </c>
      <c r="E15" s="4">
        <v>651000</v>
      </c>
      <c r="F15" s="4">
        <v>651000</v>
      </c>
      <c r="G15" s="4">
        <v>651000</v>
      </c>
      <c r="H15" s="4">
        <v>651000</v>
      </c>
      <c r="I15" s="4">
        <v>651000</v>
      </c>
      <c r="J15" s="4">
        <v>651000</v>
      </c>
      <c r="K15" s="4">
        <v>651000</v>
      </c>
      <c r="L15" s="4">
        <v>651000</v>
      </c>
      <c r="M15" s="4">
        <v>651000</v>
      </c>
      <c r="N15" s="4">
        <v>651000</v>
      </c>
      <c r="O15" s="4">
        <v>651000</v>
      </c>
      <c r="P15" s="4">
        <v>651000</v>
      </c>
      <c r="Q15" s="4">
        <v>651000</v>
      </c>
      <c r="R15" s="4">
        <v>651000</v>
      </c>
      <c r="S15" s="4">
        <v>651000</v>
      </c>
      <c r="T15" s="4">
        <v>651000</v>
      </c>
      <c r="U15" s="4">
        <v>651000</v>
      </c>
      <c r="V15" s="4">
        <v>651000</v>
      </c>
      <c r="W15" s="4">
        <v>651000</v>
      </c>
      <c r="X15" s="4">
        <v>651000</v>
      </c>
      <c r="Y15" s="4">
        <v>651000</v>
      </c>
      <c r="Z15" s="4">
        <v>651000</v>
      </c>
      <c r="AA15" s="4">
        <v>651000</v>
      </c>
      <c r="AB15" s="4">
        <v>651000</v>
      </c>
      <c r="AC15" s="4">
        <v>651000</v>
      </c>
      <c r="AD15" s="4">
        <v>651000</v>
      </c>
      <c r="AE15" s="4">
        <v>651000</v>
      </c>
      <c r="AF15" s="4">
        <v>651000</v>
      </c>
      <c r="AG15" s="4">
        <v>651000</v>
      </c>
      <c r="AH15" s="4">
        <v>651000</v>
      </c>
    </row>
    <row r="16" spans="1:34" ht="30" x14ac:dyDescent="0.25">
      <c r="A16" s="92" t="s">
        <v>246</v>
      </c>
      <c r="B16" s="92">
        <f t="array" ref="B16:AH16">TRANSPOSE('CCaMC-BCCpUC_old'!P2:P34)</f>
        <v>651000</v>
      </c>
      <c r="C16" s="4">
        <v>651000</v>
      </c>
      <c r="D16" s="4">
        <v>651000</v>
      </c>
      <c r="E16" s="4">
        <v>651000</v>
      </c>
      <c r="F16" s="4">
        <v>651000</v>
      </c>
      <c r="G16" s="4">
        <v>651000</v>
      </c>
      <c r="H16" s="4">
        <v>651000</v>
      </c>
      <c r="I16" s="4">
        <v>651000</v>
      </c>
      <c r="J16" s="4">
        <v>651000</v>
      </c>
      <c r="K16" s="4">
        <v>651000</v>
      </c>
      <c r="L16" s="4">
        <v>651000</v>
      </c>
      <c r="M16" s="4">
        <v>651000</v>
      </c>
      <c r="N16" s="4">
        <v>651000</v>
      </c>
      <c r="O16" s="4">
        <v>651000</v>
      </c>
      <c r="P16" s="4">
        <v>651000</v>
      </c>
      <c r="Q16" s="4">
        <v>651000</v>
      </c>
      <c r="R16" s="4">
        <v>651000</v>
      </c>
      <c r="S16" s="4">
        <v>651000</v>
      </c>
      <c r="T16" s="4">
        <v>651000</v>
      </c>
      <c r="U16" s="4">
        <v>651000</v>
      </c>
      <c r="V16" s="4">
        <v>651000</v>
      </c>
      <c r="W16" s="4">
        <v>651000</v>
      </c>
      <c r="X16" s="4">
        <v>651000</v>
      </c>
      <c r="Y16" s="4">
        <v>651000</v>
      </c>
      <c r="Z16" s="4">
        <v>651000</v>
      </c>
      <c r="AA16" s="4">
        <v>651000</v>
      </c>
      <c r="AB16" s="4">
        <v>651000</v>
      </c>
      <c r="AC16" s="4">
        <v>651000</v>
      </c>
      <c r="AD16" s="4">
        <v>651000</v>
      </c>
      <c r="AE16" s="4">
        <v>651000</v>
      </c>
      <c r="AF16" s="4">
        <v>651000</v>
      </c>
      <c r="AG16" s="4">
        <v>651000</v>
      </c>
      <c r="AH16" s="4">
        <v>651000</v>
      </c>
    </row>
    <row r="17" spans="1:34" x14ac:dyDescent="0.25">
      <c r="A17" s="92" t="s">
        <v>247</v>
      </c>
      <c r="B17" s="92">
        <f t="array" ref="B17:AH17">TRANSPOSE('CCaMC-BCCpUC_old'!Q2:Q34)</f>
        <v>2974456.819426693</v>
      </c>
      <c r="C17" s="4">
        <v>2953660.7631915286</v>
      </c>
      <c r="D17" s="4">
        <v>2932864.7069563642</v>
      </c>
      <c r="E17" s="4">
        <v>2912068.6507211998</v>
      </c>
      <c r="F17" s="4">
        <v>2891272.5944860321</v>
      </c>
      <c r="G17" s="4">
        <v>2871352.9304363653</v>
      </c>
      <c r="H17" s="4">
        <v>2851433.2663867027</v>
      </c>
      <c r="I17" s="4">
        <v>2831513.6023370475</v>
      </c>
      <c r="J17" s="4">
        <v>2811593.9382873848</v>
      </c>
      <c r="K17" s="4">
        <v>2791674.2742377212</v>
      </c>
      <c r="L17" s="4">
        <v>2772612.7442030236</v>
      </c>
      <c r="M17" s="4">
        <v>2753551.21416834</v>
      </c>
      <c r="N17" s="4">
        <v>2734489.6841336489</v>
      </c>
      <c r="O17" s="4">
        <v>2715428.1540989578</v>
      </c>
      <c r="P17" s="4">
        <v>2696366.6240642685</v>
      </c>
      <c r="Q17" s="4">
        <v>2678071.9371918961</v>
      </c>
      <c r="R17" s="4">
        <v>2659777.2503195181</v>
      </c>
      <c r="S17" s="4">
        <v>2641482.5634471402</v>
      </c>
      <c r="T17" s="4">
        <v>2623187.8765747696</v>
      </c>
      <c r="U17" s="4">
        <v>2604893.1897023916</v>
      </c>
      <c r="V17" s="4">
        <v>2587401.8623333946</v>
      </c>
      <c r="W17" s="4">
        <v>2569910.5349643975</v>
      </c>
      <c r="X17" s="4">
        <v>2552419.2075954005</v>
      </c>
      <c r="Y17" s="4">
        <v>2534927.8802264035</v>
      </c>
      <c r="Z17" s="4">
        <v>2517436.5528574036</v>
      </c>
      <c r="AA17" s="4">
        <v>2500639.0359685943</v>
      </c>
      <c r="AB17" s="4">
        <v>2483841.5190797895</v>
      </c>
      <c r="AC17" s="4">
        <v>2467044.0021909773</v>
      </c>
      <c r="AD17" s="4">
        <v>2450246.4853021726</v>
      </c>
      <c r="AE17" s="4">
        <v>2433448.9684133651</v>
      </c>
      <c r="AF17" s="4">
        <v>2416651.4515245557</v>
      </c>
      <c r="AG17" s="4">
        <v>2399853.9346357509</v>
      </c>
      <c r="AH17" s="4">
        <v>2383056.4177469388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3664-6428-487E-8D42-5937C085DEC4}">
  <sheetPr>
    <tabColor theme="3"/>
  </sheetPr>
  <dimension ref="A1:AH20"/>
  <sheetViews>
    <sheetView tabSelected="1" workbookViewId="0">
      <selection activeCell="F21" sqref="E21:F21"/>
    </sheetView>
  </sheetViews>
  <sheetFormatPr defaultRowHeight="15" x14ac:dyDescent="0.25"/>
  <cols>
    <col min="1" max="1" width="23.7109375" customWidth="1"/>
    <col min="2" max="2" width="9.140625" style="20"/>
  </cols>
  <sheetData>
    <row r="1" spans="1:34" x14ac:dyDescent="0.25">
      <c r="A1" s="91" t="s">
        <v>233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25">
      <c r="A2" s="51" t="s">
        <v>248</v>
      </c>
      <c r="B2" s="115">
        <v>0</v>
      </c>
      <c r="C2" s="115">
        <v>0</v>
      </c>
      <c r="D2" s="115">
        <v>0</v>
      </c>
      <c r="E2" s="115">
        <v>0</v>
      </c>
      <c r="F2" s="115">
        <v>0</v>
      </c>
      <c r="G2" s="115">
        <v>0</v>
      </c>
      <c r="H2" s="115">
        <v>0</v>
      </c>
      <c r="I2" s="115">
        <v>0</v>
      </c>
      <c r="J2" s="115">
        <v>0</v>
      </c>
      <c r="K2" s="115">
        <v>0</v>
      </c>
      <c r="L2" s="115">
        <v>0</v>
      </c>
      <c r="M2" s="115">
        <v>0</v>
      </c>
      <c r="N2" s="115">
        <v>0</v>
      </c>
      <c r="O2" s="115">
        <v>0</v>
      </c>
      <c r="P2" s="115">
        <v>0</v>
      </c>
      <c r="Q2" s="115">
        <v>0</v>
      </c>
      <c r="R2" s="115">
        <v>0</v>
      </c>
      <c r="S2" s="115">
        <v>0</v>
      </c>
      <c r="T2" s="115">
        <v>0</v>
      </c>
      <c r="U2" s="115">
        <v>0</v>
      </c>
      <c r="V2" s="115">
        <v>0</v>
      </c>
      <c r="W2" s="115">
        <v>0</v>
      </c>
      <c r="X2" s="115">
        <v>0</v>
      </c>
      <c r="Y2" s="115">
        <v>0</v>
      </c>
      <c r="Z2" s="115">
        <v>0</v>
      </c>
      <c r="AA2" s="115">
        <v>0</v>
      </c>
      <c r="AB2" s="115">
        <v>0</v>
      </c>
      <c r="AC2" s="115">
        <v>0</v>
      </c>
      <c r="AD2" s="115">
        <v>0</v>
      </c>
      <c r="AE2" s="115">
        <v>0</v>
      </c>
      <c r="AF2" s="115">
        <v>0</v>
      </c>
      <c r="AG2" s="115">
        <v>0</v>
      </c>
      <c r="AH2" s="115">
        <v>0</v>
      </c>
    </row>
    <row r="3" spans="1:34" x14ac:dyDescent="0.25">
      <c r="A3" s="51" t="s">
        <v>249</v>
      </c>
      <c r="B3" s="115">
        <v>0</v>
      </c>
      <c r="C3" s="115">
        <v>0</v>
      </c>
      <c r="D3" s="115">
        <v>0</v>
      </c>
      <c r="E3" s="115">
        <v>0</v>
      </c>
      <c r="F3" s="115">
        <v>0</v>
      </c>
      <c r="G3" s="115">
        <v>0</v>
      </c>
      <c r="H3" s="115">
        <v>0</v>
      </c>
      <c r="I3" s="115">
        <v>0</v>
      </c>
      <c r="J3" s="115">
        <v>0</v>
      </c>
      <c r="K3" s="115">
        <v>0</v>
      </c>
      <c r="L3" s="115">
        <v>0</v>
      </c>
      <c r="M3" s="115">
        <v>0</v>
      </c>
      <c r="N3" s="115">
        <v>0</v>
      </c>
      <c r="O3" s="115">
        <v>0</v>
      </c>
      <c r="P3" s="115">
        <v>0</v>
      </c>
      <c r="Q3" s="115">
        <v>0</v>
      </c>
      <c r="R3" s="115">
        <v>0</v>
      </c>
      <c r="S3" s="115">
        <v>0</v>
      </c>
      <c r="T3" s="115">
        <v>0</v>
      </c>
      <c r="U3" s="115">
        <v>0</v>
      </c>
      <c r="V3" s="115">
        <v>0</v>
      </c>
      <c r="W3" s="115">
        <v>0</v>
      </c>
      <c r="X3" s="115">
        <v>0</v>
      </c>
      <c r="Y3" s="115">
        <v>0</v>
      </c>
      <c r="Z3" s="115">
        <v>0</v>
      </c>
      <c r="AA3" s="115">
        <v>0</v>
      </c>
      <c r="AB3" s="115">
        <v>0</v>
      </c>
      <c r="AC3" s="115">
        <v>0</v>
      </c>
      <c r="AD3" s="115">
        <v>0</v>
      </c>
      <c r="AE3" s="115">
        <v>0</v>
      </c>
      <c r="AF3" s="115">
        <v>0</v>
      </c>
      <c r="AG3" s="115">
        <v>0</v>
      </c>
      <c r="AH3" s="115">
        <v>0</v>
      </c>
    </row>
    <row r="4" spans="1:34" x14ac:dyDescent="0.25">
      <c r="A4" s="51" t="s">
        <v>250</v>
      </c>
      <c r="B4" s="115">
        <v>0</v>
      </c>
      <c r="C4" s="115">
        <v>0</v>
      </c>
      <c r="D4" s="115">
        <v>0</v>
      </c>
      <c r="E4" s="115">
        <v>0</v>
      </c>
      <c r="F4" s="115">
        <v>0</v>
      </c>
      <c r="G4" s="115">
        <v>0</v>
      </c>
      <c r="H4" s="115">
        <v>0</v>
      </c>
      <c r="I4" s="115">
        <v>0</v>
      </c>
      <c r="J4" s="115">
        <v>0</v>
      </c>
      <c r="K4" s="115">
        <v>0</v>
      </c>
      <c r="L4" s="115">
        <v>0</v>
      </c>
      <c r="M4" s="115">
        <v>0</v>
      </c>
      <c r="N4" s="115">
        <v>0</v>
      </c>
      <c r="O4" s="115">
        <v>0</v>
      </c>
      <c r="P4" s="115">
        <v>0</v>
      </c>
      <c r="Q4" s="115">
        <v>0</v>
      </c>
      <c r="R4" s="115">
        <v>0</v>
      </c>
      <c r="S4" s="115">
        <v>0</v>
      </c>
      <c r="T4" s="115">
        <v>0</v>
      </c>
      <c r="U4" s="115">
        <v>0</v>
      </c>
      <c r="V4" s="115">
        <v>0</v>
      </c>
      <c r="W4" s="115">
        <v>0</v>
      </c>
      <c r="X4" s="115">
        <v>0</v>
      </c>
      <c r="Y4" s="115">
        <v>0</v>
      </c>
      <c r="Z4" s="115">
        <v>0</v>
      </c>
      <c r="AA4" s="115">
        <v>0</v>
      </c>
      <c r="AB4" s="115">
        <v>0</v>
      </c>
      <c r="AC4" s="115">
        <v>0</v>
      </c>
      <c r="AD4" s="115">
        <v>0</v>
      </c>
      <c r="AE4" s="115">
        <v>0</v>
      </c>
      <c r="AF4" s="115">
        <v>0</v>
      </c>
      <c r="AG4" s="115">
        <v>0</v>
      </c>
      <c r="AH4" s="115">
        <v>0</v>
      </c>
    </row>
    <row r="5" spans="1:34" x14ac:dyDescent="0.25">
      <c r="A5" s="51" t="s">
        <v>251</v>
      </c>
      <c r="B5" s="115">
        <v>0</v>
      </c>
      <c r="C5" s="115">
        <v>0</v>
      </c>
      <c r="D5" s="115">
        <v>0</v>
      </c>
      <c r="E5" s="115">
        <v>0</v>
      </c>
      <c r="F5" s="115">
        <v>0</v>
      </c>
      <c r="G5" s="115">
        <v>0</v>
      </c>
      <c r="H5" s="115">
        <v>0</v>
      </c>
      <c r="I5" s="115">
        <v>0</v>
      </c>
      <c r="J5" s="115">
        <v>0</v>
      </c>
      <c r="K5" s="115">
        <v>0</v>
      </c>
      <c r="L5" s="115">
        <v>0</v>
      </c>
      <c r="M5" s="115">
        <v>0</v>
      </c>
      <c r="N5" s="115">
        <v>0</v>
      </c>
      <c r="O5" s="115">
        <v>0</v>
      </c>
      <c r="P5" s="115">
        <v>0</v>
      </c>
      <c r="Q5" s="115">
        <v>0</v>
      </c>
      <c r="R5" s="115">
        <v>0</v>
      </c>
      <c r="S5" s="115">
        <v>0</v>
      </c>
      <c r="T5" s="115">
        <v>0</v>
      </c>
      <c r="U5" s="115">
        <v>0</v>
      </c>
      <c r="V5" s="115">
        <v>0</v>
      </c>
      <c r="W5" s="115">
        <v>0</v>
      </c>
      <c r="X5" s="115">
        <v>0</v>
      </c>
      <c r="Y5" s="115">
        <v>0</v>
      </c>
      <c r="Z5" s="115">
        <v>0</v>
      </c>
      <c r="AA5" s="115">
        <v>0</v>
      </c>
      <c r="AB5" s="115">
        <v>0</v>
      </c>
      <c r="AC5" s="115">
        <v>0</v>
      </c>
      <c r="AD5" s="115">
        <v>0</v>
      </c>
      <c r="AE5" s="115">
        <v>0</v>
      </c>
      <c r="AF5" s="115">
        <v>0</v>
      </c>
      <c r="AG5" s="115">
        <v>0</v>
      </c>
      <c r="AH5" s="115">
        <v>0</v>
      </c>
    </row>
    <row r="6" spans="1:34" x14ac:dyDescent="0.25">
      <c r="A6" s="1" t="s">
        <v>237</v>
      </c>
      <c r="B6" s="4">
        <f>TREND('Start Year Soft Cost Data'!$A$19:$B$19,'Start Year Soft Cost Data'!$A$18:$B$18,'CCaMC-BSCpUC'!B1)*'CCaMC-BCCpUC'!$B$6</f>
        <v>202732.11371520656</v>
      </c>
      <c r="C6" s="4">
        <f>TREND('Start Year Soft Cost Data'!$A$19:$B$19,'Start Year Soft Cost Data'!$A$18:$B$18,'CCaMC-BSCpUC'!C1)*'CCaMC-BCCpUC'!$B$6</f>
        <v>201333.96120682597</v>
      </c>
      <c r="D6" s="4">
        <f>TREND('Start Year Soft Cost Data'!$A$19:$B$19,'Start Year Soft Cost Data'!$A$18:$B$18,'CCaMC-BSCpUC'!D1)*'CCaMC-BCCpUC'!$B$6</f>
        <v>199935.80869844501</v>
      </c>
      <c r="E6" s="4">
        <f>TREND('Start Year Soft Cost Data'!$A$19:$B$19,'Start Year Soft Cost Data'!$A$18:$B$18,'CCaMC-BSCpUC'!E1)*'CCaMC-BCCpUC'!$B$6</f>
        <v>198537.65619006444</v>
      </c>
      <c r="F6" s="4">
        <f>TREND('Start Year Soft Cost Data'!$A$19:$B$19,'Start Year Soft Cost Data'!$A$18:$B$18,'CCaMC-BSCpUC'!F1)*'CCaMC-BCCpUC'!$B$6</f>
        <v>197139.50368168385</v>
      </c>
      <c r="G6" s="4">
        <f>TREND('Start Year Soft Cost Data'!$A$19:$B$19,'Start Year Soft Cost Data'!$A$18:$B$18,'CCaMC-BSCpUC'!G1)*'CCaMC-BCCpUC'!$B$6</f>
        <v>195741.35117330289</v>
      </c>
      <c r="H6" s="4">
        <f>TREND('Start Year Soft Cost Data'!$A$19:$B$19,'Start Year Soft Cost Data'!$A$18:$B$18,'CCaMC-BSCpUC'!H1)*'CCaMC-BCCpUC'!$B$6</f>
        <v>194343.19866492233</v>
      </c>
      <c r="I6" s="4">
        <f>TREND('Start Year Soft Cost Data'!$A$19:$B$19,'Start Year Soft Cost Data'!$A$18:$B$18,'CCaMC-BSCpUC'!I1)*'CCaMC-BCCpUC'!$B$6</f>
        <v>192945.04615654136</v>
      </c>
      <c r="J6" s="139">
        <f>TREND('Start Year Soft Cost Data'!$B$19:$C$19,'Start Year Soft Cost Data'!$B$18:$C$18,'CCaMC-BSCpUC'!J1)*'CCaMC-BCCpUC'!$B$6</f>
        <v>186233.91411631231</v>
      </c>
      <c r="K6" s="139">
        <f>TREND('Start Year Soft Cost Data'!$B$19:$C$19,'Start Year Soft Cost Data'!$B$18:$C$18,'CCaMC-BSCpUC'!K1)*'CCaMC-BCCpUC'!$B$6</f>
        <v>179522.78207608551</v>
      </c>
      <c r="L6" s="139">
        <f>TREND('Start Year Soft Cost Data'!$B$19:$C$19,'Start Year Soft Cost Data'!$B$18:$C$18,'CCaMC-BSCpUC'!L1)*'CCaMC-BCCpUC'!$B$6</f>
        <v>172811.65003585871</v>
      </c>
      <c r="M6" s="139">
        <f>TREND('Start Year Soft Cost Data'!$B$19:$C$19,'Start Year Soft Cost Data'!$B$18:$C$18,'CCaMC-BSCpUC'!M1)*'CCaMC-BCCpUC'!$B$6</f>
        <v>166100.51799563193</v>
      </c>
      <c r="N6" s="139">
        <f>TREND('Start Year Soft Cost Data'!$B$19:$C$19,'Start Year Soft Cost Data'!$B$18:$C$18,'CCaMC-BSCpUC'!N1)*'CCaMC-BCCpUC'!$B$6</f>
        <v>159389.38595540213</v>
      </c>
      <c r="O6" s="4">
        <f>TREND('Start Year Soft Cost Data'!$C$19:$D$19,'Start Year Soft Cost Data'!$C$18:$D$18,'CCaMC-BSCpUC'!O1)*'CCaMC-BCCpUC'!$B$6</f>
        <v>156033.81993529023</v>
      </c>
      <c r="P6" s="4">
        <f>TREND('Start Year Soft Cost Data'!$C$19:$D$19,'Start Year Soft Cost Data'!$C$18:$D$18,'CCaMC-BSCpUC'!P1)*'CCaMC-BCCpUC'!$B$6</f>
        <v>152678.25391517684</v>
      </c>
      <c r="Q6" s="4">
        <f>TREND('Start Year Soft Cost Data'!$C$19:$D$19,'Start Year Soft Cost Data'!$C$18:$D$18,'CCaMC-BSCpUC'!Q1)*'CCaMC-BCCpUC'!$B$6</f>
        <v>149322.68789506343</v>
      </c>
      <c r="R6" s="4">
        <f>TREND('Start Year Soft Cost Data'!$C$19:$D$19,'Start Year Soft Cost Data'!$C$18:$D$18,'CCaMC-BSCpUC'!R1)*'CCaMC-BCCpUC'!$B$6</f>
        <v>145967.12187494856</v>
      </c>
      <c r="S6" s="4">
        <f>TREND('Start Year Soft Cost Data'!$C$19:$D$19,'Start Year Soft Cost Data'!$C$18:$D$18,'CCaMC-BSCpUC'!S1)*'CCaMC-BCCpUC'!$B$6</f>
        <v>142611.55585483514</v>
      </c>
      <c r="T6" s="4">
        <f>TREND('Start Year Soft Cost Data'!$C$19:$D$19,'Start Year Soft Cost Data'!$C$18:$D$18,'CCaMC-BSCpUC'!T1)*'CCaMC-BCCpUC'!$B$6</f>
        <v>139255.98983472175</v>
      </c>
      <c r="U6" s="4">
        <f>TREND('Start Year Soft Cost Data'!$C$19:$D$19,'Start Year Soft Cost Data'!$C$18:$D$18,'CCaMC-BSCpUC'!U1)*'CCaMC-BCCpUC'!$B$6</f>
        <v>135900.42381460834</v>
      </c>
      <c r="V6" s="4">
        <f>TREND('Start Year Soft Cost Data'!$C$19:$D$19,'Start Year Soft Cost Data'!$C$18:$D$18,'CCaMC-BSCpUC'!V1)*'CCaMC-BCCpUC'!$B$6</f>
        <v>132544.85779449347</v>
      </c>
      <c r="W6" s="4">
        <f>TREND('Start Year Soft Cost Data'!$C$19:$D$19,'Start Year Soft Cost Data'!$C$18:$D$18,'CCaMC-BSCpUC'!W1)*'CCaMC-BCCpUC'!$B$6</f>
        <v>129189.29177438005</v>
      </c>
      <c r="X6" s="4">
        <f>TREND('Start Year Soft Cost Data'!$C$19:$D$19,'Start Year Soft Cost Data'!$C$18:$D$18,'CCaMC-BSCpUC'!X1)*'CCaMC-BCCpUC'!$B$6</f>
        <v>125833.72575426665</v>
      </c>
      <c r="Y6" s="4">
        <f>TREND('Start Year Soft Cost Data'!$C$19:$D$19,'Start Year Soft Cost Data'!$C$18:$D$18,'CCaMC-BSCpUC'!Y1)*'CCaMC-BCCpUC'!$B$6</f>
        <v>122478.15973415325</v>
      </c>
      <c r="Z6" s="4">
        <f>TREND('Start Year Soft Cost Data'!$C$19:$D$19,'Start Year Soft Cost Data'!$C$18:$D$18,'CCaMC-BSCpUC'!Z1)*'CCaMC-BCCpUC'!$B$6</f>
        <v>119122.59371403836</v>
      </c>
      <c r="AA6" s="4">
        <f>TREND('Start Year Soft Cost Data'!$C$19:$D$19,'Start Year Soft Cost Data'!$C$18:$D$18,'CCaMC-BSCpUC'!AA1)*'CCaMC-BCCpUC'!$B$6</f>
        <v>115767.02769392496</v>
      </c>
      <c r="AB6" s="4">
        <f>TREND('Start Year Soft Cost Data'!$C$19:$D$19,'Start Year Soft Cost Data'!$C$18:$D$18,'CCaMC-BSCpUC'!AB1)*'CCaMC-BCCpUC'!$B$6</f>
        <v>112411.46167381156</v>
      </c>
      <c r="AC6" s="4">
        <f>TREND('Start Year Soft Cost Data'!$C$19:$D$19,'Start Year Soft Cost Data'!$C$18:$D$18,'CCaMC-BSCpUC'!AC1)*'CCaMC-BCCpUC'!$B$6</f>
        <v>109055.89565369816</v>
      </c>
      <c r="AD6" s="4">
        <f>TREND('Start Year Soft Cost Data'!$C$19:$D$19,'Start Year Soft Cost Data'!$C$18:$D$18,'CCaMC-BSCpUC'!AD1)*'CCaMC-BCCpUC'!$B$6</f>
        <v>105700.32963358327</v>
      </c>
      <c r="AE6" s="4">
        <f>TREND('Start Year Soft Cost Data'!$C$19:$D$19,'Start Year Soft Cost Data'!$C$18:$D$18,'CCaMC-BSCpUC'!AE1)*'CCaMC-BCCpUC'!$B$6</f>
        <v>102344.76361346987</v>
      </c>
      <c r="AF6" s="4">
        <f>TREND('Start Year Soft Cost Data'!$C$19:$D$19,'Start Year Soft Cost Data'!$C$18:$D$18,'CCaMC-BSCpUC'!AF1)*'CCaMC-BCCpUC'!$B$6</f>
        <v>98989.197593356468</v>
      </c>
      <c r="AG6" s="4">
        <f>TREND('Start Year Soft Cost Data'!$C$19:$D$19,'Start Year Soft Cost Data'!$C$18:$D$18,'CCaMC-BSCpUC'!AG1)*'CCaMC-BCCpUC'!$B$6</f>
        <v>95633.631573243067</v>
      </c>
      <c r="AH6" s="4">
        <f>TREND('Start Year Soft Cost Data'!$C$19:$D$19,'Start Year Soft Cost Data'!$C$18:$D$18,'CCaMC-BSCpUC'!AH1)*'CCaMC-BCCpUC'!$B$6</f>
        <v>92278.06555312968</v>
      </c>
    </row>
    <row r="7" spans="1:34" x14ac:dyDescent="0.25">
      <c r="A7" s="1" t="s">
        <v>238</v>
      </c>
      <c r="B7" s="4">
        <f>TREND('Start Year Soft Cost Data'!$A$81:$B$81,'Start Year Soft Cost Data'!$A$80:$B$80,'CCaMC-BSCpUC'!B1)*'CCaMC-BCCpUC'!$B$7</f>
        <v>271707.63746199006</v>
      </c>
      <c r="C7" s="4">
        <f>TREND('Start Year Soft Cost Data'!$A$81:$B$81,'Start Year Soft Cost Data'!$A$80:$B$80,'CCaMC-BSCpUC'!C1)*'CCaMC-BCCpUC'!$B$7</f>
        <v>269144.35786329169</v>
      </c>
      <c r="D7" s="4">
        <f>TREND('Start Year Soft Cost Data'!$A$81:$B$81,'Start Year Soft Cost Data'!$A$80:$B$80,'CCaMC-BSCpUC'!D1)*'CCaMC-BCCpUC'!$B$7</f>
        <v>266581.0782645939</v>
      </c>
      <c r="E7" s="4">
        <f>TREND('Start Year Soft Cost Data'!$A$81:$B$81,'Start Year Soft Cost Data'!$A$80:$B$80,'CCaMC-BSCpUC'!E1)*'CCaMC-BCCpUC'!$B$7</f>
        <v>264017.79866589617</v>
      </c>
      <c r="F7" s="4">
        <f>TREND('Start Year Soft Cost Data'!$A$81:$B$81,'Start Year Soft Cost Data'!$A$80:$B$80,'CCaMC-BSCpUC'!F1)*'CCaMC-BCCpUC'!$B$7</f>
        <v>261454.51906719778</v>
      </c>
      <c r="G7" s="141">
        <f>TREND('Start Year Soft Cost Data'!$B$81:$C$81,'Start Year Soft Cost Data'!$B$80:$C$80,'CCaMC-BSCpUC'!G1)*'CCaMC-BCCpUC'!$B$7</f>
        <v>251201.4006724041</v>
      </c>
      <c r="H7" s="141">
        <f>TREND('Start Year Soft Cost Data'!$B$81:$C$81,'Start Year Soft Cost Data'!$B$80:$C$80,'CCaMC-BSCpUC'!H1)*'CCaMC-BCCpUC'!$B$7</f>
        <v>240948.28227761315</v>
      </c>
      <c r="I7" s="141">
        <f>TREND('Start Year Soft Cost Data'!$B$81:$C$81,'Start Year Soft Cost Data'!$B$80:$C$80,'CCaMC-BSCpUC'!I1)*'CCaMC-BCCpUC'!$B$7</f>
        <v>230695.16388282221</v>
      </c>
      <c r="J7" s="98">
        <f>TREND('Start Year Soft Cost Data'!$C$81:$D$81,'Start Year Soft Cost Data'!$C$80:$D$80,'CCaMC-BSCpUC'!J1)*'CCaMC-BCCpUC'!$B$7</f>
        <v>215315.48629063444</v>
      </c>
      <c r="K7" s="98">
        <f>TREND('Start Year Soft Cost Data'!$C$81:$D$81,'Start Year Soft Cost Data'!$C$80:$D$80,'CCaMC-BSCpUC'!K1)*'CCaMC-BCCpUC'!$B$7</f>
        <v>199935.80869844937</v>
      </c>
      <c r="L7" s="98">
        <f>TREND('Start Year Soft Cost Data'!$C$81:$D$81,'Start Year Soft Cost Data'!$C$80:$D$80,'CCaMC-BSCpUC'!L1)*'CCaMC-BCCpUC'!$B$7</f>
        <v>184556.13110625886</v>
      </c>
      <c r="M7" s="98">
        <f>TREND('Start Year Soft Cost Data'!$C$81:$D$81,'Start Year Soft Cost Data'!$C$80:$D$80,'CCaMC-BSCpUC'!M1)*'CCaMC-BCCpUC'!$B$7</f>
        <v>169176.4535140738</v>
      </c>
      <c r="N7" s="98">
        <f>TREND('Start Year Soft Cost Data'!$C$81:$D$81,'Start Year Soft Cost Data'!$C$80:$D$80,'CCaMC-BSCpUC'!N1)*'CCaMC-BCCpUC'!$B$7</f>
        <v>153796.77592188329</v>
      </c>
      <c r="O7" s="141">
        <f>TREND('Start Year Soft Cost Data'!$D$81:$E$81,'Start Year Soft Cost Data'!$D$80:$E$80,'CCaMC-BSCpUC'!O1)*'CCaMC-BCCpUC'!$B$7</f>
        <v>154373.51383158815</v>
      </c>
      <c r="P7" s="141">
        <f>TREND('Start Year Soft Cost Data'!$D$81:$E$81,'Start Year Soft Cost Data'!$D$80:$E$80,'CCaMC-BSCpUC'!P1)*'CCaMC-BCCpUC'!$B$7</f>
        <v>154950.25174129521</v>
      </c>
      <c r="Q7" s="141">
        <f>TREND('Start Year Soft Cost Data'!$D$81:$E$81,'Start Year Soft Cost Data'!$D$80:$E$80,'CCaMC-BSCpUC'!Q1)*'CCaMC-BCCpUC'!$B$7</f>
        <v>155526.98965100231</v>
      </c>
      <c r="R7" s="141">
        <f>TREND('Start Year Soft Cost Data'!$D$81:$E$81,'Start Year Soft Cost Data'!$D$80:$E$80,'CCaMC-BSCpUC'!R1)*'CCaMC-BCCpUC'!$B$7</f>
        <v>156103.72756070938</v>
      </c>
      <c r="S7" s="141">
        <f>TREND('Start Year Soft Cost Data'!$D$81:$E$81,'Start Year Soft Cost Data'!$D$80:$E$80,'CCaMC-BSCpUC'!S1)*'CCaMC-BCCpUC'!$B$7</f>
        <v>156680.46547041644</v>
      </c>
      <c r="T7" s="141">
        <f>TREND('Start Year Soft Cost Data'!$D$81:$E$81,'Start Year Soft Cost Data'!$D$80:$E$80,'CCaMC-BSCpUC'!T1)*'CCaMC-BCCpUC'!$B$7</f>
        <v>157257.20338012354</v>
      </c>
      <c r="U7" s="141">
        <f>TREND('Start Year Soft Cost Data'!$D$81:$E$81,'Start Year Soft Cost Data'!$D$80:$E$80,'CCaMC-BSCpUC'!U1)*'CCaMC-BCCpUC'!$B$7</f>
        <v>157833.94128983043</v>
      </c>
      <c r="V7" s="141">
        <f>TREND('Start Year Soft Cost Data'!$D$81:$E$81,'Start Year Soft Cost Data'!$D$80:$E$80,'CCaMC-BSCpUC'!V1)*'CCaMC-BCCpUC'!$B$7</f>
        <v>158410.6791995375</v>
      </c>
      <c r="W7" s="141">
        <f>TREND('Start Year Soft Cost Data'!$D$81:$E$81,'Start Year Soft Cost Data'!$D$80:$E$80,'CCaMC-BSCpUC'!W1)*'CCaMC-BCCpUC'!$B$7</f>
        <v>158987.41710924459</v>
      </c>
      <c r="X7" s="141">
        <f>TREND('Start Year Soft Cost Data'!$D$81:$E$81,'Start Year Soft Cost Data'!$D$80:$E$80,'CCaMC-BSCpUC'!X1)*'CCaMC-BCCpUC'!$B$7</f>
        <v>159564.15501895166</v>
      </c>
      <c r="Y7" s="141">
        <f>TREND('Start Year Soft Cost Data'!$D$81:$E$81,'Start Year Soft Cost Data'!$D$80:$E$80,'CCaMC-BSCpUC'!Y1)*'CCaMC-BCCpUC'!$B$7</f>
        <v>160140.89292865872</v>
      </c>
      <c r="Z7" s="141">
        <f>TREND('Start Year Soft Cost Data'!$D$81:$E$81,'Start Year Soft Cost Data'!$D$80:$E$80,'CCaMC-BSCpUC'!Z1)*'CCaMC-BCCpUC'!$B$7</f>
        <v>160717.63083836582</v>
      </c>
      <c r="AA7" s="141">
        <f>TREND('Start Year Soft Cost Data'!$D$81:$E$81,'Start Year Soft Cost Data'!$D$80:$E$80,'CCaMC-BSCpUC'!AA1)*'CCaMC-BCCpUC'!$B$7</f>
        <v>161294.36874807288</v>
      </c>
      <c r="AB7" s="141">
        <f>TREND('Start Year Soft Cost Data'!$D$81:$E$81,'Start Year Soft Cost Data'!$D$80:$E$80,'CCaMC-BSCpUC'!AB1)*'CCaMC-BCCpUC'!$B$7</f>
        <v>161871.10665777998</v>
      </c>
      <c r="AC7" s="141">
        <f>TREND('Start Year Soft Cost Data'!$D$81:$E$81,'Start Year Soft Cost Data'!$D$80:$E$80,'CCaMC-BSCpUC'!AC1)*'CCaMC-BCCpUC'!$B$7</f>
        <v>162447.84456748687</v>
      </c>
      <c r="AD7" s="141">
        <f>TREND('Start Year Soft Cost Data'!$D$81:$E$81,'Start Year Soft Cost Data'!$D$80:$E$80,'CCaMC-BSCpUC'!AD1)*'CCaMC-BCCpUC'!$B$7</f>
        <v>163024.58247719394</v>
      </c>
      <c r="AE7" s="141">
        <f>TREND('Start Year Soft Cost Data'!$D$81:$E$81,'Start Year Soft Cost Data'!$D$80:$E$80,'CCaMC-BSCpUC'!AE1)*'CCaMC-BCCpUC'!$B$7</f>
        <v>163601.32038690103</v>
      </c>
      <c r="AF7" s="141">
        <f>TREND('Start Year Soft Cost Data'!$D$81:$E$81,'Start Year Soft Cost Data'!$D$80:$E$80,'CCaMC-BSCpUC'!AF1)*'CCaMC-BCCpUC'!$B$7</f>
        <v>164178.0582966081</v>
      </c>
      <c r="AG7" s="141">
        <f>TREND('Start Year Soft Cost Data'!$D$81:$E$81,'Start Year Soft Cost Data'!$D$80:$E$80,'CCaMC-BSCpUC'!AG1)*'CCaMC-BCCpUC'!$B$7</f>
        <v>164754.79620631516</v>
      </c>
      <c r="AH7" s="141">
        <f>TREND('Start Year Soft Cost Data'!$D$81:$E$81,'Start Year Soft Cost Data'!$D$80:$E$80,'CCaMC-BSCpUC'!AH1)*'CCaMC-BCCpUC'!$B$7</f>
        <v>165331.53411602226</v>
      </c>
    </row>
    <row r="8" spans="1:34" x14ac:dyDescent="0.25">
      <c r="A8" s="51" t="s">
        <v>252</v>
      </c>
      <c r="B8" s="115">
        <v>0</v>
      </c>
      <c r="C8" s="115">
        <v>0</v>
      </c>
      <c r="D8" s="115">
        <v>0</v>
      </c>
      <c r="E8" s="115">
        <v>0</v>
      </c>
      <c r="F8" s="115">
        <v>0</v>
      </c>
      <c r="G8" s="115">
        <v>0</v>
      </c>
      <c r="H8" s="115">
        <v>0</v>
      </c>
      <c r="I8" s="115">
        <v>0</v>
      </c>
      <c r="J8" s="115">
        <v>0</v>
      </c>
      <c r="K8" s="115">
        <v>0</v>
      </c>
      <c r="L8" s="115">
        <v>0</v>
      </c>
      <c r="M8" s="115">
        <v>0</v>
      </c>
      <c r="N8" s="115">
        <v>0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5">
        <v>0</v>
      </c>
      <c r="U8" s="115">
        <v>0</v>
      </c>
      <c r="V8" s="115">
        <v>0</v>
      </c>
      <c r="W8" s="115">
        <v>0</v>
      </c>
      <c r="X8" s="115">
        <v>0</v>
      </c>
      <c r="Y8" s="115">
        <v>0</v>
      </c>
      <c r="Z8" s="115">
        <v>0</v>
      </c>
      <c r="AA8" s="115">
        <v>0</v>
      </c>
      <c r="AB8" s="115">
        <v>0</v>
      </c>
      <c r="AC8" s="115">
        <v>0</v>
      </c>
      <c r="AD8" s="115">
        <v>0</v>
      </c>
      <c r="AE8" s="115">
        <v>0</v>
      </c>
      <c r="AF8" s="115">
        <v>0</v>
      </c>
      <c r="AG8" s="115">
        <v>0</v>
      </c>
      <c r="AH8" s="115">
        <v>0</v>
      </c>
    </row>
    <row r="9" spans="1:34" x14ac:dyDescent="0.25">
      <c r="A9" s="51" t="s">
        <v>253</v>
      </c>
      <c r="B9" s="115">
        <v>0</v>
      </c>
      <c r="C9" s="115">
        <v>0</v>
      </c>
      <c r="D9" s="115">
        <v>0</v>
      </c>
      <c r="E9" s="115">
        <v>0</v>
      </c>
      <c r="F9" s="115">
        <v>0</v>
      </c>
      <c r="G9" s="115">
        <v>0</v>
      </c>
      <c r="H9" s="115">
        <v>0</v>
      </c>
      <c r="I9" s="115">
        <v>0</v>
      </c>
      <c r="J9" s="115">
        <v>0</v>
      </c>
      <c r="K9" s="115">
        <v>0</v>
      </c>
      <c r="L9" s="115">
        <v>0</v>
      </c>
      <c r="M9" s="115">
        <v>0</v>
      </c>
      <c r="N9" s="115">
        <v>0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5">
        <v>0</v>
      </c>
      <c r="U9" s="115">
        <v>0</v>
      </c>
      <c r="V9" s="115">
        <v>0</v>
      </c>
      <c r="W9" s="115">
        <v>0</v>
      </c>
      <c r="X9" s="115">
        <v>0</v>
      </c>
      <c r="Y9" s="115">
        <v>0</v>
      </c>
      <c r="Z9" s="115">
        <v>0</v>
      </c>
      <c r="AA9" s="115">
        <v>0</v>
      </c>
      <c r="AB9" s="115">
        <v>0</v>
      </c>
      <c r="AC9" s="115">
        <v>0</v>
      </c>
      <c r="AD9" s="115">
        <v>0</v>
      </c>
      <c r="AE9" s="115">
        <v>0</v>
      </c>
      <c r="AF9" s="115">
        <v>0</v>
      </c>
      <c r="AG9" s="115">
        <v>0</v>
      </c>
      <c r="AH9" s="115">
        <v>0</v>
      </c>
    </row>
    <row r="10" spans="1:34" x14ac:dyDescent="0.25">
      <c r="A10" s="51" t="s">
        <v>254</v>
      </c>
      <c r="B10" s="115">
        <v>0</v>
      </c>
      <c r="C10" s="115">
        <v>0</v>
      </c>
      <c r="D10" s="115">
        <v>0</v>
      </c>
      <c r="E10" s="115">
        <v>0</v>
      </c>
      <c r="F10" s="115">
        <v>0</v>
      </c>
      <c r="G10" s="115">
        <v>0</v>
      </c>
      <c r="H10" s="115">
        <v>0</v>
      </c>
      <c r="I10" s="115">
        <v>0</v>
      </c>
      <c r="J10" s="115">
        <v>0</v>
      </c>
      <c r="K10" s="115">
        <v>0</v>
      </c>
      <c r="L10" s="115">
        <v>0</v>
      </c>
      <c r="M10" s="115">
        <v>0</v>
      </c>
      <c r="N10" s="115">
        <v>0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5">
        <v>0</v>
      </c>
      <c r="U10" s="115">
        <v>0</v>
      </c>
      <c r="V10" s="115">
        <v>0</v>
      </c>
      <c r="W10" s="115">
        <v>0</v>
      </c>
      <c r="X10" s="115">
        <v>0</v>
      </c>
      <c r="Y10" s="115">
        <v>0</v>
      </c>
      <c r="Z10" s="115">
        <v>0</v>
      </c>
      <c r="AA10" s="115">
        <v>0</v>
      </c>
      <c r="AB10" s="115">
        <v>0</v>
      </c>
      <c r="AC10" s="115">
        <v>0</v>
      </c>
      <c r="AD10" s="115">
        <v>0</v>
      </c>
      <c r="AE10" s="115">
        <v>0</v>
      </c>
      <c r="AF10" s="115">
        <v>0</v>
      </c>
      <c r="AG10" s="115">
        <v>0</v>
      </c>
      <c r="AH10" s="115">
        <v>0</v>
      </c>
    </row>
    <row r="11" spans="1:34" x14ac:dyDescent="0.25">
      <c r="A11" s="51" t="s">
        <v>255</v>
      </c>
      <c r="B11" s="115">
        <v>0</v>
      </c>
      <c r="C11" s="115">
        <v>0</v>
      </c>
      <c r="D11" s="115">
        <v>0</v>
      </c>
      <c r="E11" s="115">
        <v>0</v>
      </c>
      <c r="F11" s="115">
        <v>0</v>
      </c>
      <c r="G11" s="115">
        <v>0</v>
      </c>
      <c r="H11" s="115">
        <v>0</v>
      </c>
      <c r="I11" s="115">
        <v>0</v>
      </c>
      <c r="J11" s="115">
        <v>0</v>
      </c>
      <c r="K11" s="115">
        <v>0</v>
      </c>
      <c r="L11" s="115">
        <v>0</v>
      </c>
      <c r="M11" s="115">
        <v>0</v>
      </c>
      <c r="N11" s="115">
        <v>0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5">
        <v>0</v>
      </c>
      <c r="U11" s="115">
        <v>0</v>
      </c>
      <c r="V11" s="115">
        <v>0</v>
      </c>
      <c r="W11" s="115">
        <v>0</v>
      </c>
      <c r="X11" s="115">
        <v>0</v>
      </c>
      <c r="Y11" s="115">
        <v>0</v>
      </c>
      <c r="Z11" s="115">
        <v>0</v>
      </c>
      <c r="AA11" s="115">
        <v>0</v>
      </c>
      <c r="AB11" s="115">
        <v>0</v>
      </c>
      <c r="AC11" s="115">
        <v>0</v>
      </c>
      <c r="AD11" s="115">
        <v>0</v>
      </c>
      <c r="AE11" s="115">
        <v>0</v>
      </c>
      <c r="AF11" s="115">
        <v>0</v>
      </c>
      <c r="AG11" s="115">
        <v>0</v>
      </c>
      <c r="AH11" s="115">
        <v>0</v>
      </c>
    </row>
    <row r="12" spans="1:34" x14ac:dyDescent="0.25">
      <c r="A12" s="51" t="s">
        <v>256</v>
      </c>
      <c r="B12" s="115">
        <v>0</v>
      </c>
      <c r="C12" s="115">
        <v>0</v>
      </c>
      <c r="D12" s="115">
        <v>0</v>
      </c>
      <c r="E12" s="115">
        <v>0</v>
      </c>
      <c r="F12" s="115">
        <v>0</v>
      </c>
      <c r="G12" s="115">
        <v>0</v>
      </c>
      <c r="H12" s="115">
        <v>0</v>
      </c>
      <c r="I12" s="115">
        <v>0</v>
      </c>
      <c r="J12" s="115">
        <v>0</v>
      </c>
      <c r="K12" s="115">
        <v>0</v>
      </c>
      <c r="L12" s="115">
        <v>0</v>
      </c>
      <c r="M12" s="115">
        <v>0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5">
        <v>0</v>
      </c>
      <c r="U12" s="115">
        <v>0</v>
      </c>
      <c r="V12" s="115">
        <v>0</v>
      </c>
      <c r="W12" s="115">
        <v>0</v>
      </c>
      <c r="X12" s="115">
        <v>0</v>
      </c>
      <c r="Y12" s="115">
        <v>0</v>
      </c>
      <c r="Z12" s="115">
        <v>0</v>
      </c>
      <c r="AA12" s="115">
        <v>0</v>
      </c>
      <c r="AB12" s="115">
        <v>0</v>
      </c>
      <c r="AC12" s="115">
        <v>0</v>
      </c>
      <c r="AD12" s="115">
        <v>0</v>
      </c>
      <c r="AE12" s="115">
        <v>0</v>
      </c>
      <c r="AF12" s="115">
        <v>0</v>
      </c>
      <c r="AG12" s="115">
        <v>0</v>
      </c>
      <c r="AH12" s="115">
        <v>0</v>
      </c>
    </row>
    <row r="13" spans="1:34" x14ac:dyDescent="0.25">
      <c r="A13" s="51" t="s">
        <v>257</v>
      </c>
      <c r="B13" s="115">
        <v>0</v>
      </c>
      <c r="C13" s="115">
        <v>0</v>
      </c>
      <c r="D13" s="115">
        <v>0</v>
      </c>
      <c r="E13" s="115">
        <v>0</v>
      </c>
      <c r="F13" s="115">
        <v>0</v>
      </c>
      <c r="G13" s="115">
        <v>0</v>
      </c>
      <c r="H13" s="115">
        <v>0</v>
      </c>
      <c r="I13" s="115">
        <v>0</v>
      </c>
      <c r="J13" s="115">
        <v>0</v>
      </c>
      <c r="K13" s="115">
        <v>0</v>
      </c>
      <c r="L13" s="115">
        <v>0</v>
      </c>
      <c r="M13" s="115">
        <v>0</v>
      </c>
      <c r="N13" s="115">
        <v>0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5">
        <v>0</v>
      </c>
      <c r="U13" s="115">
        <v>0</v>
      </c>
      <c r="V13" s="115">
        <v>0</v>
      </c>
      <c r="W13" s="115">
        <v>0</v>
      </c>
      <c r="X13" s="115">
        <v>0</v>
      </c>
      <c r="Y13" s="115">
        <v>0</v>
      </c>
      <c r="Z13" s="115">
        <v>0</v>
      </c>
      <c r="AA13" s="115">
        <v>0</v>
      </c>
      <c r="AB13" s="115">
        <v>0</v>
      </c>
      <c r="AC13" s="115">
        <v>0</v>
      </c>
      <c r="AD13" s="115">
        <v>0</v>
      </c>
      <c r="AE13" s="115">
        <v>0</v>
      </c>
      <c r="AF13" s="115">
        <v>0</v>
      </c>
      <c r="AG13" s="115">
        <v>0</v>
      </c>
      <c r="AH13" s="115">
        <v>0</v>
      </c>
    </row>
    <row r="14" spans="1:34" x14ac:dyDescent="0.25">
      <c r="A14" s="1" t="s">
        <v>244</v>
      </c>
      <c r="B14" s="4">
        <f>TREND('Start Year Soft Cost Data'!$A$67:$B$67,'Start Year Soft Cost Data'!$A$66:$B$66,'CCaMC-BSCpUC'!B1)*'CCaMC-BCCpUC'!$B$14</f>
        <v>787626.28567951021</v>
      </c>
      <c r="C14" s="4">
        <f>TREND('Start Year Soft Cost Data'!$A$67:$B$67,'Start Year Soft Cost Data'!$A$66:$B$66,'CCaMC-BSCpUC'!C1)*'CCaMC-BCCpUC'!$B$14</f>
        <v>705527.66112835484</v>
      </c>
      <c r="D14" s="4">
        <f>TREND('Start Year Soft Cost Data'!$A$67:$B$67,'Start Year Soft Cost Data'!$A$66:$B$66,'CCaMC-BSCpUC'!D1)*'CCaMC-BCCpUC'!$B$14</f>
        <v>623429.03657719959</v>
      </c>
      <c r="E14" s="4">
        <f>TREND('Start Year Soft Cost Data'!$A$67:$B$67,'Start Year Soft Cost Data'!$A$66:$B$66,'CCaMC-BSCpUC'!E1)*'CCaMC-BCCpUC'!$B$14</f>
        <v>541330.41202604421</v>
      </c>
      <c r="F14" s="4">
        <f>TREND('Start Year Soft Cost Data'!$A$67:$B$67,'Start Year Soft Cost Data'!$A$66:$B$66,'CCaMC-BSCpUC'!F1)*'CCaMC-BCCpUC'!$B$14</f>
        <v>459231.78747488896</v>
      </c>
      <c r="G14" s="4">
        <f>TREND('Start Year Soft Cost Data'!$A$67:$B$67,'Start Year Soft Cost Data'!$A$66:$B$66,'CCaMC-BSCpUC'!G1)*'CCaMC-BCCpUC'!$B$14</f>
        <v>377133.16292375379</v>
      </c>
      <c r="H14" s="4">
        <f>TREND('Start Year Soft Cost Data'!$A$67:$B$67,'Start Year Soft Cost Data'!$A$66:$B$66,'CCaMC-BSCpUC'!H1)*'CCaMC-BCCpUC'!$B$14</f>
        <v>295034.53837259847</v>
      </c>
      <c r="I14" s="4">
        <f>TREND('Start Year Soft Cost Data'!$A$67:$B$67,'Start Year Soft Cost Data'!$A$66:$B$66,'CCaMC-BSCpUC'!I1)*'CCaMC-BCCpUC'!$B$14</f>
        <v>212935.91382144319</v>
      </c>
      <c r="J14" s="141">
        <f>TREND('Start Year Soft Cost Data'!$B$67:$C$67,'Start Year Soft Cost Data'!$B$66:$C$66,'CCaMC-BSCpUC'!J1)*'CCaMC-BCCpUC'!$B$14</f>
        <v>195901.04071572269</v>
      </c>
      <c r="K14" s="141">
        <f>TREND('Start Year Soft Cost Data'!$B$67:$C$67,'Start Year Soft Cost Data'!$B$66:$C$66,'CCaMC-BSCpUC'!K1)*'CCaMC-BCCpUC'!$B$14</f>
        <v>178866.16761000722</v>
      </c>
      <c r="L14" s="141">
        <f>TREND('Start Year Soft Cost Data'!$B$67:$C$67,'Start Year Soft Cost Data'!$B$66:$C$66,'CCaMC-BSCpUC'!L1)*'CCaMC-BCCpUC'!$B$14</f>
        <v>161831.29450429179</v>
      </c>
      <c r="M14" s="141">
        <f>TREND('Start Year Soft Cost Data'!$B$67:$C$67,'Start Year Soft Cost Data'!$B$66:$C$66,'CCaMC-BSCpUC'!M1)*'CCaMC-BCCpUC'!$B$14</f>
        <v>144796.42139858135</v>
      </c>
      <c r="N14" s="141">
        <f>TREND('Start Year Soft Cost Data'!$B$67:$C$67,'Start Year Soft Cost Data'!$B$66:$C$66,'CCaMC-BSCpUC'!N1)*'CCaMC-BCCpUC'!$B$14</f>
        <v>127761.5482928659</v>
      </c>
      <c r="O14" s="140">
        <f>TREND('Start Year Soft Cost Data'!$C$67:$D$67,'Start Year Soft Cost Data'!$C$66:$D$66,'CCaMC-BSCpUC'!O1)*'CCaMC-BCCpUC'!$B$14</f>
        <v>113565.82070476297</v>
      </c>
      <c r="P14" s="140">
        <f>TREND('Start Year Soft Cost Data'!$C$67:$D$67,'Start Year Soft Cost Data'!$C$66:$D$66,'CCaMC-BSCpUC'!P1)*'CCaMC-BCCpUC'!$B$14</f>
        <v>99370.093116670119</v>
      </c>
      <c r="Q14" s="140">
        <f>TREND('Start Year Soft Cost Data'!$C$67:$D$67,'Start Year Soft Cost Data'!$C$66:$D$66,'CCaMC-BSCpUC'!Q1)*'CCaMC-BCCpUC'!$B$14</f>
        <v>85174.365528572234</v>
      </c>
      <c r="R14" s="140">
        <f>TREND('Start Year Soft Cost Data'!$C$67:$D$67,'Start Year Soft Cost Data'!$C$66:$D$66,'CCaMC-BSCpUC'!R1)*'CCaMC-BCCpUC'!$B$14</f>
        <v>70978.637940479384</v>
      </c>
      <c r="S14" s="140">
        <f>TREND('Start Year Soft Cost Data'!$C$67:$D$67,'Start Year Soft Cost Data'!$C$66:$D$66,'CCaMC-BSCpUC'!S1)*'CCaMC-BCCpUC'!$B$14</f>
        <v>56782.910352381485</v>
      </c>
      <c r="T14" s="141">
        <f>TREND('Start Year Soft Cost Data'!$D$67:$E$67,'Start Year Soft Cost Data'!$D$66:$E$66,'CCaMC-BSCpUC'!T1)*'CCaMC-BCCpUC'!$B$14</f>
        <v>65300.346905241735</v>
      </c>
      <c r="U14" s="141">
        <f>TREND('Start Year Soft Cost Data'!$D$67:$E$67,'Start Year Soft Cost Data'!$D$66:$E$66,'CCaMC-BSCpUC'!U1)*'CCaMC-BCCpUC'!$B$14</f>
        <v>73817.783458096936</v>
      </c>
      <c r="V14" s="141">
        <f>TREND('Start Year Soft Cost Data'!$D$67:$E$67,'Start Year Soft Cost Data'!$D$66:$E$66,'CCaMC-BSCpUC'!V1)*'CCaMC-BCCpUC'!$B$14</f>
        <v>82335.220010954668</v>
      </c>
      <c r="W14" s="141">
        <f>TREND('Start Year Soft Cost Data'!$D$67:$E$67,'Start Year Soft Cost Data'!$D$66:$E$66,'CCaMC-BSCpUC'!W1)*'CCaMC-BCCpUC'!$B$14</f>
        <v>90852.656563812401</v>
      </c>
      <c r="X14" s="141">
        <f>TREND('Start Year Soft Cost Data'!$D$67:$E$67,'Start Year Soft Cost Data'!$D$66:$E$66,'CCaMC-BSCpUC'!X1)*'CCaMC-BCCpUC'!$B$14</f>
        <v>99370.093116670119</v>
      </c>
      <c r="Y14" s="140">
        <f>TREND('Start Year Soft Cost Data'!$E$67:$F$67,'Start Year Soft Cost Data'!$E$66:$F$66,'CCaMC-BSCpUC'!Y1)*'CCaMC-BCCpUC'!$B$14</f>
        <v>103628.81139309899</v>
      </c>
      <c r="Z14" s="140">
        <f>TREND('Start Year Soft Cost Data'!$E$67:$F$67,'Start Year Soft Cost Data'!$E$66:$F$66,'CCaMC-BSCpUC'!Z1)*'CCaMC-BCCpUC'!$B$14</f>
        <v>107887.52966952785</v>
      </c>
      <c r="AA14" s="140">
        <f>TREND('Start Year Soft Cost Data'!$E$67:$F$67,'Start Year Soft Cost Data'!$E$66:$F$66,'CCaMC-BSCpUC'!AA1)*'CCaMC-BCCpUC'!$B$14</f>
        <v>112146.24794595671</v>
      </c>
      <c r="AB14" s="140">
        <f>TREND('Start Year Soft Cost Data'!$E$67:$F$67,'Start Year Soft Cost Data'!$E$66:$F$66,'CCaMC-BSCpUC'!AB1)*'CCaMC-BCCpUC'!$B$14</f>
        <v>116404.96622238558</v>
      </c>
      <c r="AC14" s="140">
        <f>TREND('Start Year Soft Cost Data'!$E$67:$F$67,'Start Year Soft Cost Data'!$E$66:$F$66,'CCaMC-BSCpUC'!AC1)*'CCaMC-BCCpUC'!$B$14</f>
        <v>120663.68449881318</v>
      </c>
      <c r="AD14" s="140">
        <f>TREND('Start Year Soft Cost Data'!$E$67:$F$67,'Start Year Soft Cost Data'!$E$66:$F$66,'CCaMC-BSCpUC'!AD1)*'CCaMC-BCCpUC'!$B$14</f>
        <v>124922.40277524205</v>
      </c>
      <c r="AE14" s="140">
        <f>TREND('Start Year Soft Cost Data'!$E$67:$F$67,'Start Year Soft Cost Data'!$E$66:$F$66,'CCaMC-BSCpUC'!AE1)*'CCaMC-BCCpUC'!$B$14</f>
        <v>129181.12105167091</v>
      </c>
      <c r="AF14" s="140">
        <f>TREND('Start Year Soft Cost Data'!$E$67:$F$67,'Start Year Soft Cost Data'!$E$66:$F$66,'CCaMC-BSCpUC'!AF1)*'CCaMC-BCCpUC'!$B$14</f>
        <v>133439.83932809977</v>
      </c>
      <c r="AG14" s="140">
        <f>TREND('Start Year Soft Cost Data'!$E$67:$F$67,'Start Year Soft Cost Data'!$E$66:$F$66,'CCaMC-BSCpUC'!AG1)*'CCaMC-BCCpUC'!$B$14</f>
        <v>137698.55760452864</v>
      </c>
      <c r="AH14" s="140">
        <f>TREND('Start Year Soft Cost Data'!$E$67:$F$67,'Start Year Soft Cost Data'!$E$66:$F$66,'CCaMC-BSCpUC'!AH1)*'CCaMC-BCCpUC'!$B$14</f>
        <v>141957.27588095749</v>
      </c>
    </row>
    <row r="15" spans="1:34" x14ac:dyDescent="0.25">
      <c r="A15" s="51" t="s">
        <v>258</v>
      </c>
      <c r="B15" s="115">
        <v>0</v>
      </c>
      <c r="C15" s="115">
        <v>0</v>
      </c>
      <c r="D15" s="115">
        <v>0</v>
      </c>
      <c r="E15" s="115">
        <v>0</v>
      </c>
      <c r="F15" s="115">
        <v>0</v>
      </c>
      <c r="G15" s="115">
        <v>0</v>
      </c>
      <c r="H15" s="115">
        <v>0</v>
      </c>
      <c r="I15" s="115">
        <v>0</v>
      </c>
      <c r="J15" s="115">
        <v>0</v>
      </c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</v>
      </c>
      <c r="Q15" s="115">
        <v>0</v>
      </c>
      <c r="R15" s="115">
        <v>0</v>
      </c>
      <c r="S15" s="115">
        <v>0</v>
      </c>
      <c r="T15" s="115">
        <v>0</v>
      </c>
      <c r="U15" s="115">
        <v>0</v>
      </c>
      <c r="V15" s="115">
        <v>0</v>
      </c>
      <c r="W15" s="115">
        <v>0</v>
      </c>
      <c r="X15" s="115">
        <v>0</v>
      </c>
      <c r="Y15" s="115">
        <v>0</v>
      </c>
      <c r="Z15" s="115">
        <v>0</v>
      </c>
      <c r="AA15" s="115">
        <v>0</v>
      </c>
      <c r="AB15" s="115">
        <v>0</v>
      </c>
      <c r="AC15" s="115">
        <v>0</v>
      </c>
      <c r="AD15" s="115">
        <v>0</v>
      </c>
      <c r="AE15" s="115">
        <v>0</v>
      </c>
      <c r="AF15" s="115">
        <v>0</v>
      </c>
      <c r="AG15" s="115">
        <v>0</v>
      </c>
      <c r="AH15" s="115">
        <v>0</v>
      </c>
    </row>
    <row r="16" spans="1:34" x14ac:dyDescent="0.25">
      <c r="A16" s="51" t="s">
        <v>259</v>
      </c>
      <c r="B16" s="115">
        <v>0</v>
      </c>
      <c r="C16" s="115">
        <v>0</v>
      </c>
      <c r="D16" s="115">
        <v>0</v>
      </c>
      <c r="E16" s="115">
        <v>0</v>
      </c>
      <c r="F16" s="115">
        <v>0</v>
      </c>
      <c r="G16" s="115">
        <v>0</v>
      </c>
      <c r="H16" s="115">
        <v>0</v>
      </c>
      <c r="I16" s="115">
        <v>0</v>
      </c>
      <c r="J16" s="115">
        <v>0</v>
      </c>
      <c r="K16" s="115">
        <v>0</v>
      </c>
      <c r="L16" s="115">
        <v>0</v>
      </c>
      <c r="M16" s="115">
        <v>0</v>
      </c>
      <c r="N16" s="115">
        <v>0</v>
      </c>
      <c r="O16" s="115">
        <v>0</v>
      </c>
      <c r="P16" s="115">
        <v>0</v>
      </c>
      <c r="Q16" s="115">
        <v>0</v>
      </c>
      <c r="R16" s="115">
        <v>0</v>
      </c>
      <c r="S16" s="115">
        <v>0</v>
      </c>
      <c r="T16" s="115">
        <v>0</v>
      </c>
      <c r="U16" s="115">
        <v>0</v>
      </c>
      <c r="V16" s="115">
        <v>0</v>
      </c>
      <c r="W16" s="115">
        <v>0</v>
      </c>
      <c r="X16" s="115">
        <v>0</v>
      </c>
      <c r="Y16" s="115">
        <v>0</v>
      </c>
      <c r="Z16" s="115">
        <v>0</v>
      </c>
      <c r="AA16" s="115">
        <v>0</v>
      </c>
      <c r="AB16" s="115">
        <v>0</v>
      </c>
      <c r="AC16" s="115">
        <v>0</v>
      </c>
      <c r="AD16" s="115">
        <v>0</v>
      </c>
      <c r="AE16" s="115">
        <v>0</v>
      </c>
      <c r="AF16" s="115">
        <v>0</v>
      </c>
      <c r="AG16" s="115">
        <v>0</v>
      </c>
      <c r="AH16" s="115">
        <v>0</v>
      </c>
    </row>
    <row r="17" spans="1:34" x14ac:dyDescent="0.25">
      <c r="A17" s="51" t="s">
        <v>260</v>
      </c>
      <c r="B17" s="115">
        <v>0</v>
      </c>
      <c r="C17" s="115">
        <v>0</v>
      </c>
      <c r="D17" s="115">
        <v>0</v>
      </c>
      <c r="E17" s="115">
        <v>0</v>
      </c>
      <c r="F17" s="115">
        <v>0</v>
      </c>
      <c r="G17" s="115">
        <v>0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0</v>
      </c>
      <c r="Y17" s="115">
        <v>0</v>
      </c>
      <c r="Z17" s="115">
        <v>0</v>
      </c>
      <c r="AA17" s="115">
        <v>0</v>
      </c>
      <c r="AB17" s="115">
        <v>0</v>
      </c>
      <c r="AC17" s="115">
        <v>0</v>
      </c>
      <c r="AD17" s="115">
        <v>0</v>
      </c>
      <c r="AE17" s="115">
        <v>0</v>
      </c>
      <c r="AF17" s="115">
        <v>0</v>
      </c>
      <c r="AG17" s="115">
        <v>0</v>
      </c>
      <c r="AH17" s="115">
        <v>0</v>
      </c>
    </row>
    <row r="20" spans="1:34" x14ac:dyDescent="0.25">
      <c r="C2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Conversion Factors</vt:lpstr>
      <vt:lpstr>IESS</vt:lpstr>
      <vt:lpstr>Geothermal</vt:lpstr>
      <vt:lpstr>Lazard</vt:lpstr>
      <vt:lpstr>Combined Capital Costs</vt:lpstr>
      <vt:lpstr>Solar Thermal Base Cost</vt:lpstr>
      <vt:lpstr>Coal Cost Multipliers</vt:lpstr>
      <vt:lpstr>CEA NEP</vt:lpstr>
      <vt:lpstr>IESS Annual Cap Costs</vt:lpstr>
      <vt:lpstr>Waste to Energy</vt:lpstr>
      <vt:lpstr>Start Year Soft Cost Data</vt:lpstr>
      <vt:lpstr>CCaMC-BCCpUC_old</vt:lpstr>
      <vt:lpstr>CCaMC-AFOaMCpUC</vt:lpstr>
      <vt:lpstr>CCaMC-VOaMCpUC</vt:lpstr>
      <vt:lpstr>CCaMC-BCCpUC</vt:lpstr>
      <vt:lpstr>CCaMC-BSCpUC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Olivia Ashmoore</cp:lastModifiedBy>
  <cp:revision/>
  <dcterms:created xsi:type="dcterms:W3CDTF">2014-02-14T06:19:38Z</dcterms:created>
  <dcterms:modified xsi:type="dcterms:W3CDTF">2020-08-21T00:06:04Z</dcterms:modified>
  <cp:category/>
  <cp:contentStatus/>
</cp:coreProperties>
</file>