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bldgs\BRESaC\"/>
    </mc:Choice>
  </mc:AlternateContent>
  <xr:revisionPtr revIDLastSave="0" documentId="13_ncr:1_{EF934A55-75AA-4A3E-8F76-25420ED833E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3" r:id="rId1"/>
    <sheet name="Conversion Factors" sheetId="14" r:id="rId2"/>
    <sheet name="Calcs" sheetId="13" r:id="rId3"/>
    <sheet name="BRESaC-energy" sheetId="10" r:id="rId4"/>
    <sheet name="BRESaC-cos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3" l="1"/>
  <c r="F15" i="13"/>
  <c r="F16" i="13"/>
  <c r="F17" i="13"/>
  <c r="F18" i="13"/>
  <c r="F19" i="13"/>
  <c r="F13" i="13"/>
  <c r="D3" i="12"/>
  <c r="D2" i="12"/>
  <c r="B3" i="12"/>
  <c r="B2" i="12"/>
  <c r="D3" i="10"/>
  <c r="D2" i="10"/>
  <c r="B3" i="10"/>
  <c r="E6" i="13"/>
  <c r="B2" i="10"/>
  <c r="E21" i="13" l="1"/>
  <c r="E26" i="13" s="1"/>
  <c r="E25" i="13"/>
  <c r="B92" i="14"/>
  <c r="B90" i="14"/>
  <c r="B82" i="14"/>
  <c r="B84" i="14" s="1"/>
  <c r="B85" i="14" s="1"/>
  <c r="B78" i="14"/>
  <c r="B79" i="14" s="1"/>
  <c r="B68" i="14"/>
  <c r="B64" i="14"/>
  <c r="B63" i="14"/>
  <c r="B59" i="14"/>
  <c r="B54" i="14"/>
  <c r="B55" i="14" s="1"/>
  <c r="E49" i="14"/>
  <c r="B49" i="14"/>
  <c r="B50" i="14" s="1"/>
  <c r="B43" i="14"/>
  <c r="B44" i="14" s="1"/>
  <c r="B45" i="14" s="1"/>
  <c r="B38" i="14"/>
  <c r="B30" i="14"/>
  <c r="B29" i="14"/>
  <c r="B31" i="14" s="1"/>
  <c r="B33" i="14" s="1"/>
  <c r="B34" i="14" s="1"/>
  <c r="E24" i="13" l="1"/>
  <c r="E23" i="13"/>
  <c r="E22" i="13"/>
  <c r="D20" i="13"/>
  <c r="E20" i="13"/>
  <c r="C7" i="12" l="1"/>
  <c r="C6" i="12"/>
  <c r="C5" i="12"/>
  <c r="C4" i="12"/>
  <c r="C4" i="10" l="1"/>
  <c r="C5" i="10"/>
  <c r="C6" i="10"/>
  <c r="C7" i="10"/>
</calcChain>
</file>

<file path=xl/sharedStrings.xml><?xml version="1.0" encoding="utf-8"?>
<sst xmlns="http://schemas.openxmlformats.org/spreadsheetml/2006/main" count="173" uniqueCount="142">
  <si>
    <t>Source:</t>
  </si>
  <si>
    <t>Tables 11 and 15</t>
  </si>
  <si>
    <t>Coal</t>
  </si>
  <si>
    <t>other component</t>
  </si>
  <si>
    <t>appliances</t>
  </si>
  <si>
    <t>lighting</t>
  </si>
  <si>
    <t>envelope</t>
  </si>
  <si>
    <t>cooling and ventilation</t>
  </si>
  <si>
    <t>heating</t>
  </si>
  <si>
    <t>commercial</t>
  </si>
  <si>
    <t>rural residential</t>
  </si>
  <si>
    <t>urban residential</t>
  </si>
  <si>
    <t>BRESaC Percent Energy Savings from Retrofitting by Component</t>
  </si>
  <si>
    <t>BRESaC Retrofitting Cost per Unit Energy Saved</t>
  </si>
  <si>
    <t>Percent energy saving (dimensionless)</t>
  </si>
  <si>
    <t>$/BTU</t>
  </si>
  <si>
    <t>Saving Money and Energy: Case Study of the Energy-Efficiency Retrofit of the Godrej Bhavan Building in Mumbai</t>
  </si>
  <si>
    <t>http://www.gcpcenvis.nic.in/CaseStudy/Saving_Money_and_Energy.pdf</t>
  </si>
  <si>
    <t>Table 2 : Electricity use and cost savings(2009 to 2012)</t>
  </si>
  <si>
    <t>Year</t>
  </si>
  <si>
    <t>Electricity used (KWh)</t>
  </si>
  <si>
    <t>Electricity used per square meter of conditiond space (kWh/sq.m.)</t>
  </si>
  <si>
    <t>Electricity costs</t>
  </si>
  <si>
    <t>Electricity saved compared with baseline</t>
  </si>
  <si>
    <t>Electricity cost savings compared with baseline</t>
  </si>
  <si>
    <t>2009 to 2010
(baseline)</t>
  </si>
  <si>
    <t>n/a</t>
  </si>
  <si>
    <t>2010 to 2011</t>
  </si>
  <si>
    <t>2011 to 2012</t>
  </si>
  <si>
    <t>2009-2010 is pre-retrofit.</t>
  </si>
  <si>
    <t>2010-2011 and 2011-2012 are post-retrofit.</t>
  </si>
  <si>
    <t>Table 1: ENERGy-EffiCiENCy RETRofiT  CoMPoNENT CoSTS</t>
  </si>
  <si>
    <t>Component</t>
  </si>
  <si>
    <t>Cost (INR)</t>
  </si>
  <si>
    <t>HVAC-system replacement</t>
  </si>
  <si>
    <t>Water-flow meters</t>
  </si>
  <si>
    <t>Energy-metering system</t>
  </si>
  <si>
    <t>Auto blow down controller at the cooling tower</t>
  </si>
  <si>
    <t>High-reflectance paint for the terrace surface</t>
  </si>
  <si>
    <t>Energy audit</t>
  </si>
  <si>
    <t>Lights with energy-efficient tube lights</t>
  </si>
  <si>
    <t>Total Cost of the Energy-EfficiencyMeasures installed</t>
  </si>
  <si>
    <t>Cost (USD/2013)</t>
  </si>
  <si>
    <t>Electricity saved between 2010-11 and baseline (kWh)</t>
  </si>
  <si>
    <t>Electricity saved between 2011-12 and baseline (kWh)</t>
  </si>
  <si>
    <t>Average electricity saved (kWh)</t>
  </si>
  <si>
    <t>Average electricity saved (BTU)</t>
  </si>
  <si>
    <t>Multiplication factor for USD 2012 from 2013</t>
  </si>
  <si>
    <t>See "cpi.xlsx" for source info</t>
  </si>
  <si>
    <t>Currency</t>
  </si>
  <si>
    <t xml:space="preserve">Weight to Volume Conversion </t>
  </si>
  <si>
    <t>India Inflation Rates</t>
  </si>
  <si>
    <t>See scaling-factors.xlsx for source info</t>
  </si>
  <si>
    <t>Product</t>
  </si>
  <si>
    <t xml:space="preserve">Weight </t>
  </si>
  <si>
    <t xml:space="preserve">Volume </t>
  </si>
  <si>
    <t xml:space="preserve">Barrel </t>
  </si>
  <si>
    <t>Rate</t>
  </si>
  <si>
    <t>Value Indexed to 2012</t>
  </si>
  <si>
    <t>(MT)</t>
  </si>
  <si>
    <t>(KL)</t>
  </si>
  <si>
    <t>(bbl)</t>
  </si>
  <si>
    <t>LPG</t>
  </si>
  <si>
    <t>Petrol (MS)</t>
  </si>
  <si>
    <t>Diesel (HSD)</t>
  </si>
  <si>
    <t>Kerosene (SKO)</t>
  </si>
  <si>
    <t>ATF</t>
  </si>
  <si>
    <t>Light Diesel Oil (LDO)</t>
  </si>
  <si>
    <t>Furnace Oil (FO)</t>
  </si>
  <si>
    <t>Crude Oil</t>
  </si>
  <si>
    <t>Source: PPAC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</si>
  <si>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</si>
  <si>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</si>
  <si>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</si>
  <si>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</si>
  <si>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</si>
  <si>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</si>
  <si>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</si>
  <si>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</si>
  <si>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</si>
  <si>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</si>
  <si>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</si>
  <si>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</si>
  <si>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 xml:space="preserve">Energy in Jet Fuel 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</si>
  <si>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</si>
  <si>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</si>
  <si>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</si>
  <si>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</si>
  <si>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</si>
  <si>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</si>
  <si>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Diesel Density</t>
  </si>
  <si>
    <t>million BTU/barrel</t>
  </si>
  <si>
    <t>g/l</t>
  </si>
  <si>
    <t>million BTU/l</t>
  </si>
  <si>
    <t>l/g</t>
  </si>
  <si>
    <t>BTU/l</t>
  </si>
  <si>
    <t>Energy in LPG</t>
  </si>
  <si>
    <t>kcal/ton</t>
  </si>
  <si>
    <t>Natural Gas</t>
  </si>
  <si>
    <t>trillion BTU / billion cubic m</t>
  </si>
  <si>
    <t>BTU / thousand cubic m</t>
  </si>
  <si>
    <t>million BTU / bbl</t>
  </si>
  <si>
    <t>BTU / bbl</t>
  </si>
  <si>
    <t>Fuel Ethanol</t>
  </si>
  <si>
    <t>bbl/mtoe</t>
  </si>
  <si>
    <t>bbl/litre</t>
  </si>
  <si>
    <t>Refuse Derived Fuel (RDF Grade II minimum)</t>
  </si>
  <si>
    <t>Lignite</t>
  </si>
  <si>
    <t>mtoe/ton</t>
  </si>
  <si>
    <t>million BTU/mtoe</t>
  </si>
  <si>
    <t>million BTU/ton</t>
  </si>
  <si>
    <t>Uranium U3O8</t>
  </si>
  <si>
    <t>kg/ton</t>
  </si>
  <si>
    <t>lb/kg</t>
  </si>
  <si>
    <t>lb/ton</t>
  </si>
  <si>
    <t>BTU/lb</t>
  </si>
  <si>
    <t>USD 2012</t>
  </si>
  <si>
    <t>NRDC, ASCI</t>
  </si>
  <si>
    <t>Case Study for estimating costs and savings</t>
  </si>
  <si>
    <t>Buildings Energy Efficiency Programme in India</t>
  </si>
  <si>
    <t>About Energy Efficient Buildings</t>
  </si>
  <si>
    <t>https://eeslindia.org/content/raj/eesl/en/Programmes/Energy-Efficient-Buildings/about-energy-efficient-building.html</t>
  </si>
  <si>
    <t>Notes:</t>
  </si>
  <si>
    <t xml:space="preserve">India has a Buildings Energy Efficiency Programme for buildings in govt., institutions, </t>
  </si>
  <si>
    <t>and industry, implemented by Energy Efficiency Services Ltd. (EESL).</t>
  </si>
  <si>
    <t>EESL/MoP</t>
  </si>
  <si>
    <t>There is no database of estimates from retrofits in all projects implemented under</t>
  </si>
  <si>
    <t>this project. However, there are estimates of component-wise costs and savings</t>
  </si>
  <si>
    <t>Data on component-wise retrofit costs are available, however the energy savings</t>
  </si>
  <si>
    <t>data is only available for the building as a whole. Since the retrofit costs are largely comprised</t>
  </si>
  <si>
    <t>apply to two components that make up HVAC i.e. heating, and ventilation &amp; cooling.</t>
  </si>
  <si>
    <t>In the absence of residential retrofit estimates, we assume that if the same technologies</t>
  </si>
  <si>
    <t xml:space="preserve">were applied to a smaller scale in urban residential buildings, then the % energy savings </t>
  </si>
  <si>
    <t>implemented only if there is a feasible business case to recover additional costs within</t>
  </si>
  <si>
    <t xml:space="preserve">a reasonable payback period. </t>
  </si>
  <si>
    <t xml:space="preserve">and costs per unit energy saved would be the same. This is because retrofits would be </t>
  </si>
  <si>
    <t>from some cast studies. Since case studies differ by context, we consider a</t>
  </si>
  <si>
    <t>representative estimate from the case of an urban commercial building.</t>
  </si>
  <si>
    <t>Average % savings</t>
  </si>
  <si>
    <t>Cost ($) per BTU</t>
  </si>
  <si>
    <t>Component Share</t>
  </si>
  <si>
    <t>of the HVAC component (&gt;90%), we assume the total cost and energy saving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</si>
</sst>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1" formatCode="0.00000"/>
    <numFmt numFmtId="172" formatCode="0.000"/>
    <numFmt numFmtId="173" formatCode="0.000000"/>
    <numFmt numFmtId="17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0" fontId="1" fillId="2" borderId="0" xfId="0" applyFont="1" applyFill="1"/>
    <xf numFmtId="11" fontId="0" fillId="0" borderId="0" xfId="0" applyNumberFormat="1"/>
    <xf numFmtId="10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72" fontId="0" fillId="0" borderId="0" xfId="0" applyNumberFormat="1"/>
    <xf numFmtId="171" fontId="0" fillId="0" borderId="0" xfId="0" applyNumberFormat="1"/>
    <xf numFmtId="17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/>
    </xf>
    <xf numFmtId="10" fontId="1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3" fontId="1" fillId="0" borderId="0" xfId="0" applyNumberFormat="1" applyFont="1"/>
    <xf numFmtId="0" fontId="1" fillId="4" borderId="0" xfId="0" applyFont="1" applyFill="1"/>
    <xf numFmtId="0" fontId="6" fillId="4" borderId="0" xfId="0" applyFont="1" applyFill="1"/>
    <xf numFmtId="0" fontId="2" fillId="4" borderId="0" xfId="1" applyFill="1" applyAlignment="1" applyProtection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10" fontId="0" fillId="4" borderId="0" xfId="0" applyNumberFormat="1" applyFill="1"/>
    <xf numFmtId="172" fontId="0" fillId="4" borderId="0" xfId="0" applyNumberFormat="1" applyFill="1"/>
    <xf numFmtId="0" fontId="6" fillId="4" borderId="0" xfId="0" applyFont="1" applyFill="1" applyAlignment="1">
      <alignment wrapText="1"/>
    </xf>
    <xf numFmtId="9" fontId="0" fillId="4" borderId="0" xfId="0" applyNumberFormat="1" applyFill="1"/>
    <xf numFmtId="0" fontId="7" fillId="0" borderId="0" xfId="0" applyFont="1" applyFill="1" applyAlignment="1">
      <alignment wrapText="1"/>
    </xf>
    <xf numFmtId="11" fontId="0" fillId="2" borderId="0" xfId="0" applyNumberFormat="1" applyFill="1"/>
    <xf numFmtId="11" fontId="0" fillId="4" borderId="0" xfId="0" applyNumberFormat="1" applyFill="1"/>
    <xf numFmtId="2" fontId="0" fillId="0" borderId="0" xfId="0" applyNumberFormat="1"/>
    <xf numFmtId="174" fontId="0" fillId="0" borderId="0" xfId="0" applyNumberFormat="1"/>
    <xf numFmtId="10" fontId="1" fillId="3" borderId="0" xfId="0" applyNumberFormat="1" applyFont="1" applyFill="1"/>
    <xf numFmtId="3" fontId="0" fillId="0" borderId="0" xfId="0" applyNumberFormat="1" applyFont="1"/>
    <xf numFmtId="171" fontId="1" fillId="3" borderId="0" xfId="0" applyNumberFormat="1" applyFont="1" applyFill="1"/>
    <xf numFmtId="174" fontId="8" fillId="2" borderId="0" xfId="0" applyNumberFormat="1" applyFont="1" applyFill="1"/>
  </cellXfs>
  <cellStyles count="9">
    <cellStyle name="Body: normal cell" xfId="6" xr:uid="{00000000-0005-0000-0000-000001000000}"/>
    <cellStyle name="Font: Calibri, 9pt regular" xfId="2" xr:uid="{00000000-0005-0000-0000-000004000000}"/>
    <cellStyle name="Footnotes: top row" xfId="7" xr:uid="{00000000-0005-0000-0000-000005000000}"/>
    <cellStyle name="Header: bottom row" xfId="3" xr:uid="{00000000-0005-0000-0000-000006000000}"/>
    <cellStyle name="Hyperlink" xfId="1" builtinId="8"/>
    <cellStyle name="Normal" xfId="0" builtinId="0"/>
    <cellStyle name="Normal 2" xfId="8" xr:uid="{00000000-0005-0000-0000-000009000000}"/>
    <cellStyle name="Parent row" xfId="5" xr:uid="{00000000-0005-0000-0000-00000A000000}"/>
    <cellStyle name="Table title" xfId="4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cpcenvis.nic.in/CaseStudy/Saving_Money_and_Energy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5" x14ac:dyDescent="0.25"/>
  <cols>
    <col min="2" max="2" width="60.5703125" customWidth="1"/>
    <col min="5" max="5" width="64" customWidth="1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4" spans="1:5" x14ac:dyDescent="0.25">
      <c r="A4" s="1" t="s">
        <v>0</v>
      </c>
      <c r="B4" s="5" t="s">
        <v>118</v>
      </c>
      <c r="E4" s="5" t="s">
        <v>119</v>
      </c>
    </row>
    <row r="5" spans="1:5" x14ac:dyDescent="0.25">
      <c r="B5" t="s">
        <v>117</v>
      </c>
      <c r="E5" t="s">
        <v>125</v>
      </c>
    </row>
    <row r="6" spans="1:5" x14ac:dyDescent="0.25">
      <c r="B6" s="2">
        <v>2013</v>
      </c>
      <c r="E6" s="2">
        <v>2018</v>
      </c>
    </row>
    <row r="7" spans="1:5" x14ac:dyDescent="0.25">
      <c r="B7" t="s">
        <v>16</v>
      </c>
      <c r="E7" t="s">
        <v>120</v>
      </c>
    </row>
    <row r="8" spans="1:5" x14ac:dyDescent="0.25">
      <c r="B8" s="3" t="s">
        <v>17</v>
      </c>
      <c r="E8" s="3" t="s">
        <v>121</v>
      </c>
    </row>
    <row r="9" spans="1:5" x14ac:dyDescent="0.25">
      <c r="B9" t="s">
        <v>1</v>
      </c>
    </row>
    <row r="11" spans="1:5" x14ac:dyDescent="0.25">
      <c r="A11" s="1" t="s">
        <v>122</v>
      </c>
    </row>
    <row r="12" spans="1:5" x14ac:dyDescent="0.25">
      <c r="A12" t="s">
        <v>123</v>
      </c>
    </row>
    <row r="13" spans="1:5" x14ac:dyDescent="0.25">
      <c r="A13" t="s">
        <v>124</v>
      </c>
    </row>
    <row r="15" spans="1:5" x14ac:dyDescent="0.25">
      <c r="A15" t="s">
        <v>126</v>
      </c>
    </row>
    <row r="16" spans="1:5" x14ac:dyDescent="0.25">
      <c r="A16" t="s">
        <v>127</v>
      </c>
    </row>
    <row r="17" spans="1:1" x14ac:dyDescent="0.25">
      <c r="A17" t="s">
        <v>136</v>
      </c>
    </row>
    <row r="18" spans="1:1" x14ac:dyDescent="0.25">
      <c r="A18" t="s">
        <v>137</v>
      </c>
    </row>
    <row r="20" spans="1:1" x14ac:dyDescent="0.25">
      <c r="A20" t="s">
        <v>128</v>
      </c>
    </row>
    <row r="21" spans="1:1" x14ac:dyDescent="0.25">
      <c r="A21" t="s">
        <v>129</v>
      </c>
    </row>
    <row r="22" spans="1:1" x14ac:dyDescent="0.25">
      <c r="A22" t="s">
        <v>141</v>
      </c>
    </row>
    <row r="23" spans="1:1" x14ac:dyDescent="0.25">
      <c r="A23" t="s">
        <v>130</v>
      </c>
    </row>
    <row r="25" spans="1:1" x14ac:dyDescent="0.25">
      <c r="A25" t="s">
        <v>131</v>
      </c>
    </row>
    <row r="26" spans="1:1" x14ac:dyDescent="0.25">
      <c r="A26" t="s">
        <v>132</v>
      </c>
    </row>
    <row r="27" spans="1:1" x14ac:dyDescent="0.25">
      <c r="A27" t="s">
        <v>135</v>
      </c>
    </row>
    <row r="28" spans="1:1" x14ac:dyDescent="0.25">
      <c r="A28" t="s">
        <v>133</v>
      </c>
    </row>
    <row r="29" spans="1:1" x14ac:dyDescent="0.25">
      <c r="A29" t="s">
        <v>134</v>
      </c>
    </row>
    <row r="31" spans="1:1" x14ac:dyDescent="0.25">
      <c r="A31" t="s">
        <v>47</v>
      </c>
    </row>
    <row r="32" spans="1:1" x14ac:dyDescent="0.25">
      <c r="A32">
        <v>0.98556385942470071</v>
      </c>
    </row>
    <row r="33" spans="1:1" x14ac:dyDescent="0.25">
      <c r="A33" s="21" t="s">
        <v>48</v>
      </c>
    </row>
  </sheetData>
  <hyperlinks>
    <hyperlink ref="B8" r:id="rId1" xr:uid="{557C3757-18F3-41D1-9140-2F192C5784A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C337-3855-4729-8078-EAEBBD28541E}">
  <sheetPr>
    <tabColor rgb="FF92D050"/>
  </sheetPr>
  <dimension ref="A1:I92"/>
  <sheetViews>
    <sheetView topLeftCell="A13" workbookViewId="0">
      <selection activeCell="E50" sqref="E50"/>
    </sheetView>
  </sheetViews>
  <sheetFormatPr defaultColWidth="8.85546875" defaultRowHeight="15" x14ac:dyDescent="0.25"/>
  <cols>
    <col min="1" max="1" width="26" customWidth="1"/>
    <col min="2" max="2" width="21.28515625" customWidth="1"/>
    <col min="3" max="3" width="26.5703125" customWidth="1"/>
    <col min="6" max="6" width="21.140625" customWidth="1"/>
    <col min="7" max="7" width="11.7109375" customWidth="1"/>
    <col min="8" max="8" width="26.7109375" customWidth="1"/>
    <col min="9" max="9" width="15.42578125" customWidth="1"/>
  </cols>
  <sheetData>
    <row r="1" spans="1:9" x14ac:dyDescent="0.25">
      <c r="A1" s="5" t="s">
        <v>49</v>
      </c>
      <c r="B1" s="4"/>
      <c r="C1" s="4"/>
      <c r="F1" s="5" t="s">
        <v>50</v>
      </c>
      <c r="G1" s="4"/>
      <c r="H1" s="4"/>
      <c r="I1" s="4"/>
    </row>
    <row r="2" spans="1:9" x14ac:dyDescent="0.25">
      <c r="A2" s="25" t="s">
        <v>51</v>
      </c>
      <c r="B2" s="26" t="s">
        <v>52</v>
      </c>
      <c r="C2" s="27"/>
      <c r="F2" s="28" t="s">
        <v>53</v>
      </c>
      <c r="G2" s="29" t="s">
        <v>54</v>
      </c>
      <c r="H2" s="29" t="s">
        <v>55</v>
      </c>
      <c r="I2" s="29" t="s">
        <v>56</v>
      </c>
    </row>
    <row r="3" spans="1:9" x14ac:dyDescent="0.25">
      <c r="A3" s="30" t="s">
        <v>19</v>
      </c>
      <c r="B3" s="30" t="s">
        <v>57</v>
      </c>
      <c r="C3" s="30" t="s">
        <v>58</v>
      </c>
      <c r="F3" s="28"/>
      <c r="G3" s="29" t="s">
        <v>59</v>
      </c>
      <c r="H3" s="29" t="s">
        <v>60</v>
      </c>
      <c r="I3" s="29" t="s">
        <v>61</v>
      </c>
    </row>
    <row r="4" spans="1:9" x14ac:dyDescent="0.25">
      <c r="A4" s="28">
        <v>2010</v>
      </c>
      <c r="B4" s="31">
        <v>9.4700000000000006E-2</v>
      </c>
      <c r="C4" s="32">
        <v>0.84470208721577789</v>
      </c>
      <c r="F4" s="33" t="s">
        <v>62</v>
      </c>
      <c r="G4" s="29">
        <v>1</v>
      </c>
      <c r="H4" s="29">
        <v>1.8440000000000001</v>
      </c>
      <c r="I4" s="29">
        <v>11.6</v>
      </c>
    </row>
    <row r="5" spans="1:9" x14ac:dyDescent="0.25">
      <c r="A5" s="28">
        <v>2011</v>
      </c>
      <c r="B5" s="31">
        <v>6.4899999999999999E-2</v>
      </c>
      <c r="C5" s="32">
        <v>0.8995232526760818</v>
      </c>
      <c r="F5" s="33" t="s">
        <v>63</v>
      </c>
      <c r="G5" s="29">
        <v>1</v>
      </c>
      <c r="H5" s="29">
        <v>1.411</v>
      </c>
      <c r="I5" s="29">
        <v>8.8800000000000008</v>
      </c>
    </row>
    <row r="6" spans="1:9" x14ac:dyDescent="0.25">
      <c r="A6" s="28">
        <v>2012</v>
      </c>
      <c r="B6" s="31">
        <v>0.11169999999999999</v>
      </c>
      <c r="C6" s="28">
        <v>1</v>
      </c>
      <c r="F6" s="33" t="s">
        <v>64</v>
      </c>
      <c r="G6" s="29">
        <v>1</v>
      </c>
      <c r="H6" s="29">
        <v>1.21</v>
      </c>
      <c r="I6" s="29">
        <v>7.61</v>
      </c>
    </row>
    <row r="7" spans="1:9" x14ac:dyDescent="0.25">
      <c r="A7" s="28">
        <v>2013</v>
      </c>
      <c r="B7" s="31">
        <v>9.1300000000000006E-2</v>
      </c>
      <c r="C7" s="32">
        <v>1.0912999999999999</v>
      </c>
      <c r="F7" s="33" t="s">
        <v>65</v>
      </c>
      <c r="G7" s="29">
        <v>1</v>
      </c>
      <c r="H7" s="29">
        <v>1.2849999999999999</v>
      </c>
      <c r="I7" s="29">
        <v>8.08</v>
      </c>
    </row>
    <row r="8" spans="1:9" x14ac:dyDescent="0.25">
      <c r="A8" s="28">
        <v>2014</v>
      </c>
      <c r="B8" s="31">
        <v>5.8599999999999999E-2</v>
      </c>
      <c r="C8" s="32">
        <v>1.1552501799999999</v>
      </c>
      <c r="F8" s="33" t="s">
        <v>66</v>
      </c>
      <c r="G8" s="29">
        <v>1</v>
      </c>
      <c r="H8" s="29">
        <v>1.288</v>
      </c>
      <c r="I8" s="29">
        <v>8.1</v>
      </c>
    </row>
    <row r="9" spans="1:9" x14ac:dyDescent="0.25">
      <c r="A9" s="28">
        <v>2015</v>
      </c>
      <c r="B9" s="31">
        <v>6.3200000000000006E-2</v>
      </c>
      <c r="C9" s="32">
        <v>1.2282619913759998</v>
      </c>
      <c r="F9" s="33" t="s">
        <v>67</v>
      </c>
      <c r="G9" s="29">
        <v>1</v>
      </c>
      <c r="H9" s="29">
        <v>1.1719999999999999</v>
      </c>
      <c r="I9" s="29">
        <v>7.37</v>
      </c>
    </row>
    <row r="10" spans="1:9" x14ac:dyDescent="0.25">
      <c r="A10" s="28">
        <v>2016</v>
      </c>
      <c r="B10" s="31">
        <v>2.23E-2</v>
      </c>
      <c r="C10" s="32">
        <v>1.2556522337836846</v>
      </c>
      <c r="F10" s="33" t="s">
        <v>68</v>
      </c>
      <c r="G10" s="29">
        <v>1</v>
      </c>
      <c r="H10" s="29">
        <v>1.071</v>
      </c>
      <c r="I10" s="29">
        <v>6.74</v>
      </c>
    </row>
    <row r="11" spans="1:9" x14ac:dyDescent="0.25">
      <c r="A11" s="28">
        <v>2017</v>
      </c>
      <c r="B11" s="34">
        <v>0.04</v>
      </c>
      <c r="C11" s="32">
        <v>1.3058783231350322</v>
      </c>
      <c r="F11" s="33" t="s">
        <v>69</v>
      </c>
      <c r="G11" s="29">
        <v>1</v>
      </c>
      <c r="H11" s="29">
        <v>1.17</v>
      </c>
      <c r="I11" s="29">
        <v>7.33</v>
      </c>
    </row>
    <row r="12" spans="1:9" x14ac:dyDescent="0.25">
      <c r="A12" s="28">
        <v>2018</v>
      </c>
      <c r="B12" s="31">
        <v>5.2400000000000002E-2</v>
      </c>
      <c r="C12" s="28">
        <v>1.3740000000000001</v>
      </c>
      <c r="F12" s="35" t="s">
        <v>70</v>
      </c>
    </row>
    <row r="13" spans="1:9" x14ac:dyDescent="0.25">
      <c r="A13" s="25" t="s">
        <v>71</v>
      </c>
      <c r="B13" s="26" t="s">
        <v>52</v>
      </c>
      <c r="C13" s="28"/>
    </row>
    <row r="14" spans="1:9" x14ac:dyDescent="0.25">
      <c r="A14" s="28">
        <v>2010</v>
      </c>
      <c r="B14" s="28">
        <v>44.81</v>
      </c>
      <c r="C14" s="28"/>
    </row>
    <row r="15" spans="1:9" x14ac:dyDescent="0.25">
      <c r="A15" s="28">
        <v>2011</v>
      </c>
      <c r="B15" s="28">
        <v>53.26</v>
      </c>
      <c r="C15" s="28"/>
    </row>
    <row r="16" spans="1:9" x14ac:dyDescent="0.25">
      <c r="A16" s="28">
        <v>2012</v>
      </c>
      <c r="B16" s="28">
        <v>54.77</v>
      </c>
      <c r="C16" s="28"/>
    </row>
    <row r="17" spans="1:3" x14ac:dyDescent="0.25">
      <c r="A17" s="28">
        <v>2013</v>
      </c>
      <c r="B17" s="28">
        <v>61.89</v>
      </c>
      <c r="C17" s="28"/>
    </row>
    <row r="18" spans="1:3" ht="18.75" customHeight="1" x14ac:dyDescent="0.25">
      <c r="A18" s="28">
        <v>2014</v>
      </c>
      <c r="B18" s="28">
        <v>63.33</v>
      </c>
      <c r="C18" s="28"/>
    </row>
    <row r="19" spans="1:3" x14ac:dyDescent="0.25">
      <c r="A19" s="28">
        <v>2015</v>
      </c>
      <c r="B19" s="28">
        <v>66.319999999999993</v>
      </c>
      <c r="C19" s="28"/>
    </row>
    <row r="20" spans="1:3" x14ac:dyDescent="0.25">
      <c r="A20" s="28">
        <v>2016</v>
      </c>
      <c r="B20" s="28">
        <v>67.95</v>
      </c>
      <c r="C20" s="28"/>
    </row>
    <row r="21" spans="1:3" x14ac:dyDescent="0.25">
      <c r="A21" s="28">
        <v>2017</v>
      </c>
      <c r="B21" s="28">
        <v>63.92</v>
      </c>
      <c r="C21" s="28"/>
    </row>
    <row r="22" spans="1:3" x14ac:dyDescent="0.25">
      <c r="A22" s="28">
        <v>2018</v>
      </c>
      <c r="B22" s="28">
        <v>68.66</v>
      </c>
      <c r="C22" s="28"/>
    </row>
    <row r="23" spans="1:3" x14ac:dyDescent="0.25">
      <c r="A23" s="5" t="s">
        <v>72</v>
      </c>
      <c r="B23" s="4"/>
      <c r="C23" s="4"/>
    </row>
    <row r="24" spans="1:3" x14ac:dyDescent="0.25">
      <c r="A24" s="28" t="s">
        <v>73</v>
      </c>
      <c r="B24" s="28">
        <v>158.9873</v>
      </c>
      <c r="C24" s="28"/>
    </row>
    <row r="25" spans="1:3" x14ac:dyDescent="0.25">
      <c r="A25" s="28" t="s">
        <v>74</v>
      </c>
      <c r="B25" s="28">
        <v>3.9656699999999998</v>
      </c>
      <c r="C25" s="28"/>
    </row>
    <row r="26" spans="1:3" ht="30" x14ac:dyDescent="0.25">
      <c r="A26" s="33" t="s">
        <v>75</v>
      </c>
      <c r="B26" s="28">
        <v>3412.14</v>
      </c>
      <c r="C26" s="28"/>
    </row>
    <row r="28" spans="1:3" x14ac:dyDescent="0.25">
      <c r="A28" s="5" t="s">
        <v>76</v>
      </c>
      <c r="B28" s="4"/>
      <c r="C28" s="4"/>
    </row>
    <row r="29" spans="1:3" x14ac:dyDescent="0.25">
      <c r="A29" t="s">
        <v>77</v>
      </c>
      <c r="B29">
        <f>AVERAGE(2500,3850)</f>
        <v>3175</v>
      </c>
      <c r="C29" t="s">
        <v>78</v>
      </c>
    </row>
    <row r="30" spans="1:3" x14ac:dyDescent="0.25">
      <c r="A30" t="s">
        <v>79</v>
      </c>
      <c r="B30">
        <f>AVERAGE(3140,3290)</f>
        <v>3215</v>
      </c>
      <c r="C30" t="s">
        <v>78</v>
      </c>
    </row>
    <row r="31" spans="1:3" x14ac:dyDescent="0.25">
      <c r="A31" t="s">
        <v>80</v>
      </c>
      <c r="B31">
        <f>AVERAGE(B29:B30)</f>
        <v>3195</v>
      </c>
      <c r="C31" t="s">
        <v>78</v>
      </c>
    </row>
    <row r="32" spans="1:3" x14ac:dyDescent="0.25">
      <c r="B32" s="12">
        <v>3.9656699999999998</v>
      </c>
      <c r="C32" t="s">
        <v>74</v>
      </c>
    </row>
    <row r="33" spans="1:7" x14ac:dyDescent="0.25">
      <c r="B33" s="8">
        <f>B31*B32</f>
        <v>12670.315649999999</v>
      </c>
      <c r="C33" t="s">
        <v>81</v>
      </c>
    </row>
    <row r="34" spans="1:7" x14ac:dyDescent="0.25">
      <c r="B34" s="6">
        <f>B33*1000</f>
        <v>12670315.649999999</v>
      </c>
      <c r="C34" t="s">
        <v>82</v>
      </c>
    </row>
    <row r="36" spans="1:7" x14ac:dyDescent="0.25">
      <c r="A36" s="5" t="s">
        <v>83</v>
      </c>
      <c r="B36" s="4"/>
      <c r="C36" s="4"/>
    </row>
    <row r="37" spans="1:7" x14ac:dyDescent="0.25">
      <c r="B37">
        <v>5670000</v>
      </c>
      <c r="C37" t="s">
        <v>84</v>
      </c>
    </row>
    <row r="38" spans="1:7" x14ac:dyDescent="0.25">
      <c r="B38" s="8">
        <f>B37/B24</f>
        <v>35663.225930624649</v>
      </c>
      <c r="C38" t="s">
        <v>85</v>
      </c>
    </row>
    <row r="40" spans="1:7" x14ac:dyDescent="0.25">
      <c r="A40" s="5" t="s">
        <v>86</v>
      </c>
      <c r="B40" s="4"/>
      <c r="C40" s="4"/>
    </row>
    <row r="41" spans="1:7" x14ac:dyDescent="0.25">
      <c r="B41">
        <v>10700</v>
      </c>
      <c r="C41" t="s">
        <v>78</v>
      </c>
    </row>
    <row r="42" spans="1:7" x14ac:dyDescent="0.25">
      <c r="B42">
        <v>8.5299999999999994</v>
      </c>
      <c r="C42" t="s">
        <v>87</v>
      </c>
    </row>
    <row r="43" spans="1:7" x14ac:dyDescent="0.25">
      <c r="B43" s="6">
        <f>B41*1000/B42</f>
        <v>1254396.248534584</v>
      </c>
      <c r="C43" t="s">
        <v>88</v>
      </c>
    </row>
    <row r="44" spans="1:7" x14ac:dyDescent="0.25">
      <c r="B44" s="6">
        <f>B43*B25</f>
        <v>4974521.5709261429</v>
      </c>
      <c r="C44" t="s">
        <v>84</v>
      </c>
    </row>
    <row r="45" spans="1:7" x14ac:dyDescent="0.25">
      <c r="B45" s="6">
        <f>B44/B24</f>
        <v>31288.798356385338</v>
      </c>
      <c r="C45" t="s">
        <v>85</v>
      </c>
    </row>
    <row r="47" spans="1:7" x14ac:dyDescent="0.25">
      <c r="A47" s="5" t="s">
        <v>89</v>
      </c>
      <c r="B47" s="4"/>
      <c r="C47" s="4"/>
      <c r="E47" s="5" t="s">
        <v>90</v>
      </c>
      <c r="F47" s="4"/>
      <c r="G47" s="4"/>
    </row>
    <row r="48" spans="1:7" x14ac:dyDescent="0.25">
      <c r="B48">
        <v>5.8170000000000002</v>
      </c>
      <c r="C48" t="s">
        <v>91</v>
      </c>
      <c r="E48">
        <v>832</v>
      </c>
      <c r="F48" t="s">
        <v>92</v>
      </c>
    </row>
    <row r="49" spans="1:6" x14ac:dyDescent="0.25">
      <c r="B49">
        <f>B48/B24</f>
        <v>3.6587828084381581E-2</v>
      </c>
      <c r="C49" t="s">
        <v>93</v>
      </c>
      <c r="E49">
        <f>1/E48</f>
        <v>1.201923076923077E-3</v>
      </c>
      <c r="F49" t="s">
        <v>94</v>
      </c>
    </row>
    <row r="50" spans="1:6" x14ac:dyDescent="0.25">
      <c r="B50" s="6">
        <f>B49*10^6</f>
        <v>36587.828084381581</v>
      </c>
      <c r="C50" t="s">
        <v>95</v>
      </c>
    </row>
    <row r="51" spans="1:6" x14ac:dyDescent="0.25">
      <c r="B51" s="6"/>
    </row>
    <row r="52" spans="1:6" x14ac:dyDescent="0.25">
      <c r="A52" s="5" t="s">
        <v>96</v>
      </c>
      <c r="B52" s="36"/>
      <c r="C52" s="4"/>
    </row>
    <row r="53" spans="1:6" x14ac:dyDescent="0.25">
      <c r="A53" s="28"/>
      <c r="B53" s="28">
        <v>11300</v>
      </c>
      <c r="C53" s="28" t="s">
        <v>78</v>
      </c>
    </row>
    <row r="54" spans="1:6" x14ac:dyDescent="0.25">
      <c r="A54" s="28"/>
      <c r="B54" s="28">
        <f>B53*1000</f>
        <v>11300000</v>
      </c>
      <c r="C54" s="28" t="s">
        <v>97</v>
      </c>
    </row>
    <row r="55" spans="1:6" x14ac:dyDescent="0.25">
      <c r="A55" s="28"/>
      <c r="B55" s="37">
        <f>B54*B25</f>
        <v>44812071</v>
      </c>
      <c r="C55" s="28" t="s">
        <v>82</v>
      </c>
    </row>
    <row r="57" spans="1:6" x14ac:dyDescent="0.25">
      <c r="A57" s="5" t="s">
        <v>98</v>
      </c>
      <c r="B57" s="4"/>
      <c r="C57" s="4"/>
    </row>
    <row r="58" spans="1:6" x14ac:dyDescent="0.25">
      <c r="A58" s="28"/>
      <c r="B58" s="28">
        <v>36</v>
      </c>
      <c r="C58" s="28" t="s">
        <v>99</v>
      </c>
    </row>
    <row r="59" spans="1:6" x14ac:dyDescent="0.25">
      <c r="A59" s="28"/>
      <c r="B59" s="28">
        <f>B58*10^6</f>
        <v>36000000</v>
      </c>
      <c r="C59" s="28" t="s">
        <v>100</v>
      </c>
    </row>
    <row r="61" spans="1:6" x14ac:dyDescent="0.25">
      <c r="A61" s="5" t="s">
        <v>2</v>
      </c>
      <c r="B61" s="4"/>
      <c r="C61" s="4"/>
    </row>
    <row r="62" spans="1:6" x14ac:dyDescent="0.25">
      <c r="B62">
        <v>6500</v>
      </c>
      <c r="C62" t="s">
        <v>78</v>
      </c>
    </row>
    <row r="63" spans="1:6" x14ac:dyDescent="0.25">
      <c r="B63">
        <f>B25*B62</f>
        <v>25776.855</v>
      </c>
      <c r="C63" t="s">
        <v>81</v>
      </c>
    </row>
    <row r="64" spans="1:6" x14ac:dyDescent="0.25">
      <c r="B64">
        <f>B63*1000</f>
        <v>25776855</v>
      </c>
      <c r="C64" t="s">
        <v>82</v>
      </c>
    </row>
    <row r="66" spans="1:3" x14ac:dyDescent="0.25">
      <c r="A66" s="5" t="s">
        <v>69</v>
      </c>
      <c r="B66" s="4"/>
      <c r="C66" s="4"/>
    </row>
    <row r="67" spans="1:3" x14ac:dyDescent="0.25">
      <c r="B67">
        <v>5.8</v>
      </c>
      <c r="C67" t="s">
        <v>101</v>
      </c>
    </row>
    <row r="68" spans="1:3" x14ac:dyDescent="0.25">
      <c r="B68">
        <f>B67*10^6</f>
        <v>5800000</v>
      </c>
      <c r="C68" t="s">
        <v>102</v>
      </c>
    </row>
    <row r="70" spans="1:3" x14ac:dyDescent="0.25">
      <c r="A70" s="5" t="s">
        <v>103</v>
      </c>
      <c r="B70" s="4"/>
      <c r="C70" s="4"/>
    </row>
    <row r="71" spans="1:3" x14ac:dyDescent="0.25">
      <c r="B71">
        <v>12.93</v>
      </c>
      <c r="C71" t="s">
        <v>104</v>
      </c>
    </row>
    <row r="72" spans="1:3" x14ac:dyDescent="0.25">
      <c r="B72">
        <v>3.2589999999999999</v>
      </c>
      <c r="C72" t="s">
        <v>101</v>
      </c>
    </row>
    <row r="73" spans="1:3" x14ac:dyDescent="0.25">
      <c r="B73">
        <v>6.2899999999999996E-3</v>
      </c>
      <c r="C73" t="s">
        <v>105</v>
      </c>
    </row>
    <row r="75" spans="1:3" x14ac:dyDescent="0.25">
      <c r="A75" s="5" t="s">
        <v>106</v>
      </c>
      <c r="B75" s="4"/>
      <c r="C75" s="4"/>
    </row>
    <row r="76" spans="1:3" x14ac:dyDescent="0.25">
      <c r="B76">
        <v>3750</v>
      </c>
      <c r="C76" t="s">
        <v>78</v>
      </c>
    </row>
    <row r="77" spans="1:3" x14ac:dyDescent="0.25">
      <c r="B77" s="12">
        <v>3.9656699999999998</v>
      </c>
      <c r="C77" t="s">
        <v>74</v>
      </c>
    </row>
    <row r="78" spans="1:3" x14ac:dyDescent="0.25">
      <c r="B78">
        <f>B76*B77</f>
        <v>14871.262499999999</v>
      </c>
      <c r="C78" t="s">
        <v>81</v>
      </c>
    </row>
    <row r="79" spans="1:3" x14ac:dyDescent="0.25">
      <c r="B79">
        <f>B78*1000</f>
        <v>14871262.499999998</v>
      </c>
      <c r="C79" t="s">
        <v>82</v>
      </c>
    </row>
    <row r="81" spans="1:3" x14ac:dyDescent="0.25">
      <c r="A81" s="5" t="s">
        <v>107</v>
      </c>
      <c r="B81" s="4"/>
      <c r="C81" s="4"/>
    </row>
    <row r="82" spans="1:3" x14ac:dyDescent="0.25">
      <c r="B82" s="12">
        <f>1/3</f>
        <v>0.33333333333333331</v>
      </c>
      <c r="C82" t="s">
        <v>108</v>
      </c>
    </row>
    <row r="83" spans="1:3" x14ac:dyDescent="0.25">
      <c r="B83">
        <v>40</v>
      </c>
      <c r="C83" t="s">
        <v>109</v>
      </c>
    </row>
    <row r="84" spans="1:3" x14ac:dyDescent="0.25">
      <c r="B84" s="38">
        <f>B82*B83</f>
        <v>13.333333333333332</v>
      </c>
      <c r="C84" t="s">
        <v>110</v>
      </c>
    </row>
    <row r="85" spans="1:3" x14ac:dyDescent="0.25">
      <c r="B85">
        <f>B84*10^6</f>
        <v>13333333.333333332</v>
      </c>
      <c r="C85" t="s">
        <v>82</v>
      </c>
    </row>
    <row r="87" spans="1:3" x14ac:dyDescent="0.25">
      <c r="A87" s="5" t="s">
        <v>111</v>
      </c>
      <c r="B87" s="4"/>
      <c r="C87" s="4"/>
    </row>
    <row r="88" spans="1:3" x14ac:dyDescent="0.25">
      <c r="B88" s="39">
        <v>1000</v>
      </c>
      <c r="C88" t="s">
        <v>112</v>
      </c>
    </row>
    <row r="89" spans="1:3" x14ac:dyDescent="0.25">
      <c r="B89" s="39">
        <v>2.2050000000000001</v>
      </c>
      <c r="C89" t="s">
        <v>113</v>
      </c>
    </row>
    <row r="90" spans="1:3" x14ac:dyDescent="0.25">
      <c r="B90" s="39">
        <f>B88*B89</f>
        <v>2205</v>
      </c>
      <c r="C90" t="s">
        <v>114</v>
      </c>
    </row>
    <row r="91" spans="1:3" x14ac:dyDescent="0.25">
      <c r="B91">
        <v>180000000</v>
      </c>
      <c r="C91" t="s">
        <v>115</v>
      </c>
    </row>
    <row r="92" spans="1:3" x14ac:dyDescent="0.25">
      <c r="B92">
        <f>B91*B90</f>
        <v>396900000000</v>
      </c>
      <c r="C92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C57B-3EF2-40B7-B291-58C60C131AC9}">
  <dimension ref="A1:F26"/>
  <sheetViews>
    <sheetView workbookViewId="0">
      <selection activeCell="J12" sqref="J12"/>
    </sheetView>
  </sheetViews>
  <sheetFormatPr defaultRowHeight="15" x14ac:dyDescent="0.25"/>
  <cols>
    <col min="1" max="1" width="12.140625" customWidth="1"/>
    <col min="2" max="2" width="17.28515625" customWidth="1"/>
    <col min="3" max="3" width="30.42578125" customWidth="1"/>
    <col min="4" max="4" width="18.140625" customWidth="1"/>
    <col min="5" max="5" width="18.140625" style="1" customWidth="1"/>
    <col min="6" max="6" width="18.140625" customWidth="1"/>
  </cols>
  <sheetData>
    <row r="1" spans="1:6" x14ac:dyDescent="0.25">
      <c r="A1" t="s">
        <v>18</v>
      </c>
    </row>
    <row r="2" spans="1:6" s="17" customFormat="1" ht="91.5" customHeight="1" x14ac:dyDescent="0.25">
      <c r="A2" s="17" t="s">
        <v>19</v>
      </c>
      <c r="B2" s="17" t="s">
        <v>20</v>
      </c>
      <c r="C2" s="17" t="s">
        <v>21</v>
      </c>
      <c r="D2" s="17" t="s">
        <v>22</v>
      </c>
      <c r="E2" s="18" t="s">
        <v>23</v>
      </c>
      <c r="F2" s="17" t="s">
        <v>24</v>
      </c>
    </row>
    <row r="3" spans="1:6" ht="30" x14ac:dyDescent="0.25">
      <c r="A3" s="16" t="s">
        <v>25</v>
      </c>
      <c r="B3" s="9">
        <v>594696</v>
      </c>
      <c r="C3">
        <v>271</v>
      </c>
      <c r="D3">
        <v>5115096</v>
      </c>
      <c r="E3" s="19" t="s">
        <v>26</v>
      </c>
      <c r="F3" s="10" t="s">
        <v>26</v>
      </c>
    </row>
    <row r="4" spans="1:6" x14ac:dyDescent="0.25">
      <c r="A4" t="s">
        <v>27</v>
      </c>
      <c r="B4" s="9">
        <v>527160</v>
      </c>
      <c r="C4">
        <v>240</v>
      </c>
      <c r="D4">
        <v>3772185</v>
      </c>
      <c r="E4" s="20">
        <v>-0.114</v>
      </c>
      <c r="F4" s="7">
        <v>-0.26300000000000001</v>
      </c>
    </row>
    <row r="5" spans="1:6" x14ac:dyDescent="0.25">
      <c r="A5" t="s">
        <v>28</v>
      </c>
      <c r="B5" s="9">
        <v>521856</v>
      </c>
      <c r="C5">
        <v>238</v>
      </c>
      <c r="D5">
        <v>3650793</v>
      </c>
      <c r="E5" s="20">
        <v>-0.123</v>
      </c>
      <c r="F5" s="7">
        <v>-0.28599999999999998</v>
      </c>
    </row>
    <row r="6" spans="1:6" x14ac:dyDescent="0.25">
      <c r="D6" t="s">
        <v>138</v>
      </c>
      <c r="E6" s="40">
        <f>-AVERAGE(E4:E5)</f>
        <v>0.11849999999999999</v>
      </c>
    </row>
    <row r="8" spans="1:6" x14ac:dyDescent="0.25">
      <c r="A8" s="21" t="s">
        <v>29</v>
      </c>
    </row>
    <row r="9" spans="1:6" x14ac:dyDescent="0.25">
      <c r="A9" s="21" t="s">
        <v>30</v>
      </c>
    </row>
    <row r="11" spans="1:6" x14ac:dyDescent="0.25">
      <c r="A11" t="s">
        <v>31</v>
      </c>
    </row>
    <row r="12" spans="1:6" x14ac:dyDescent="0.25">
      <c r="A12" s="22" t="s">
        <v>32</v>
      </c>
      <c r="B12" s="23"/>
      <c r="C12" s="23"/>
      <c r="D12" s="15" t="s">
        <v>33</v>
      </c>
      <c r="E12" s="15" t="s">
        <v>42</v>
      </c>
      <c r="F12" s="15" t="s">
        <v>140</v>
      </c>
    </row>
    <row r="13" spans="1:6" x14ac:dyDescent="0.25">
      <c r="A13" s="2" t="s">
        <v>34</v>
      </c>
      <c r="D13" s="9">
        <v>5000000</v>
      </c>
      <c r="E13" s="9">
        <v>92593</v>
      </c>
      <c r="F13" s="38">
        <f>E13/$E$20</f>
        <v>0.92868820396577834</v>
      </c>
    </row>
    <row r="14" spans="1:6" x14ac:dyDescent="0.25">
      <c r="A14" t="s">
        <v>35</v>
      </c>
      <c r="D14" s="9">
        <v>24000</v>
      </c>
      <c r="E14" s="9">
        <v>444</v>
      </c>
      <c r="F14" s="38">
        <f t="shared" ref="F14:F19" si="0">E14/$E$20</f>
        <v>4.4532260814619416E-3</v>
      </c>
    </row>
    <row r="15" spans="1:6" x14ac:dyDescent="0.25">
      <c r="A15" t="s">
        <v>36</v>
      </c>
      <c r="D15" s="9">
        <v>52000</v>
      </c>
      <c r="E15" s="9">
        <v>963</v>
      </c>
      <c r="F15" s="38">
        <f t="shared" si="0"/>
        <v>9.6586862983059681E-3</v>
      </c>
    </row>
    <row r="16" spans="1:6" x14ac:dyDescent="0.25">
      <c r="A16" t="s">
        <v>37</v>
      </c>
      <c r="D16" s="9">
        <v>29000</v>
      </c>
      <c r="E16" s="9">
        <v>537</v>
      </c>
      <c r="F16" s="38">
        <f t="shared" si="0"/>
        <v>5.3859964093357273E-3</v>
      </c>
    </row>
    <row r="17" spans="1:6" x14ac:dyDescent="0.25">
      <c r="A17" t="s">
        <v>38</v>
      </c>
      <c r="D17" s="9">
        <v>62000</v>
      </c>
      <c r="E17" s="9">
        <v>1148</v>
      </c>
      <c r="F17" s="38">
        <f t="shared" si="0"/>
        <v>1.1514197165581778E-2</v>
      </c>
    </row>
    <row r="18" spans="1:6" x14ac:dyDescent="0.25">
      <c r="A18" t="s">
        <v>39</v>
      </c>
      <c r="D18" s="9">
        <v>45000</v>
      </c>
      <c r="E18" s="9">
        <v>833</v>
      </c>
      <c r="F18" s="38">
        <f t="shared" si="0"/>
        <v>8.3548137969770217E-3</v>
      </c>
    </row>
    <row r="19" spans="1:6" x14ac:dyDescent="0.25">
      <c r="A19" t="s">
        <v>40</v>
      </c>
      <c r="D19" s="9">
        <v>172000</v>
      </c>
      <c r="E19" s="9">
        <v>3185</v>
      </c>
      <c r="F19" s="38">
        <f t="shared" si="0"/>
        <v>3.1944876282559202E-2</v>
      </c>
    </row>
    <row r="20" spans="1:6" x14ac:dyDescent="0.25">
      <c r="A20" t="s">
        <v>41</v>
      </c>
      <c r="D20" s="9">
        <f>SUM(D13:D19)</f>
        <v>5384000</v>
      </c>
      <c r="E20" s="24">
        <f>SUM(E13:E19)</f>
        <v>99703</v>
      </c>
    </row>
    <row r="21" spans="1:6" x14ac:dyDescent="0.25">
      <c r="E21" s="43">
        <f>E20*About!A32</f>
        <v>98263.673476220938</v>
      </c>
      <c r="F21" s="1" t="s">
        <v>116</v>
      </c>
    </row>
    <row r="22" spans="1:6" x14ac:dyDescent="0.25">
      <c r="A22" t="s">
        <v>43</v>
      </c>
      <c r="E22" s="41">
        <f>B3-B4</f>
        <v>67536</v>
      </c>
    </row>
    <row r="23" spans="1:6" x14ac:dyDescent="0.25">
      <c r="A23" t="s">
        <v>44</v>
      </c>
      <c r="E23" s="41">
        <f>B3-B5</f>
        <v>72840</v>
      </c>
    </row>
    <row r="24" spans="1:6" x14ac:dyDescent="0.25">
      <c r="A24" t="s">
        <v>45</v>
      </c>
      <c r="E24" s="41">
        <f>AVERAGE(E22:E23)</f>
        <v>70188</v>
      </c>
    </row>
    <row r="25" spans="1:6" x14ac:dyDescent="0.25">
      <c r="A25" t="s">
        <v>46</v>
      </c>
      <c r="E25" s="1">
        <f>E24*'Conversion Factors'!B26</f>
        <v>239491282.31999999</v>
      </c>
    </row>
    <row r="26" spans="1:6" x14ac:dyDescent="0.25">
      <c r="A26" t="s">
        <v>139</v>
      </c>
      <c r="E26" s="42">
        <f>E21/E25</f>
        <v>4.1030167162796517E-4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D7"/>
  <sheetViews>
    <sheetView workbookViewId="0">
      <selection activeCell="D4" sqref="D4"/>
    </sheetView>
  </sheetViews>
  <sheetFormatPr defaultRowHeight="15" x14ac:dyDescent="0.25"/>
  <cols>
    <col min="1" max="1" width="23.5703125" customWidth="1"/>
    <col min="2" max="2" width="21.28515625" customWidth="1"/>
    <col min="3" max="3" width="20.7109375" customWidth="1"/>
    <col min="4" max="4" width="20.28515625" customWidth="1"/>
  </cols>
  <sheetData>
    <row r="1" spans="1:4" ht="30" x14ac:dyDescent="0.25">
      <c r="A1" s="11" t="s">
        <v>14</v>
      </c>
      <c r="B1" s="10" t="s">
        <v>11</v>
      </c>
      <c r="C1" s="10" t="s">
        <v>10</v>
      </c>
      <c r="D1" s="10" t="s">
        <v>9</v>
      </c>
    </row>
    <row r="2" spans="1:4" x14ac:dyDescent="0.25">
      <c r="A2" t="s">
        <v>8</v>
      </c>
      <c r="B2" s="12">
        <f>Calcs!E6</f>
        <v>0.11849999999999999</v>
      </c>
      <c r="C2">
        <v>0</v>
      </c>
      <c r="D2" s="12">
        <f>Calcs!E6</f>
        <v>0.11849999999999999</v>
      </c>
    </row>
    <row r="3" spans="1:4" x14ac:dyDescent="0.25">
      <c r="A3" t="s">
        <v>7</v>
      </c>
      <c r="B3" s="12">
        <f>B2</f>
        <v>0.11849999999999999</v>
      </c>
      <c r="C3">
        <v>0</v>
      </c>
      <c r="D3" s="12">
        <f>D2</f>
        <v>0.11849999999999999</v>
      </c>
    </row>
    <row r="4" spans="1:4" x14ac:dyDescent="0.25">
      <c r="A4" t="s">
        <v>6</v>
      </c>
      <c r="B4">
        <v>0</v>
      </c>
      <c r="C4">
        <f t="shared" ref="C2:C7" si="0">$B4</f>
        <v>0</v>
      </c>
      <c r="D4">
        <v>0</v>
      </c>
    </row>
    <row r="5" spans="1:4" x14ac:dyDescent="0.25">
      <c r="A5" t="s">
        <v>5</v>
      </c>
      <c r="B5">
        <v>0</v>
      </c>
      <c r="C5">
        <f t="shared" si="0"/>
        <v>0</v>
      </c>
      <c r="D5">
        <v>0</v>
      </c>
    </row>
    <row r="6" spans="1:4" x14ac:dyDescent="0.25">
      <c r="A6" t="s">
        <v>4</v>
      </c>
      <c r="B6">
        <v>0</v>
      </c>
      <c r="C6">
        <f t="shared" si="0"/>
        <v>0</v>
      </c>
      <c r="D6">
        <v>0</v>
      </c>
    </row>
    <row r="7" spans="1:4" x14ac:dyDescent="0.25">
      <c r="A7" t="s">
        <v>3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D7"/>
  <sheetViews>
    <sheetView workbookViewId="0"/>
  </sheetViews>
  <sheetFormatPr defaultRowHeight="15" x14ac:dyDescent="0.25"/>
  <cols>
    <col min="1" max="1" width="23.5703125" customWidth="1"/>
    <col min="2" max="2" width="21.28515625" customWidth="1"/>
    <col min="3" max="3" width="20.7109375" customWidth="1"/>
    <col min="4" max="4" width="20.28515625" customWidth="1"/>
  </cols>
  <sheetData>
    <row r="1" spans="1:4" x14ac:dyDescent="0.25">
      <c r="A1" s="11" t="s">
        <v>15</v>
      </c>
      <c r="B1" s="10" t="s">
        <v>11</v>
      </c>
      <c r="C1" s="10" t="s">
        <v>10</v>
      </c>
      <c r="D1" s="10" t="s">
        <v>9</v>
      </c>
    </row>
    <row r="2" spans="1:4" x14ac:dyDescent="0.25">
      <c r="A2" t="s">
        <v>8</v>
      </c>
      <c r="B2" s="14">
        <f>Calcs!E26</f>
        <v>4.1030167162796517E-4</v>
      </c>
      <c r="C2">
        <v>0</v>
      </c>
      <c r="D2" s="13">
        <f>Calcs!E26</f>
        <v>4.1030167162796517E-4</v>
      </c>
    </row>
    <row r="3" spans="1:4" x14ac:dyDescent="0.25">
      <c r="A3" t="s">
        <v>7</v>
      </c>
      <c r="B3" s="14">
        <f>B2</f>
        <v>4.1030167162796517E-4</v>
      </c>
      <c r="C3">
        <v>0</v>
      </c>
      <c r="D3" s="13">
        <f>D2</f>
        <v>4.1030167162796517E-4</v>
      </c>
    </row>
    <row r="4" spans="1:4" x14ac:dyDescent="0.25">
      <c r="A4" t="s">
        <v>6</v>
      </c>
      <c r="B4">
        <v>0</v>
      </c>
      <c r="C4">
        <f t="shared" ref="C2:C7" si="0">$B4</f>
        <v>0</v>
      </c>
      <c r="D4">
        <v>0</v>
      </c>
    </row>
    <row r="5" spans="1:4" x14ac:dyDescent="0.25">
      <c r="A5" t="s">
        <v>5</v>
      </c>
      <c r="B5">
        <v>0</v>
      </c>
      <c r="C5">
        <f t="shared" si="0"/>
        <v>0</v>
      </c>
      <c r="D5">
        <v>0</v>
      </c>
    </row>
    <row r="6" spans="1:4" x14ac:dyDescent="0.25">
      <c r="A6" t="s">
        <v>4</v>
      </c>
      <c r="B6">
        <v>0</v>
      </c>
      <c r="C6">
        <f t="shared" si="0"/>
        <v>0</v>
      </c>
      <c r="D6">
        <v>0</v>
      </c>
    </row>
    <row r="7" spans="1:4" x14ac:dyDescent="0.25">
      <c r="A7" t="s">
        <v>3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Conversion Factors</vt:lpstr>
      <vt:lpstr>Calcs</vt:lpstr>
      <vt:lpstr>BRESaC-energy</vt:lpstr>
      <vt:lpstr>BRESaC-cost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Deepthi Swamy</cp:lastModifiedBy>
  <dcterms:created xsi:type="dcterms:W3CDTF">2019-05-24T18:41:25Z</dcterms:created>
  <dcterms:modified xsi:type="dcterms:W3CDTF">2019-12-23T17:52:15Z</dcterms:modified>
</cp:coreProperties>
</file>