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CCaMC\"/>
    </mc:Choice>
  </mc:AlternateContent>
  <bookViews>
    <workbookView xWindow="-120" yWindow="-120" windowWidth="20730" windowHeight="11160" firstSheet="7" activeTab="12"/>
  </bookViews>
  <sheets>
    <sheet name="About" sheetId="2" r:id="rId1"/>
    <sheet name="Conversion Factors" sheetId="17" r:id="rId2"/>
    <sheet name="IESS" sheetId="18" r:id="rId3"/>
    <sheet name="Geothermal" sheetId="19" r:id="rId4"/>
    <sheet name="Lazard" sheetId="21" r:id="rId5"/>
    <sheet name="Combined Capital Costs" sheetId="20" r:id="rId6"/>
    <sheet name="Solar Thermal" sheetId="16" r:id="rId7"/>
    <sheet name="Coal Cost Multipliers" sheetId="12" r:id="rId8"/>
    <sheet name="CEA NEP" sheetId="22" r:id="rId9"/>
    <sheet name="IESS Annual Cap Costs" sheetId="23" r:id="rId10"/>
    <sheet name="Waste to Energy" sheetId="24" r:id="rId11"/>
    <sheet name="CCaMC-BCCpUC" sheetId="6" r:id="rId12"/>
    <sheet name="CCaMC-AFOaMCpUC" sheetId="7" r:id="rId13"/>
    <sheet name="CCaMC-VOaMCpUC" sheetId="8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7" l="1"/>
  <c r="B5" i="7"/>
  <c r="C17" i="8" l="1"/>
  <c r="D17" i="8"/>
  <c r="B17" i="8"/>
  <c r="C16" i="8"/>
  <c r="D16" i="8"/>
  <c r="C15" i="8"/>
  <c r="D15" i="8"/>
  <c r="B16" i="8"/>
  <c r="B15" i="8"/>
  <c r="B17" i="7"/>
  <c r="D17" i="7" s="1"/>
  <c r="C16" i="7"/>
  <c r="D16" i="7"/>
  <c r="B16" i="7"/>
  <c r="C15" i="7"/>
  <c r="D15" i="7"/>
  <c r="B15" i="7"/>
  <c r="B15" i="24"/>
  <c r="Q6" i="6" s="1"/>
  <c r="B31" i="24"/>
  <c r="Q22" i="6" s="1"/>
  <c r="B11" i="24"/>
  <c r="Q2" i="6" s="1"/>
  <c r="A13" i="24"/>
  <c r="A14" i="24" s="1"/>
  <c r="A15" i="24" s="1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26" i="24" s="1"/>
  <c r="A27" i="24" s="1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38" i="24" s="1"/>
  <c r="A39" i="24" s="1"/>
  <c r="A40" i="24" s="1"/>
  <c r="A41" i="24" s="1"/>
  <c r="A42" i="24" s="1"/>
  <c r="A43" i="24" s="1"/>
  <c r="A44" i="24" s="1"/>
  <c r="A12" i="24"/>
  <c r="D5" i="24"/>
  <c r="B16" i="24" s="1"/>
  <c r="Q7" i="6" s="1"/>
  <c r="E5" i="24"/>
  <c r="B21" i="24" s="1"/>
  <c r="Q12" i="6" s="1"/>
  <c r="F5" i="24"/>
  <c r="B26" i="24" s="1"/>
  <c r="Q17" i="6" s="1"/>
  <c r="G5" i="24"/>
  <c r="H5" i="24"/>
  <c r="B36" i="24" s="1"/>
  <c r="Q27" i="6" s="1"/>
  <c r="I5" i="24"/>
  <c r="B41" i="24" s="1"/>
  <c r="Q32" i="6" s="1"/>
  <c r="C5" i="24"/>
  <c r="B12" i="24" s="1"/>
  <c r="Q3" i="6" s="1"/>
  <c r="D4" i="24"/>
  <c r="E4" i="24"/>
  <c r="F4" i="24"/>
  <c r="G4" i="24"/>
  <c r="H4" i="24"/>
  <c r="I4" i="24"/>
  <c r="C4" i="24"/>
  <c r="B20" i="24" l="1"/>
  <c r="Q11" i="6" s="1"/>
  <c r="B14" i="24"/>
  <c r="Q5" i="6" s="1"/>
  <c r="B19" i="24"/>
  <c r="Q10" i="6" s="1"/>
  <c r="B24" i="24"/>
  <c r="Q15" i="6" s="1"/>
  <c r="B29" i="24"/>
  <c r="Q20" i="6" s="1"/>
  <c r="B34" i="24"/>
  <c r="Q25" i="6" s="1"/>
  <c r="B39" i="24"/>
  <c r="Q30" i="6" s="1"/>
  <c r="B25" i="24"/>
  <c r="Q16" i="6" s="1"/>
  <c r="B30" i="24"/>
  <c r="Q21" i="6" s="1"/>
  <c r="B35" i="24"/>
  <c r="Q26" i="6" s="1"/>
  <c r="B40" i="24"/>
  <c r="Q31" i="6" s="1"/>
  <c r="B13" i="24"/>
  <c r="Q4" i="6" s="1"/>
  <c r="B18" i="24"/>
  <c r="Q9" i="6" s="1"/>
  <c r="B23" i="24"/>
  <c r="Q14" i="6" s="1"/>
  <c r="B28" i="24"/>
  <c r="Q19" i="6" s="1"/>
  <c r="B33" i="24"/>
  <c r="Q24" i="6" s="1"/>
  <c r="B38" i="24"/>
  <c r="Q29" i="6" s="1"/>
  <c r="B17" i="24"/>
  <c r="Q8" i="6" s="1"/>
  <c r="B22" i="24"/>
  <c r="Q13" i="6" s="1"/>
  <c r="B27" i="24"/>
  <c r="Q18" i="6" s="1"/>
  <c r="B32" i="24"/>
  <c r="Q23" i="6" s="1"/>
  <c r="B37" i="24"/>
  <c r="Q28" i="6" s="1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2" i="6"/>
  <c r="B42" i="24" l="1"/>
  <c r="Q33" i="6" s="1"/>
  <c r="B43" i="24" l="1"/>
  <c r="Q34" i="6" s="1"/>
  <c r="B44" i="24" l="1"/>
  <c r="Q35" i="6" s="1"/>
  <c r="M6" i="22" l="1"/>
  <c r="M7" i="22"/>
  <c r="M8" i="22"/>
  <c r="M9" i="22"/>
  <c r="M10" i="22"/>
  <c r="M11" i="22"/>
  <c r="M12" i="22"/>
  <c r="M5" i="22"/>
  <c r="C20" i="21"/>
  <c r="B3" i="8" s="1"/>
  <c r="D3" i="8" s="1"/>
  <c r="D20" i="21"/>
  <c r="B3" i="7" s="1"/>
  <c r="D3" i="7" s="1"/>
  <c r="C21" i="21"/>
  <c r="B4" i="8" s="1"/>
  <c r="D4" i="8" s="1"/>
  <c r="D21" i="21"/>
  <c r="B4" i="7" s="1"/>
  <c r="D4" i="7" s="1"/>
  <c r="C22" i="21"/>
  <c r="B5" i="8" s="1"/>
  <c r="D5" i="8" s="1"/>
  <c r="D22" i="21"/>
  <c r="D5" i="7" s="1"/>
  <c r="C23" i="21"/>
  <c r="B6" i="8" s="1"/>
  <c r="D6" i="8" s="1"/>
  <c r="D23" i="21"/>
  <c r="B6" i="7" s="1"/>
  <c r="D6" i="7" s="1"/>
  <c r="C24" i="21"/>
  <c r="B7" i="8" s="1"/>
  <c r="D7" i="8" s="1"/>
  <c r="D24" i="21"/>
  <c r="B7" i="7" s="1"/>
  <c r="D7" i="7" s="1"/>
  <c r="C25" i="21"/>
  <c r="B8" i="8" s="1"/>
  <c r="D8" i="8" s="1"/>
  <c r="D25" i="21"/>
  <c r="B8" i="7" s="1"/>
  <c r="D8" i="7" s="1"/>
  <c r="C26" i="21"/>
  <c r="B9" i="8" s="1"/>
  <c r="D9" i="8" s="1"/>
  <c r="D26" i="21"/>
  <c r="B9" i="7" s="1"/>
  <c r="D9" i="7" s="1"/>
  <c r="C27" i="21"/>
  <c r="B10" i="8" s="1"/>
  <c r="D10" i="8" s="1"/>
  <c r="D27" i="21"/>
  <c r="D10" i="7" s="1"/>
  <c r="B29" i="21"/>
  <c r="C29" i="21"/>
  <c r="B12" i="8" s="1"/>
  <c r="D12" i="8" s="1"/>
  <c r="D29" i="21"/>
  <c r="B12" i="7" s="1"/>
  <c r="D12" i="7" s="1"/>
  <c r="C31" i="21"/>
  <c r="B14" i="8" s="1"/>
  <c r="D14" i="8" s="1"/>
  <c r="D31" i="21"/>
  <c r="B14" i="7" s="1"/>
  <c r="D14" i="7" s="1"/>
  <c r="C19" i="21"/>
  <c r="B2" i="8" s="1"/>
  <c r="D19" i="21"/>
  <c r="B2" i="7" s="1"/>
  <c r="D14" i="21"/>
  <c r="D30" i="21" s="1"/>
  <c r="C14" i="21"/>
  <c r="C30" i="21" s="1"/>
  <c r="C12" i="21"/>
  <c r="C28" i="21" s="1"/>
  <c r="B11" i="8" s="1"/>
  <c r="D11" i="8" s="1"/>
  <c r="D12" i="21"/>
  <c r="D28" i="21" s="1"/>
  <c r="B11" i="7" s="1"/>
  <c r="D11" i="7" s="1"/>
  <c r="B12" i="21"/>
  <c r="B28" i="21" s="1"/>
  <c r="D2" i="8" l="1"/>
  <c r="L2" i="6"/>
  <c r="L2" i="23"/>
  <c r="L3" i="23" s="1"/>
  <c r="L4" i="23" s="1"/>
  <c r="L5" i="23" s="1"/>
  <c r="L6" i="23" s="1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D2" i="7"/>
  <c r="K2" i="23" l="1"/>
  <c r="K3" i="23" s="1"/>
  <c r="K4" i="23" s="1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L6" i="6"/>
  <c r="K6" i="6" s="1"/>
  <c r="K2" i="6"/>
  <c r="L10" i="6"/>
  <c r="K10" i="6" s="1"/>
  <c r="L28" i="6"/>
  <c r="K28" i="6" s="1"/>
  <c r="L11" i="6"/>
  <c r="K11" i="6" s="1"/>
  <c r="L8" i="6"/>
  <c r="K8" i="6" s="1"/>
  <c r="L7" i="6"/>
  <c r="K7" i="6" s="1"/>
  <c r="L35" i="6"/>
  <c r="K35" i="6" s="1"/>
  <c r="L32" i="6"/>
  <c r="K32" i="6" s="1"/>
  <c r="L14" i="6"/>
  <c r="K14" i="6" s="1"/>
  <c r="L34" i="6"/>
  <c r="K34" i="6" s="1"/>
  <c r="L29" i="6"/>
  <c r="K29" i="6" s="1"/>
  <c r="L20" i="6"/>
  <c r="K20" i="6" s="1"/>
  <c r="L25" i="6"/>
  <c r="K25" i="6" s="1"/>
  <c r="L31" i="6"/>
  <c r="K31" i="6" s="1"/>
  <c r="L21" i="6"/>
  <c r="K21" i="6" s="1"/>
  <c r="L19" i="6"/>
  <c r="K19" i="6" s="1"/>
  <c r="L16" i="6"/>
  <c r="K16" i="6" s="1"/>
  <c r="L26" i="6"/>
  <c r="K26" i="6" s="1"/>
  <c r="L13" i="6"/>
  <c r="K13" i="6" s="1"/>
  <c r="L4" i="6"/>
  <c r="K4" i="6" s="1"/>
  <c r="L9" i="6"/>
  <c r="K9" i="6" s="1"/>
  <c r="L23" i="6"/>
  <c r="K23" i="6" s="1"/>
  <c r="L3" i="6"/>
  <c r="K3" i="6" s="1"/>
  <c r="L33" i="6"/>
  <c r="K33" i="6" s="1"/>
  <c r="L30" i="6"/>
  <c r="K30" i="6" s="1"/>
  <c r="L18" i="6"/>
  <c r="K18" i="6" s="1"/>
  <c r="L5" i="6"/>
  <c r="K5" i="6" s="1"/>
  <c r="L27" i="6"/>
  <c r="K27" i="6" s="1"/>
  <c r="L24" i="6"/>
  <c r="K24" i="6" s="1"/>
  <c r="L15" i="6"/>
  <c r="K15" i="6" s="1"/>
  <c r="L12" i="6"/>
  <c r="K12" i="6" s="1"/>
  <c r="L17" i="6"/>
  <c r="K17" i="6" s="1"/>
  <c r="L22" i="6"/>
  <c r="K22" i="6" s="1"/>
  <c r="A2" i="19"/>
  <c r="F11" i="20" s="1"/>
  <c r="J23" i="23" s="1"/>
  <c r="J22" i="6" l="1"/>
  <c r="B11" i="20"/>
  <c r="J3" i="23" s="1"/>
  <c r="J2" i="6" s="1"/>
  <c r="E11" i="20"/>
  <c r="J18" i="23" s="1"/>
  <c r="H11" i="20"/>
  <c r="J33" i="23" s="1"/>
  <c r="D11" i="20"/>
  <c r="J13" i="23" s="1"/>
  <c r="G11" i="20"/>
  <c r="J28" i="23" s="1"/>
  <c r="C11" i="20"/>
  <c r="J8" i="23" s="1"/>
  <c r="D36" i="18"/>
  <c r="E36" i="18" s="1"/>
  <c r="F36" i="18" s="1"/>
  <c r="G36" i="18" s="1"/>
  <c r="H36" i="18" s="1"/>
  <c r="I36" i="18" s="1"/>
  <c r="C21" i="18"/>
  <c r="D21" i="18"/>
  <c r="E21" i="18"/>
  <c r="F21" i="18"/>
  <c r="G21" i="18"/>
  <c r="F48" i="18" s="1"/>
  <c r="F3" i="20" s="1"/>
  <c r="B23" i="23" s="1"/>
  <c r="H21" i="18"/>
  <c r="I21" i="18"/>
  <c r="C22" i="18"/>
  <c r="D22" i="18"/>
  <c r="E22" i="18"/>
  <c r="F22" i="18"/>
  <c r="G22" i="18"/>
  <c r="H22" i="18"/>
  <c r="I22" i="18"/>
  <c r="C23" i="18"/>
  <c r="D23" i="18"/>
  <c r="E23" i="18"/>
  <c r="F23" i="18"/>
  <c r="G23" i="18"/>
  <c r="H23" i="18"/>
  <c r="I23" i="18"/>
  <c r="C24" i="18"/>
  <c r="D24" i="18"/>
  <c r="E24" i="18"/>
  <c r="F24" i="18"/>
  <c r="G24" i="18"/>
  <c r="H24" i="18"/>
  <c r="I24" i="18"/>
  <c r="C25" i="18"/>
  <c r="B50" i="18" s="1"/>
  <c r="B5" i="20" s="1"/>
  <c r="D3" i="23" s="1"/>
  <c r="D25" i="18"/>
  <c r="E25" i="18"/>
  <c r="F25" i="18"/>
  <c r="E50" i="18" s="1"/>
  <c r="E5" i="20" s="1"/>
  <c r="D18" i="23" s="1"/>
  <c r="G25" i="18"/>
  <c r="F50" i="18" s="1"/>
  <c r="F5" i="20" s="1"/>
  <c r="D23" i="23" s="1"/>
  <c r="H25" i="18"/>
  <c r="I25" i="18"/>
  <c r="C26" i="18"/>
  <c r="D26" i="18"/>
  <c r="E26" i="18"/>
  <c r="F26" i="18"/>
  <c r="G26" i="18"/>
  <c r="H26" i="18"/>
  <c r="I26" i="18"/>
  <c r="C29" i="18"/>
  <c r="B53" i="18" s="1"/>
  <c r="D29" i="18"/>
  <c r="C53" i="18" s="1"/>
  <c r="C8" i="20" s="1"/>
  <c r="E29" i="18"/>
  <c r="D53" i="18" s="1"/>
  <c r="D8" i="20" s="1"/>
  <c r="F29" i="18"/>
  <c r="E53" i="18" s="1"/>
  <c r="E8" i="20" s="1"/>
  <c r="G29" i="18"/>
  <c r="F53" i="18" s="1"/>
  <c r="F8" i="20" s="1"/>
  <c r="H29" i="18"/>
  <c r="G53" i="18" s="1"/>
  <c r="G8" i="20" s="1"/>
  <c r="I29" i="18"/>
  <c r="H53" i="18" s="1"/>
  <c r="H8" i="20" s="1"/>
  <c r="C30" i="18"/>
  <c r="B54" i="18" s="1"/>
  <c r="B9" i="20" s="1"/>
  <c r="H3" i="23" s="1"/>
  <c r="D30" i="18"/>
  <c r="C54" i="18" s="1"/>
  <c r="C9" i="20" s="1"/>
  <c r="H8" i="23" s="1"/>
  <c r="E30" i="18"/>
  <c r="D54" i="18" s="1"/>
  <c r="D9" i="20" s="1"/>
  <c r="H13" i="23" s="1"/>
  <c r="F30" i="18"/>
  <c r="E54" i="18" s="1"/>
  <c r="E9" i="20" s="1"/>
  <c r="H18" i="23" s="1"/>
  <c r="H14" i="23" s="1"/>
  <c r="H15" i="23" s="1"/>
  <c r="H16" i="23" s="1"/>
  <c r="H17" i="23" s="1"/>
  <c r="G30" i="18"/>
  <c r="F54" i="18" s="1"/>
  <c r="F9" i="20" s="1"/>
  <c r="H23" i="23" s="1"/>
  <c r="H30" i="18"/>
  <c r="G54" i="18" s="1"/>
  <c r="G9" i="20" s="1"/>
  <c r="H28" i="23" s="1"/>
  <c r="I30" i="18"/>
  <c r="H54" i="18" s="1"/>
  <c r="H9" i="20" s="1"/>
  <c r="H33" i="23" s="1"/>
  <c r="C33" i="18"/>
  <c r="B55" i="18" s="1"/>
  <c r="B10" i="20" s="1"/>
  <c r="I3" i="23" s="1"/>
  <c r="D33" i="18"/>
  <c r="C55" i="18" s="1"/>
  <c r="C10" i="20" s="1"/>
  <c r="I8" i="23" s="1"/>
  <c r="E33" i="18"/>
  <c r="D55" i="18" s="1"/>
  <c r="D10" i="20" s="1"/>
  <c r="I13" i="23" s="1"/>
  <c r="F33" i="18"/>
  <c r="E55" i="18" s="1"/>
  <c r="E10" i="20" s="1"/>
  <c r="I18" i="23" s="1"/>
  <c r="I14" i="23" s="1"/>
  <c r="I15" i="23" s="1"/>
  <c r="I16" i="23" s="1"/>
  <c r="I17" i="23" s="1"/>
  <c r="G33" i="18"/>
  <c r="F55" i="18" s="1"/>
  <c r="F10" i="20" s="1"/>
  <c r="I23" i="23" s="1"/>
  <c r="H33" i="18"/>
  <c r="G55" i="18" s="1"/>
  <c r="G10" i="20" s="1"/>
  <c r="I28" i="23" s="1"/>
  <c r="I33" i="18"/>
  <c r="H55" i="18" s="1"/>
  <c r="H10" i="20" s="1"/>
  <c r="I33" i="23" s="1"/>
  <c r="D20" i="18"/>
  <c r="C49" i="18" s="1"/>
  <c r="C4" i="20" s="1"/>
  <c r="C8" i="23" s="1"/>
  <c r="E20" i="18"/>
  <c r="D49" i="18" s="1"/>
  <c r="D4" i="20" s="1"/>
  <c r="C13" i="23" s="1"/>
  <c r="F20" i="18"/>
  <c r="E49" i="18" s="1"/>
  <c r="E4" i="20" s="1"/>
  <c r="C18" i="23" s="1"/>
  <c r="G20" i="18"/>
  <c r="F49" i="18" s="1"/>
  <c r="F4" i="20" s="1"/>
  <c r="C23" i="23" s="1"/>
  <c r="H20" i="18"/>
  <c r="G49" i="18" s="1"/>
  <c r="G4" i="20" s="1"/>
  <c r="C28" i="23" s="1"/>
  <c r="I20" i="18"/>
  <c r="H49" i="18" s="1"/>
  <c r="H4" i="20" s="1"/>
  <c r="C33" i="23" s="1"/>
  <c r="C20" i="18"/>
  <c r="B49" i="18" s="1"/>
  <c r="B4" i="20" s="1"/>
  <c r="C3" i="23" s="1"/>
  <c r="C2" i="6" s="1"/>
  <c r="D19" i="18"/>
  <c r="E19" i="18" s="1"/>
  <c r="F19" i="18" s="1"/>
  <c r="G19" i="18" s="1"/>
  <c r="H19" i="18" s="1"/>
  <c r="I19" i="18" s="1"/>
  <c r="I11" i="18"/>
  <c r="I28" i="18" s="1"/>
  <c r="H11" i="18"/>
  <c r="H28" i="18" s="1"/>
  <c r="G11" i="18"/>
  <c r="G28" i="18" s="1"/>
  <c r="F11" i="18"/>
  <c r="F28" i="18" s="1"/>
  <c r="E11" i="18"/>
  <c r="E28" i="18" s="1"/>
  <c r="D11" i="18"/>
  <c r="D28" i="18" s="1"/>
  <c r="C11" i="18"/>
  <c r="C28" i="18" s="1"/>
  <c r="I15" i="18"/>
  <c r="I32" i="18" s="1"/>
  <c r="H60" i="18" s="1"/>
  <c r="H15" i="20" s="1"/>
  <c r="N33" i="23" s="1"/>
  <c r="H15" i="18"/>
  <c r="H32" i="18" s="1"/>
  <c r="G60" i="18" s="1"/>
  <c r="G15" i="20" s="1"/>
  <c r="N28" i="23" s="1"/>
  <c r="G15" i="18"/>
  <c r="G32" i="18" s="1"/>
  <c r="F60" i="18" s="1"/>
  <c r="F15" i="20" s="1"/>
  <c r="N23" i="23" s="1"/>
  <c r="N19" i="23" s="1"/>
  <c r="N20" i="23" s="1"/>
  <c r="N21" i="23" s="1"/>
  <c r="N22" i="23" s="1"/>
  <c r="F15" i="18"/>
  <c r="F32" i="18" s="1"/>
  <c r="E60" i="18" s="1"/>
  <c r="E15" i="20" s="1"/>
  <c r="N18" i="23" s="1"/>
  <c r="E15" i="18"/>
  <c r="E32" i="18" s="1"/>
  <c r="D60" i="18" s="1"/>
  <c r="D15" i="20" s="1"/>
  <c r="N13" i="23" s="1"/>
  <c r="D15" i="18"/>
  <c r="D32" i="18" s="1"/>
  <c r="C60" i="18" s="1"/>
  <c r="C15" i="20" s="1"/>
  <c r="N8" i="23" s="1"/>
  <c r="C15" i="18"/>
  <c r="C32" i="18" s="1"/>
  <c r="B60" i="18" s="1"/>
  <c r="B15" i="20" s="1"/>
  <c r="N3" i="23" s="1"/>
  <c r="I14" i="18"/>
  <c r="I31" i="18" s="1"/>
  <c r="H52" i="18" s="1"/>
  <c r="H7" i="20" s="1"/>
  <c r="H14" i="18"/>
  <c r="H31" i="18" s="1"/>
  <c r="G52" i="18" s="1"/>
  <c r="G7" i="20" s="1"/>
  <c r="G14" i="18"/>
  <c r="G31" i="18" s="1"/>
  <c r="F52" i="18" s="1"/>
  <c r="F7" i="20" s="1"/>
  <c r="F14" i="18"/>
  <c r="F31" i="18" s="1"/>
  <c r="E52" i="18" s="1"/>
  <c r="E7" i="20" s="1"/>
  <c r="E14" i="18"/>
  <c r="E31" i="18" s="1"/>
  <c r="D52" i="18" s="1"/>
  <c r="D7" i="20" s="1"/>
  <c r="D14" i="18"/>
  <c r="D31" i="18" s="1"/>
  <c r="C52" i="18" s="1"/>
  <c r="C7" i="20" s="1"/>
  <c r="C14" i="18"/>
  <c r="C31" i="18" s="1"/>
  <c r="B52" i="18" s="1"/>
  <c r="B7" i="20" s="1"/>
  <c r="G2" i="23" s="1"/>
  <c r="I10" i="18"/>
  <c r="I27" i="18" s="1"/>
  <c r="H51" i="18" s="1"/>
  <c r="H6" i="20" s="1"/>
  <c r="E33" i="23" s="1"/>
  <c r="H10" i="18"/>
  <c r="H27" i="18" s="1"/>
  <c r="G10" i="18"/>
  <c r="G27" i="18" s="1"/>
  <c r="F51" i="18" s="1"/>
  <c r="F6" i="20" s="1"/>
  <c r="E23" i="23" s="1"/>
  <c r="F10" i="18"/>
  <c r="F27" i="18" s="1"/>
  <c r="E51" i="18" s="1"/>
  <c r="E6" i="20" s="1"/>
  <c r="E18" i="23" s="1"/>
  <c r="E10" i="18"/>
  <c r="E27" i="18" s="1"/>
  <c r="D51" i="18" s="1"/>
  <c r="D6" i="20" s="1"/>
  <c r="E13" i="23" s="1"/>
  <c r="D10" i="18"/>
  <c r="D27" i="18" s="1"/>
  <c r="C10" i="18"/>
  <c r="C27" i="18" s="1"/>
  <c r="B51" i="18" s="1"/>
  <c r="B6" i="20" s="1"/>
  <c r="E3" i="23" s="1"/>
  <c r="D2" i="18"/>
  <c r="E2" i="18" s="1"/>
  <c r="F2" i="18" s="1"/>
  <c r="G2" i="18" s="1"/>
  <c r="H2" i="18" s="1"/>
  <c r="I2" i="18" s="1"/>
  <c r="H24" i="23" l="1"/>
  <c r="H25" i="23" s="1"/>
  <c r="H26" i="23" s="1"/>
  <c r="H27" i="23" s="1"/>
  <c r="D19" i="23"/>
  <c r="D20" i="23" s="1"/>
  <c r="D21" i="23" s="1"/>
  <c r="D22" i="23" s="1"/>
  <c r="H34" i="23"/>
  <c r="H35" i="23" s="1"/>
  <c r="H36" i="23" s="1"/>
  <c r="H29" i="23"/>
  <c r="H30" i="23" s="1"/>
  <c r="H31" i="23" s="1"/>
  <c r="H32" i="23" s="1"/>
  <c r="H9" i="23"/>
  <c r="H10" i="23"/>
  <c r="H11" i="23" s="1"/>
  <c r="H12" i="23" s="1"/>
  <c r="E48" i="18"/>
  <c r="E3" i="20" s="1"/>
  <c r="B18" i="23" s="1"/>
  <c r="B19" i="23" s="1"/>
  <c r="J27" i="6"/>
  <c r="J24" i="23"/>
  <c r="J23" i="6" s="1"/>
  <c r="J25" i="23"/>
  <c r="C12" i="6"/>
  <c r="C9" i="23"/>
  <c r="C8" i="6" s="1"/>
  <c r="J17" i="6"/>
  <c r="J14" i="23"/>
  <c r="J13" i="6" s="1"/>
  <c r="N24" i="23"/>
  <c r="N25" i="23" s="1"/>
  <c r="N26" i="23" s="1"/>
  <c r="N27" i="23" s="1"/>
  <c r="C7" i="6"/>
  <c r="C4" i="23"/>
  <c r="C5" i="23" s="1"/>
  <c r="E19" i="23"/>
  <c r="E20" i="23" s="1"/>
  <c r="E21" i="23" s="1"/>
  <c r="E22" i="23" s="1"/>
  <c r="N9" i="23"/>
  <c r="N10" i="23" s="1"/>
  <c r="N11" i="23" s="1"/>
  <c r="N12" i="23" s="1"/>
  <c r="N29" i="23"/>
  <c r="N30" i="23" s="1"/>
  <c r="N31" i="23" s="1"/>
  <c r="N32" i="23" s="1"/>
  <c r="N34" i="23"/>
  <c r="N35" i="23" s="1"/>
  <c r="N36" i="23" s="1"/>
  <c r="C22" i="6"/>
  <c r="C19" i="23"/>
  <c r="C18" i="6" s="1"/>
  <c r="I29" i="23"/>
  <c r="I34" i="23"/>
  <c r="I35" i="23" s="1"/>
  <c r="I36" i="23" s="1"/>
  <c r="I30" i="23"/>
  <c r="I31" i="23" s="1"/>
  <c r="I32" i="23" s="1"/>
  <c r="I9" i="23"/>
  <c r="I10" i="23" s="1"/>
  <c r="I11" i="23" s="1"/>
  <c r="I12" i="23" s="1"/>
  <c r="H4" i="23"/>
  <c r="H2" i="23" s="1"/>
  <c r="F2" i="23"/>
  <c r="B8" i="20"/>
  <c r="H50" i="18"/>
  <c r="H5" i="20" s="1"/>
  <c r="D33" i="23" s="1"/>
  <c r="D50" i="18"/>
  <c r="D5" i="20" s="1"/>
  <c r="D13" i="23" s="1"/>
  <c r="D14" i="23" s="1"/>
  <c r="D15" i="23" s="1"/>
  <c r="D16" i="23" s="1"/>
  <c r="D17" i="23" s="1"/>
  <c r="H48" i="18"/>
  <c r="H3" i="20" s="1"/>
  <c r="B33" i="23" s="1"/>
  <c r="D48" i="18"/>
  <c r="D3" i="20" s="1"/>
  <c r="B13" i="23" s="1"/>
  <c r="J12" i="6"/>
  <c r="J9" i="23"/>
  <c r="J19" i="23"/>
  <c r="N2" i="6"/>
  <c r="C32" i="6"/>
  <c r="C29" i="23"/>
  <c r="C28" i="6" s="1"/>
  <c r="C34" i="23"/>
  <c r="I19" i="23"/>
  <c r="I20" i="23" s="1"/>
  <c r="I21" i="23" s="1"/>
  <c r="I22" i="23" s="1"/>
  <c r="J7" i="6"/>
  <c r="J4" i="23"/>
  <c r="J5" i="23" s="1"/>
  <c r="E14" i="23"/>
  <c r="E15" i="23"/>
  <c r="E16" i="23" s="1"/>
  <c r="E17" i="23" s="1"/>
  <c r="N4" i="23"/>
  <c r="N5" i="23" s="1"/>
  <c r="N6" i="23" s="1"/>
  <c r="N7" i="23" s="1"/>
  <c r="C27" i="6"/>
  <c r="C24" i="23"/>
  <c r="C51" i="18"/>
  <c r="C6" i="20" s="1"/>
  <c r="E8" i="23" s="1"/>
  <c r="G51" i="18"/>
  <c r="G6" i="20" s="1"/>
  <c r="E28" i="23" s="1"/>
  <c r="E29" i="23" s="1"/>
  <c r="E30" i="23" s="1"/>
  <c r="E31" i="23" s="1"/>
  <c r="E32" i="23" s="1"/>
  <c r="N14" i="23"/>
  <c r="N15" i="23" s="1"/>
  <c r="N16" i="23" s="1"/>
  <c r="N17" i="23" s="1"/>
  <c r="C17" i="6"/>
  <c r="C14" i="23"/>
  <c r="I24" i="23"/>
  <c r="I25" i="23" s="1"/>
  <c r="I26" i="23" s="1"/>
  <c r="I27" i="23" s="1"/>
  <c r="I4" i="23"/>
  <c r="I2" i="23" s="1"/>
  <c r="H19" i="23"/>
  <c r="H20" i="23"/>
  <c r="H21" i="23" s="1"/>
  <c r="H22" i="23" s="1"/>
  <c r="G50" i="18"/>
  <c r="G5" i="20" s="1"/>
  <c r="D28" i="23" s="1"/>
  <c r="C50" i="18"/>
  <c r="C5" i="20" s="1"/>
  <c r="D8" i="23" s="1"/>
  <c r="G48" i="18"/>
  <c r="G3" i="20" s="1"/>
  <c r="B28" i="23" s="1"/>
  <c r="C48" i="18"/>
  <c r="C3" i="20" s="1"/>
  <c r="B8" i="23" s="1"/>
  <c r="J32" i="6"/>
  <c r="J34" i="23"/>
  <c r="J29" i="23"/>
  <c r="B48" i="18"/>
  <c r="B3" i="20" s="1"/>
  <c r="B3" i="23" s="1"/>
  <c r="N2" i="23" l="1"/>
  <c r="C6" i="23"/>
  <c r="C4" i="6"/>
  <c r="J6" i="23"/>
  <c r="J4" i="6"/>
  <c r="B20" i="23"/>
  <c r="C25" i="23"/>
  <c r="C23" i="6"/>
  <c r="J20" i="23"/>
  <c r="J18" i="6"/>
  <c r="B9" i="23"/>
  <c r="B21" i="23"/>
  <c r="C10" i="23"/>
  <c r="B4" i="23"/>
  <c r="B5" i="23" s="1"/>
  <c r="E24" i="23"/>
  <c r="E25" i="23" s="1"/>
  <c r="E26" i="23" s="1"/>
  <c r="E27" i="23" s="1"/>
  <c r="C35" i="23"/>
  <c r="C33" i="6"/>
  <c r="J30" i="23"/>
  <c r="J28" i="6"/>
  <c r="B24" i="23"/>
  <c r="B25" i="23" s="1"/>
  <c r="C15" i="23"/>
  <c r="C13" i="6"/>
  <c r="E4" i="23"/>
  <c r="E2" i="23" s="1"/>
  <c r="C30" i="23"/>
  <c r="J10" i="23"/>
  <c r="J8" i="6"/>
  <c r="B34" i="23"/>
  <c r="B35" i="23" s="1"/>
  <c r="B29" i="23"/>
  <c r="B30" i="23" s="1"/>
  <c r="J15" i="23"/>
  <c r="D24" i="23"/>
  <c r="D25" i="23" s="1"/>
  <c r="D26" i="23" s="1"/>
  <c r="D27" i="23" s="1"/>
  <c r="D34" i="23"/>
  <c r="D35" i="23" s="1"/>
  <c r="D36" i="23" s="1"/>
  <c r="D29" i="23"/>
  <c r="D30" i="23" s="1"/>
  <c r="D31" i="23" s="1"/>
  <c r="D32" i="23" s="1"/>
  <c r="J26" i="23"/>
  <c r="J24" i="6"/>
  <c r="B2" i="23"/>
  <c r="J35" i="23"/>
  <c r="J33" i="6"/>
  <c r="D4" i="23"/>
  <c r="D2" i="23" s="1"/>
  <c r="D5" i="23"/>
  <c r="D6" i="23" s="1"/>
  <c r="D7" i="23" s="1"/>
  <c r="I5" i="23"/>
  <c r="I6" i="23" s="1"/>
  <c r="I7" i="23" s="1"/>
  <c r="J2" i="23"/>
  <c r="J3" i="6"/>
  <c r="E34" i="23"/>
  <c r="E35" i="23" s="1"/>
  <c r="E36" i="23" s="1"/>
  <c r="D9" i="23"/>
  <c r="D10" i="23" s="1"/>
  <c r="D11" i="23" s="1"/>
  <c r="D12" i="23" s="1"/>
  <c r="H5" i="23"/>
  <c r="H6" i="23" s="1"/>
  <c r="H7" i="23" s="1"/>
  <c r="C20" i="23"/>
  <c r="C2" i="23"/>
  <c r="C3" i="6"/>
  <c r="B14" i="23"/>
  <c r="B15" i="23" s="1"/>
  <c r="E9" i="23"/>
  <c r="E10" i="23" s="1"/>
  <c r="E11" i="23" s="1"/>
  <c r="E12" i="23" s="1"/>
  <c r="C31" i="17"/>
  <c r="C32" i="17" s="1"/>
  <c r="C33" i="17" s="1"/>
  <c r="C34" i="17" s="1"/>
  <c r="C35" i="17" s="1"/>
  <c r="C29" i="17"/>
  <c r="C28" i="17" s="1"/>
  <c r="A23" i="17"/>
  <c r="E5" i="23" l="1"/>
  <c r="E6" i="23" s="1"/>
  <c r="E7" i="23" s="1"/>
  <c r="B26" i="23"/>
  <c r="J16" i="23"/>
  <c r="J14" i="6"/>
  <c r="B22" i="23"/>
  <c r="E19" i="22"/>
  <c r="E4" i="6" s="1"/>
  <c r="I19" i="22"/>
  <c r="E8" i="6" s="1"/>
  <c r="F20" i="22"/>
  <c r="J20" i="22"/>
  <c r="D21" i="22"/>
  <c r="H21" i="22"/>
  <c r="L21" i="22"/>
  <c r="E22" i="22"/>
  <c r="I4" i="6" s="1"/>
  <c r="I22" i="22"/>
  <c r="I8" i="6" s="1"/>
  <c r="C23" i="22"/>
  <c r="G23" i="22"/>
  <c r="K23" i="22"/>
  <c r="D24" i="22"/>
  <c r="D3" i="6" s="1"/>
  <c r="H24" i="22"/>
  <c r="D7" i="6" s="1"/>
  <c r="L24" i="22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K25" i="22"/>
  <c r="F18" i="22"/>
  <c r="B5" i="6" s="1"/>
  <c r="J18" i="22"/>
  <c r="B9" i="6" s="1"/>
  <c r="C18" i="22"/>
  <c r="B2" i="6" s="1"/>
  <c r="F19" i="22"/>
  <c r="E5" i="6" s="1"/>
  <c r="J19" i="22"/>
  <c r="E9" i="6" s="1"/>
  <c r="C20" i="22"/>
  <c r="G2" i="6" s="1"/>
  <c r="G20" i="22"/>
  <c r="K20" i="22"/>
  <c r="E21" i="22"/>
  <c r="I21" i="22"/>
  <c r="F22" i="22"/>
  <c r="I5" i="6" s="1"/>
  <c r="J22" i="22"/>
  <c r="I9" i="6" s="1"/>
  <c r="D23" i="22"/>
  <c r="H23" i="22"/>
  <c r="L23" i="22"/>
  <c r="E24" i="22"/>
  <c r="D4" i="6" s="1"/>
  <c r="I24" i="22"/>
  <c r="D8" i="6" s="1"/>
  <c r="H25" i="22"/>
  <c r="L25" i="22"/>
  <c r="G18" i="22"/>
  <c r="B6" i="6" s="1"/>
  <c r="K18" i="22"/>
  <c r="B10" i="6" s="1"/>
  <c r="C19" i="22"/>
  <c r="E2" i="6" s="1"/>
  <c r="G19" i="22"/>
  <c r="E6" i="6" s="1"/>
  <c r="K19" i="22"/>
  <c r="E10" i="6" s="1"/>
  <c r="D20" i="22"/>
  <c r="H20" i="22"/>
  <c r="L20" i="22"/>
  <c r="F21" i="22"/>
  <c r="J21" i="22"/>
  <c r="C22" i="22"/>
  <c r="I2" i="6" s="1"/>
  <c r="G22" i="22"/>
  <c r="I6" i="6" s="1"/>
  <c r="K22" i="22"/>
  <c r="I10" i="6" s="1"/>
  <c r="E23" i="22"/>
  <c r="I23" i="22"/>
  <c r="F24" i="22"/>
  <c r="D5" i="6" s="1"/>
  <c r="J24" i="22"/>
  <c r="D9" i="6" s="1"/>
  <c r="I25" i="22"/>
  <c r="D18" i="22"/>
  <c r="B3" i="6" s="1"/>
  <c r="H18" i="22"/>
  <c r="B7" i="6" s="1"/>
  <c r="L18" i="22"/>
  <c r="B11" i="6" s="1"/>
  <c r="D19" i="22"/>
  <c r="E3" i="6" s="1"/>
  <c r="H19" i="22"/>
  <c r="E7" i="6" s="1"/>
  <c r="L19" i="22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20" i="22"/>
  <c r="I20" i="22"/>
  <c r="C21" i="22"/>
  <c r="F2" i="6" s="1"/>
  <c r="G21" i="22"/>
  <c r="K21" i="22"/>
  <c r="D22" i="22"/>
  <c r="I3" i="6" s="1"/>
  <c r="H22" i="22"/>
  <c r="I7" i="6" s="1"/>
  <c r="L22" i="22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F23" i="22"/>
  <c r="J23" i="22"/>
  <c r="C24" i="22"/>
  <c r="D2" i="6" s="1"/>
  <c r="G24" i="22"/>
  <c r="D6" i="6" s="1"/>
  <c r="K24" i="22"/>
  <c r="D10" i="6" s="1"/>
  <c r="J25" i="22"/>
  <c r="E18" i="22"/>
  <c r="B4" i="6" s="1"/>
  <c r="I18" i="22"/>
  <c r="B8" i="6" s="1"/>
  <c r="M8" i="6" s="1"/>
  <c r="M23" i="22"/>
  <c r="M20" i="22"/>
  <c r="M21" i="22"/>
  <c r="M19" i="22"/>
  <c r="M22" i="22"/>
  <c r="M18" i="22"/>
  <c r="M25" i="22"/>
  <c r="M24" i="22"/>
  <c r="J31" i="23"/>
  <c r="J29" i="6"/>
  <c r="C26" i="23"/>
  <c r="C24" i="6"/>
  <c r="J7" i="23"/>
  <c r="J6" i="6" s="1"/>
  <c r="J5" i="6"/>
  <c r="B36" i="23"/>
  <c r="J11" i="23"/>
  <c r="J9" i="6"/>
  <c r="F2" i="16"/>
  <c r="C21" i="23"/>
  <c r="C19" i="6"/>
  <c r="B16" i="23"/>
  <c r="J36" i="23"/>
  <c r="J35" i="6" s="1"/>
  <c r="J34" i="6"/>
  <c r="J27" i="23"/>
  <c r="J26" i="6" s="1"/>
  <c r="J25" i="6"/>
  <c r="B31" i="23"/>
  <c r="M29" i="23"/>
  <c r="C31" i="23"/>
  <c r="C29" i="6"/>
  <c r="C16" i="23"/>
  <c r="C14" i="6"/>
  <c r="C36" i="23"/>
  <c r="C35" i="6" s="1"/>
  <c r="C34" i="6"/>
  <c r="B6" i="23"/>
  <c r="C11" i="23"/>
  <c r="C9" i="6"/>
  <c r="B10" i="23"/>
  <c r="J21" i="23"/>
  <c r="J19" i="6"/>
  <c r="C7" i="23"/>
  <c r="C6" i="6" s="1"/>
  <c r="C5" i="6"/>
  <c r="B35" i="12"/>
  <c r="C13" i="7" s="1"/>
  <c r="B34" i="12"/>
  <c r="B33" i="12"/>
  <c r="M4" i="23" s="1"/>
  <c r="M22" i="23" l="1"/>
  <c r="M15" i="23"/>
  <c r="M7" i="6"/>
  <c r="M2" i="6"/>
  <c r="M35" i="23"/>
  <c r="B13" i="8"/>
  <c r="D13" i="8"/>
  <c r="J22" i="23"/>
  <c r="J21" i="6" s="1"/>
  <c r="J20" i="6"/>
  <c r="M31" i="23"/>
  <c r="B32" i="23"/>
  <c r="M32" i="23" s="1"/>
  <c r="M23" i="23"/>
  <c r="M19" i="23"/>
  <c r="M28" i="23"/>
  <c r="M8" i="23"/>
  <c r="M33" i="23"/>
  <c r="M18" i="23"/>
  <c r="M13" i="23"/>
  <c r="M3" i="23"/>
  <c r="C30" i="6"/>
  <c r="C32" i="23"/>
  <c r="C31" i="6" s="1"/>
  <c r="M24" i="23"/>
  <c r="M14" i="23"/>
  <c r="C27" i="23"/>
  <c r="C26" i="6" s="1"/>
  <c r="C25" i="6"/>
  <c r="M30" i="23"/>
  <c r="M11" i="6"/>
  <c r="M6" i="6"/>
  <c r="M9" i="23"/>
  <c r="M34" i="23"/>
  <c r="M2" i="23"/>
  <c r="B7" i="23"/>
  <c r="M7" i="23" s="1"/>
  <c r="M6" i="23"/>
  <c r="J12" i="23"/>
  <c r="J11" i="6" s="1"/>
  <c r="J10" i="6"/>
  <c r="M3" i="6"/>
  <c r="M9" i="6"/>
  <c r="M21" i="23"/>
  <c r="M26" i="23"/>
  <c r="B27" i="23"/>
  <c r="M27" i="23" s="1"/>
  <c r="C12" i="23"/>
  <c r="C11" i="6" s="1"/>
  <c r="C10" i="6"/>
  <c r="C22" i="23"/>
  <c r="C21" i="6" s="1"/>
  <c r="C20" i="6"/>
  <c r="B13" i="7"/>
  <c r="D13" i="7"/>
  <c r="C17" i="23"/>
  <c r="C16" i="6" s="1"/>
  <c r="C15" i="6"/>
  <c r="H2" i="6"/>
  <c r="H3" i="6" s="1"/>
  <c r="H4" i="6" s="1"/>
  <c r="H5" i="6" s="1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H27" i="6" s="1"/>
  <c r="H28" i="6" s="1"/>
  <c r="H29" i="6" s="1"/>
  <c r="H30" i="6" s="1"/>
  <c r="H31" i="6" s="1"/>
  <c r="H32" i="6" s="1"/>
  <c r="H33" i="6" s="1"/>
  <c r="H34" i="6" s="1"/>
  <c r="H35" i="6" s="1"/>
  <c r="M4" i="6"/>
  <c r="C13" i="8"/>
  <c r="M10" i="23"/>
  <c r="B11" i="23"/>
  <c r="B17" i="23"/>
  <c r="M17" i="23" s="1"/>
  <c r="M16" i="23"/>
  <c r="M20" i="23"/>
  <c r="M36" i="23"/>
  <c r="J32" i="23"/>
  <c r="J31" i="6" s="1"/>
  <c r="J30" i="6"/>
  <c r="M10" i="6"/>
  <c r="M5" i="6"/>
  <c r="M5" i="23"/>
  <c r="J17" i="23"/>
  <c r="J16" i="6" s="1"/>
  <c r="J15" i="6"/>
  <c r="M25" i="23"/>
  <c r="M11" i="23" l="1"/>
  <c r="B12" i="23"/>
  <c r="M12" i="23" l="1"/>
  <c r="B12" i="6"/>
  <c r="B13" i="6" l="1"/>
  <c r="M12" i="6"/>
  <c r="B14" i="6" l="1"/>
  <c r="M13" i="6"/>
  <c r="B15" i="6" l="1"/>
  <c r="M14" i="6"/>
  <c r="B16" i="6" l="1"/>
  <c r="M15" i="6"/>
  <c r="B17" i="6" l="1"/>
  <c r="M16" i="6"/>
  <c r="B18" i="6" l="1"/>
  <c r="M17" i="6"/>
  <c r="B19" i="6" l="1"/>
  <c r="M18" i="6"/>
  <c r="B20" i="6" l="1"/>
  <c r="M19" i="6"/>
  <c r="B21" i="6" l="1"/>
  <c r="M20" i="6"/>
  <c r="B22" i="6" l="1"/>
  <c r="M21" i="6"/>
  <c r="B23" i="6" l="1"/>
  <c r="M22" i="6"/>
  <c r="B24" i="6" l="1"/>
  <c r="M23" i="6"/>
  <c r="B25" i="6" l="1"/>
  <c r="M24" i="6"/>
  <c r="B26" i="6" l="1"/>
  <c r="M25" i="6"/>
  <c r="B27" i="6" l="1"/>
  <c r="M26" i="6"/>
  <c r="B28" i="6" l="1"/>
  <c r="M27" i="6"/>
  <c r="B29" i="6" l="1"/>
  <c r="M28" i="6"/>
  <c r="B30" i="6" l="1"/>
  <c r="M29" i="6"/>
  <c r="B31" i="6" l="1"/>
  <c r="M30" i="6"/>
  <c r="B32" i="6" l="1"/>
  <c r="M31" i="6"/>
  <c r="B33" i="6" l="1"/>
  <c r="M32" i="6"/>
  <c r="B34" i="6" l="1"/>
  <c r="M33" i="6"/>
  <c r="B35" i="6" l="1"/>
  <c r="M35" i="6" s="1"/>
  <c r="M34" i="6"/>
</calcChain>
</file>

<file path=xl/sharedStrings.xml><?xml version="1.0" encoding="utf-8"?>
<sst xmlns="http://schemas.openxmlformats.org/spreadsheetml/2006/main" count="385" uniqueCount="208">
  <si>
    <t>CCaMC BAU Construction Cost per Unit Capacity</t>
  </si>
  <si>
    <t>CCaMC Annual Fixed O&amp;M Cost per Unit Capacity</t>
  </si>
  <si>
    <t>CCaMC Variable O&amp;M Cost per Unit Elec Output</t>
  </si>
  <si>
    <t>Sources:</t>
  </si>
  <si>
    <t>Sargent and Lundy</t>
  </si>
  <si>
    <t>CERC</t>
  </si>
  <si>
    <t>New Coal-Fired Power Plant Performance and Cost Estimates</t>
  </si>
  <si>
    <t xml:space="preserve">Benchmark Capital Cost Norm for Solar PV power projects and Solar Thermal power projects </t>
  </si>
  <si>
    <t>https://www.epa.gov/sites/production/files/2015-08/documents/coalperform.pdf</t>
  </si>
  <si>
    <t>http://www.cercind.gov.in/2016/orders/SO17.pdf</t>
  </si>
  <si>
    <t>Appendix E: SC and IGCC Power Plant Performance and Cost Estimate Spreadsheets, p.75</t>
  </si>
  <si>
    <t>Pg No 29</t>
  </si>
  <si>
    <t>Notes:</t>
  </si>
  <si>
    <t>Wind and Solar PV are handled differently in the model, relying on endogenous, capacity-based learning</t>
  </si>
  <si>
    <t>curves to determine cost declines.  Therefore, we only specify the start year costs in this document (meaning the year before the first simulated year),</t>
  </si>
  <si>
    <t>hard coal</t>
  </si>
  <si>
    <t>preexisting retiring</t>
  </si>
  <si>
    <t>newly built</t>
  </si>
  <si>
    <t>natural gas nonpeaker</t>
  </si>
  <si>
    <t>natural gas peaker</t>
  </si>
  <si>
    <t>nuclear</t>
  </si>
  <si>
    <t>biomass</t>
  </si>
  <si>
    <t>geothermal</t>
  </si>
  <si>
    <t>Geothermal</t>
  </si>
  <si>
    <t>hydro</t>
  </si>
  <si>
    <t>onshore wind</t>
  </si>
  <si>
    <t>offshore wind</t>
  </si>
  <si>
    <t>solar thermal</t>
  </si>
  <si>
    <t>Solar Thermal</t>
  </si>
  <si>
    <t>solar PV</t>
  </si>
  <si>
    <t>Year</t>
  </si>
  <si>
    <t>Supercritical</t>
  </si>
  <si>
    <t>subCritical</t>
  </si>
  <si>
    <t>Base set-up for meeting Target BACT</t>
  </si>
  <si>
    <t>UNITS</t>
  </si>
  <si>
    <r>
      <rPr>
        <b/>
        <sz val="11"/>
        <rFont val="Arial"/>
        <family val="2"/>
      </rPr>
      <t>685MW -
Supercritical PC, Bituminous</t>
    </r>
  </si>
  <si>
    <r>
      <rPr>
        <b/>
        <sz val="11"/>
        <rFont val="Arial"/>
        <family val="2"/>
      </rPr>
      <t>685MW -
Supercritical PC, Lignite</t>
    </r>
  </si>
  <si>
    <r>
      <rPr>
        <b/>
        <sz val="11"/>
        <rFont val="Arial"/>
        <family val="2"/>
      </rPr>
      <t>685MW -
Supercritical PC, PRB</t>
    </r>
  </si>
  <si>
    <r>
      <rPr>
        <b/>
        <sz val="11"/>
        <rFont val="Arial"/>
        <family val="2"/>
      </rPr>
      <t>726 MW - IGCC,
Bituminous</t>
    </r>
  </si>
  <si>
    <r>
      <rPr>
        <b/>
        <sz val="11"/>
        <rFont val="Arial"/>
        <family val="2"/>
      </rPr>
      <t>711MW - IGCC,
Lignite</t>
    </r>
  </si>
  <si>
    <t>727MW - IGCC, PRB</t>
  </si>
  <si>
    <t>limits for NOX &amp; SO2</t>
  </si>
  <si>
    <t>Capital costs</t>
  </si>
  <si>
    <t>Direct &amp; Indirect Costs $1000</t>
  </si>
  <si>
    <t>$/kW Capital Cost based on net</t>
  </si>
  <si>
    <t>$/net-kw</t>
  </si>
  <si>
    <r>
      <rPr>
        <b/>
        <u/>
        <sz val="11"/>
        <rFont val="Arial"/>
        <family val="2"/>
      </rPr>
      <t>Capital Costs</t>
    </r>
  </si>
  <si>
    <t>Costs in year 2008 dollars</t>
  </si>
  <si>
    <r>
      <rPr>
        <b/>
        <u/>
        <sz val="11"/>
        <rFont val="Arial"/>
        <family val="2"/>
      </rPr>
      <t>Fixed O&amp;M Costs</t>
    </r>
  </si>
  <si>
    <t>Fixed O&amp;M Costs</t>
  </si>
  <si>
    <r>
      <rPr>
        <b/>
        <u/>
        <sz val="11"/>
        <rFont val="Arial"/>
        <family val="2"/>
      </rPr>
      <t>Variable O&amp;M Costs  ($/yr)</t>
    </r>
  </si>
  <si>
    <t>Limestone Reagent</t>
  </si>
  <si>
    <t>Lime Reagent, dryFGD, MDEA,Catalysts</t>
  </si>
  <si>
    <t>Activated Carbon</t>
  </si>
  <si>
    <t>Water</t>
  </si>
  <si>
    <t>Bottom Ash Sale/Disposal</t>
  </si>
  <si>
    <t>Fly ash sale/Disposal</t>
  </si>
  <si>
    <t>Gypsum sale/Disposal</t>
  </si>
  <si>
    <t>AC Waste Disposal</t>
  </si>
  <si>
    <t>Ammonia</t>
  </si>
  <si>
    <t>SCR-Catalyst Replacement</t>
  </si>
  <si>
    <t>Bags for Baghouse</t>
  </si>
  <si>
    <t>SO2 Allowances</t>
  </si>
  <si>
    <t>NOx Allowances</t>
  </si>
  <si>
    <t>Other</t>
  </si>
  <si>
    <t>Sulfur Sale</t>
  </si>
  <si>
    <t>N/A</t>
  </si>
  <si>
    <t>Total</t>
  </si>
  <si>
    <t>Variable O&amp;M Costs</t>
  </si>
  <si>
    <t>$/MWh</t>
  </si>
  <si>
    <t>Total Non-Fuel O&amp;M Cost</t>
  </si>
  <si>
    <t>multiplier</t>
  </si>
  <si>
    <t>Capital Costs</t>
  </si>
  <si>
    <t>coal</t>
  </si>
  <si>
    <t>Fixed O&amp;M ($/MW)</t>
  </si>
  <si>
    <t>preexisting nonretiring</t>
  </si>
  <si>
    <t>petroleum</t>
  </si>
  <si>
    <t>lignite</t>
  </si>
  <si>
    <t>Variable O&amp;M ($/MWh)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</si>
  <si>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</si>
  <si>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</si>
  <si>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</si>
  <si>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</si>
  <si>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</si>
  <si>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</si>
  <si>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</si>
  <si>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</si>
  <si>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</si>
  <si>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</si>
  <si>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</si>
  <si>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</si>
  <si>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</si>
  <si>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thermal</t>
  </si>
  <si>
    <t>Conversion Rates</t>
  </si>
  <si>
    <t>Ruppees per dollar</t>
  </si>
  <si>
    <t>Ruppees per Lakh</t>
  </si>
  <si>
    <t>Ruppees per Crore</t>
  </si>
  <si>
    <t>Lakh per Crore</t>
  </si>
  <si>
    <t>India Inflation Rates</t>
  </si>
  <si>
    <t>http://www.inflation.eu/inflation-rates/india/historic-inflation/cpi-inflation-india.aspx</t>
  </si>
  <si>
    <t>Rate</t>
  </si>
  <si>
    <t>Value Indexed to 2012</t>
  </si>
  <si>
    <t>2012 USD</t>
  </si>
  <si>
    <t>Plant Type</t>
  </si>
  <si>
    <t>Description</t>
  </si>
  <si>
    <t>India Cost</t>
  </si>
  <si>
    <t>India Currency Unit</t>
  </si>
  <si>
    <t>India Currency Year</t>
  </si>
  <si>
    <t>US Cost</t>
  </si>
  <si>
    <t>US Currency Year</t>
  </si>
  <si>
    <t>Type of Cost</t>
  </si>
  <si>
    <t>Rs crores/MW</t>
  </si>
  <si>
    <t>n/a</t>
  </si>
  <si>
    <t>IGCC</t>
  </si>
  <si>
    <t>subcritical</t>
  </si>
  <si>
    <t>supercritical</t>
  </si>
  <si>
    <t>ultrasupercritical</t>
  </si>
  <si>
    <t>Model plant type</t>
  </si>
  <si>
    <t>Details</t>
  </si>
  <si>
    <t>IESS Capital Costs (INR Trillion/GW)</t>
  </si>
  <si>
    <t>phwr</t>
  </si>
  <si>
    <t>lwr</t>
  </si>
  <si>
    <t>solar pv</t>
  </si>
  <si>
    <t>average tracking/no-tracking</t>
  </si>
  <si>
    <t>average storage/no storage</t>
  </si>
  <si>
    <t xml:space="preserve">Missing: lignite, petroleum, geothermal, </t>
  </si>
  <si>
    <t>IESS Capital Costs (2012 USD/MW)</t>
  </si>
  <si>
    <t>BAU Deployment for  Weighting</t>
  </si>
  <si>
    <t>large</t>
  </si>
  <si>
    <t>small</t>
  </si>
  <si>
    <t>5 Year Cost Trajectory</t>
  </si>
  <si>
    <t>Cr per MW</t>
  </si>
  <si>
    <t>2012 USD per MW</t>
  </si>
  <si>
    <t>https://mnre.gov.in/file-manager/UserFiles/faq_Geothermal.pdf</t>
  </si>
  <si>
    <t>Lazard</t>
  </si>
  <si>
    <t>Capital Costs ($/MW)</t>
  </si>
  <si>
    <t>Fixed O&amp;M ($/kw-yr)</t>
  </si>
  <si>
    <t>Costs (2017 $), Low Estimates</t>
  </si>
  <si>
    <t>Costs (2012 $), Low Estimates</t>
  </si>
  <si>
    <t>2017 to 2012 USD</t>
  </si>
  <si>
    <r>
      <rPr>
        <b/>
        <sz val="10"/>
        <rFont val="Times New Roman"/>
        <family val="1"/>
      </rPr>
      <t>ASSUMPTIONS FOR ESTIMATING CAPITAL COST OF POWER PROJECTS</t>
    </r>
  </si>
  <si>
    <r>
      <rPr>
        <b/>
        <sz val="10"/>
        <rFont val="Times New Roman"/>
        <family val="1"/>
      </rPr>
      <t>Sl.No.</t>
    </r>
  </si>
  <si>
    <r>
      <rPr>
        <b/>
        <sz val="10"/>
        <rFont val="Times New Roman"/>
        <family val="1"/>
      </rPr>
      <t>Project type</t>
    </r>
  </si>
  <si>
    <r>
      <rPr>
        <b/>
        <sz val="10"/>
        <rFont val="Times New Roman"/>
        <family val="1"/>
      </rPr>
      <t>Capital cost per MW (₹ Crores)</t>
    </r>
  </si>
  <si>
    <r>
      <rPr>
        <sz val="10"/>
        <rFont val="Times New Roman"/>
        <family val="1"/>
      </rPr>
      <t>Coal</t>
    </r>
  </si>
  <si>
    <r>
      <rPr>
        <sz val="10"/>
        <rFont val="Times New Roman"/>
        <family val="1"/>
      </rPr>
      <t>Hydro</t>
    </r>
  </si>
  <si>
    <r>
      <rPr>
        <sz val="10"/>
        <rFont val="Times New Roman"/>
        <family val="1"/>
      </rPr>
      <t>Solar</t>
    </r>
  </si>
  <si>
    <r>
      <rPr>
        <sz val="10"/>
        <rFont val="Times New Roman"/>
        <family val="1"/>
      </rPr>
      <t>Wind</t>
    </r>
  </si>
  <si>
    <r>
      <rPr>
        <sz val="10"/>
        <rFont val="Times New Roman"/>
        <family val="1"/>
      </rPr>
      <t>Biomass</t>
    </r>
  </si>
  <si>
    <r>
      <rPr>
        <sz val="10"/>
        <rFont val="Times New Roman"/>
        <family val="1"/>
      </rPr>
      <t>SHP</t>
    </r>
  </si>
  <si>
    <r>
      <rPr>
        <sz val="10"/>
        <rFont val="Times New Roman"/>
        <family val="1"/>
      </rPr>
      <t>Nuclear (PHWR)</t>
    </r>
  </si>
  <si>
    <r>
      <rPr>
        <sz val="10"/>
        <rFont val="Times New Roman"/>
        <family val="1"/>
      </rPr>
      <t>Nuclear (LWR)</t>
    </r>
  </si>
  <si>
    <t>Capital cost per MW (2012 USD)</t>
  </si>
  <si>
    <t>Hard Coal</t>
  </si>
  <si>
    <t>Small hydro</t>
  </si>
  <si>
    <t>2017-2026 Capital Costs for Coal, Hydro, Nuclear Solar PV, Wind, and Biomass</t>
  </si>
  <si>
    <t>Ministry of Power</t>
  </si>
  <si>
    <t>Annexure 11.1, Tables 1 and 2</t>
  </si>
  <si>
    <t>NITI Aayog</t>
  </si>
  <si>
    <t>India Energy Security Scenarios</t>
  </si>
  <si>
    <t>http://indiaenergy.gov.in/iess/docs/IESS_Version2.2.xlsx</t>
  </si>
  <si>
    <t>Tables  XI, XV.a, XV.b, and XV.c</t>
  </si>
  <si>
    <t>Hard Coal to Lignite Scaling</t>
  </si>
  <si>
    <t>Future Cost Trajectory and Costs for Natural Gas and Offshore Wind</t>
  </si>
  <si>
    <t>Ministry of New and Renewable Energy</t>
  </si>
  <si>
    <t>n.d.</t>
  </si>
  <si>
    <t>Geothermal FAQs</t>
  </si>
  <si>
    <t>All O&amp;M Costs and Nat Gas Peaker/Petroleum Capital Costs</t>
  </si>
  <si>
    <t>https://www.lazard.com/media/450337/lazard-levelized-cost-of-energy-version-110.pdf</t>
  </si>
  <si>
    <t>Except for onshore/offshore wind and solar PV, our general approach is to take start year capital costs</t>
  </si>
  <si>
    <t>cause them to decline at the same rate as costs declined in projections in the IESS 2047 study.</t>
  </si>
  <si>
    <t>We assume MoP's and Lazard's estimates are for hard coal power plants, which are</t>
  </si>
  <si>
    <t>by far the most common in India. We scale our hard coal values by multiplying the values</t>
  </si>
  <si>
    <t>by a scaling factor for average bituminous/PRB plants in the US to lignite plants using a study from Sargent and Lundy.</t>
  </si>
  <si>
    <t>http://www.cea.nic.in/reports/committee/nep/nep_jan_2018.pdf</t>
  </si>
  <si>
    <t>National Electricity Plan - Vol I</t>
  </si>
  <si>
    <t>Levelized Cost of Energy Version 13</t>
  </si>
  <si>
    <t>https://www.lazard.com/media/451086/lazards-levelized-cost-of-energy-version-130-vf.pdf</t>
  </si>
  <si>
    <t>assumed same as nat gas peaker</t>
  </si>
  <si>
    <t>2017 value from Lazard LCOE analysis v11 (not available in v13)</t>
  </si>
  <si>
    <t>same as coal</t>
  </si>
  <si>
    <t>Biomass value is from 2017 (version 11) (not available in 2019)</t>
  </si>
  <si>
    <t>1.     For the period 2017-2027</t>
  </si>
  <si>
    <t>and the model handles calculations for subsequent years.  (We do not use CEA for the start year solar and wind</t>
  </si>
  <si>
    <t>costs, as they are higher than what was actually observed, so we use IESS values)</t>
  </si>
  <si>
    <t>Crude Oil ($/MW)</t>
  </si>
  <si>
    <t>Heavy or Residual Fuel Oil ($/MW)</t>
  </si>
  <si>
    <t>Municipal Solid Waste ($/MW)</t>
  </si>
  <si>
    <t>Capital cost of producing 1GWof electricity from segregated waste</t>
  </si>
  <si>
    <t>Point estimate</t>
  </si>
  <si>
    <t>INR Cr/MW</t>
  </si>
  <si>
    <t>Operating cost of producing 1GWof electricity from segregated waste</t>
  </si>
  <si>
    <t>2012 USD/MW</t>
  </si>
  <si>
    <t>2012 INR/MW</t>
  </si>
  <si>
    <t xml:space="preserve">Cap cost </t>
  </si>
  <si>
    <t>Interpolation</t>
  </si>
  <si>
    <t>Source: IESS v2, Tab VI, Cost Assumptions</t>
  </si>
  <si>
    <t>crude oil</t>
  </si>
  <si>
    <t>heavy or residual fuel oil</t>
  </si>
  <si>
    <t>municipal solid waste</t>
  </si>
  <si>
    <t>Base and future costs for Waste to Energy Plants for MSW</t>
  </si>
  <si>
    <t>Tab VI</t>
  </si>
  <si>
    <t>We assume crude oil and residual fuel based plants to have same value as petroleum.</t>
  </si>
  <si>
    <t>Due to lack of disaggregated costs of O&amp;M for MSW (Waste to Energy) plants, we assume the same</t>
  </si>
  <si>
    <t>variable O&amp;M as biomass. To reduce the impact of any potential double counting of variable O&amp;M within total O&amp;M in</t>
  </si>
  <si>
    <t>(assumed to be 2% lower than the IESS values, which is 8% of cap cost - as variable O&amp;M is accounted separately)</t>
  </si>
  <si>
    <t>the IESS estimates, we take a lower O&amp;M % than what is used in IESS so there is a buffer for variable O&amp;M</t>
  </si>
  <si>
    <t>which is accounted separately here.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</si>
</sst>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164" formatCode="_-* #,##0.00_-;\-* #,##0.00_-;_-* &quot;-&quot;??_-;_-@_-"/>
    <numFmt numFmtId="165" formatCode="0.0"/>
    <numFmt numFmtId="166" formatCode="0.000"/>
    <numFmt numFmtId="167" formatCode="\$#,##0;\$#,##0"/>
    <numFmt numFmtId="168" formatCode="#,##0;#,##0"/>
    <numFmt numFmtId="169" formatCode="###0;###0"/>
    <numFmt numFmtId="170" formatCode="###0.00;###0.00"/>
    <numFmt numFmtId="171" formatCode="###0.0;###0.0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6"/>
      <name val="Calibri"/>
      <family val="2"/>
    </font>
    <font>
      <u/>
      <sz val="10"/>
      <color theme="4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1"/>
      <color rgb="FF330000"/>
      <name val="Arial"/>
      <family val="2"/>
    </font>
    <font>
      <b/>
      <sz val="10"/>
      <name val="Times New Roman"/>
      <family val="1"/>
    </font>
    <font>
      <sz val="10"/>
      <color rgb="FF000000"/>
      <name val="Times New Roman"/>
      <family val="2"/>
    </font>
    <font>
      <sz val="10"/>
      <name val="Times New Roman"/>
      <family val="1"/>
    </font>
    <font>
      <b/>
      <i/>
      <sz val="10"/>
      <name val="Times New Roman"/>
      <family val="1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2" fillId="0" borderId="0" applyNumberFormat="0" applyProtection="0">
      <alignment horizontal="left"/>
    </xf>
    <xf numFmtId="0" fontId="3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4" applyNumberFormat="0" applyProtection="0">
      <alignment vertical="top" wrapText="1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3" fillId="0" borderId="5" applyNumberFormat="0" applyProtection="0">
      <alignment horizontal="left" wrapText="1"/>
    </xf>
    <xf numFmtId="0" fontId="7" fillId="0" borderId="0" applyNumberFormat="0" applyFill="0" applyBorder="0" applyAlignment="0" applyProtection="0">
      <alignment vertical="top"/>
      <protection locked="0"/>
    </xf>
    <xf numFmtId="0" fontId="4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164" fontId="13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5" fillId="0" borderId="0" xfId="5"/>
    <xf numFmtId="1" fontId="0" fillId="0" borderId="0" xfId="0" applyNumberFormat="1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" fontId="0" fillId="0" borderId="0" xfId="0" applyNumberForma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11" fontId="0" fillId="0" borderId="0" xfId="0" applyNumberFormat="1" applyFill="1" applyBorder="1" applyAlignment="1">
      <alignment horizontal="left"/>
    </xf>
    <xf numFmtId="165" fontId="0" fillId="0" borderId="0" xfId="0" applyNumberFormat="1"/>
    <xf numFmtId="0" fontId="1" fillId="0" borderId="0" xfId="0" applyFont="1" applyAlignment="1">
      <alignment horizontal="right"/>
    </xf>
    <xf numFmtId="1" fontId="1" fillId="2" borderId="0" xfId="0" applyNumberFormat="1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66" fontId="0" fillId="0" borderId="0" xfId="0" applyNumberFormat="1"/>
    <xf numFmtId="1" fontId="0" fillId="3" borderId="0" xfId="0" applyNumberFormat="1" applyFill="1"/>
    <xf numFmtId="0" fontId="0" fillId="0" borderId="0" xfId="0"/>
    <xf numFmtId="166" fontId="0" fillId="0" borderId="0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top" wrapText="1"/>
    </xf>
    <xf numFmtId="0" fontId="8" fillId="0" borderId="8" xfId="0" applyFont="1" applyFill="1" applyBorder="1" applyAlignment="1">
      <alignment horizontal="left" vertical="center" wrapText="1"/>
    </xf>
    <xf numFmtId="167" fontId="9" fillId="0" borderId="8" xfId="0" applyNumberFormat="1" applyFont="1" applyFill="1" applyBorder="1" applyAlignment="1">
      <alignment horizontal="left" vertical="top" wrapText="1"/>
    </xf>
    <xf numFmtId="0" fontId="10" fillId="0" borderId="8" xfId="0" applyFont="1" applyFill="1" applyBorder="1" applyAlignment="1">
      <alignment horizontal="left" vertical="top" wrapText="1"/>
    </xf>
    <xf numFmtId="168" fontId="9" fillId="0" borderId="8" xfId="0" applyNumberFormat="1" applyFont="1" applyFill="1" applyBorder="1" applyAlignment="1">
      <alignment horizontal="left" vertical="top" wrapText="1"/>
    </xf>
    <xf numFmtId="0" fontId="10" fillId="0" borderId="9" xfId="0" applyFont="1" applyFill="1" applyBorder="1" applyAlignment="1">
      <alignment horizontal="left" vertical="top" wrapText="1"/>
    </xf>
    <xf numFmtId="168" fontId="9" fillId="0" borderId="9" xfId="0" applyNumberFormat="1" applyFont="1" applyFill="1" applyBorder="1" applyAlignment="1">
      <alignment horizontal="center" vertical="top" wrapText="1"/>
    </xf>
    <xf numFmtId="0" fontId="8" fillId="0" borderId="11" xfId="0" applyFont="1" applyFill="1" applyBorder="1" applyAlignment="1">
      <alignment horizontal="left" vertical="center" wrapText="1"/>
    </xf>
    <xf numFmtId="0" fontId="0" fillId="0" borderId="11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167" fontId="9" fillId="0" borderId="11" xfId="0" applyNumberFormat="1" applyFont="1" applyFill="1" applyBorder="1" applyAlignment="1">
      <alignment horizontal="left" vertical="top" wrapText="1"/>
    </xf>
    <xf numFmtId="168" fontId="9" fillId="0" borderId="11" xfId="0" applyNumberFormat="1" applyFont="1" applyFill="1" applyBorder="1" applyAlignment="1">
      <alignment horizontal="left" vertical="top" wrapText="1"/>
    </xf>
    <xf numFmtId="0" fontId="8" fillId="0" borderId="11" xfId="0" applyFont="1" applyFill="1" applyBorder="1" applyAlignment="1">
      <alignment horizontal="left" vertical="top" wrapText="1"/>
    </xf>
    <xf numFmtId="168" fontId="9" fillId="0" borderId="11" xfId="0" applyNumberFormat="1" applyFont="1" applyFill="1" applyBorder="1" applyAlignment="1">
      <alignment horizontal="center" vertical="top" wrapText="1"/>
    </xf>
    <xf numFmtId="169" fontId="9" fillId="0" borderId="11" xfId="0" applyNumberFormat="1" applyFont="1" applyFill="1" applyBorder="1" applyAlignment="1">
      <alignment horizontal="center" vertical="top" wrapText="1"/>
    </xf>
    <xf numFmtId="0" fontId="10" fillId="0" borderId="11" xfId="0" applyFont="1" applyFill="1" applyBorder="1" applyAlignment="1">
      <alignment horizontal="center" vertical="top" wrapText="1"/>
    </xf>
    <xf numFmtId="0" fontId="10" fillId="0" borderId="10" xfId="0" applyFont="1" applyFill="1" applyBorder="1" applyAlignment="1">
      <alignment horizontal="left" vertical="top" wrapText="1"/>
    </xf>
    <xf numFmtId="170" fontId="9" fillId="0" borderId="10" xfId="0" applyNumberFormat="1" applyFont="1" applyFill="1" applyBorder="1" applyAlignment="1">
      <alignment horizontal="center" vertical="top" wrapText="1"/>
    </xf>
    <xf numFmtId="167" fontId="9" fillId="0" borderId="9" xfId="0" applyNumberFormat="1" applyFont="1" applyFill="1" applyBorder="1" applyAlignment="1">
      <alignment horizontal="left" vertical="top" wrapText="1"/>
    </xf>
    <xf numFmtId="168" fontId="9" fillId="0" borderId="9" xfId="0" applyNumberFormat="1" applyFont="1" applyFill="1" applyBorder="1" applyAlignment="1">
      <alignment horizontal="left" vertical="top" wrapText="1"/>
    </xf>
    <xf numFmtId="0" fontId="0" fillId="0" borderId="0" xfId="0" applyFont="1"/>
    <xf numFmtId="0" fontId="10" fillId="0" borderId="0" xfId="0" applyFont="1" applyFill="1" applyBorder="1" applyAlignment="1">
      <alignment horizontal="left" vertical="top" wrapText="1"/>
    </xf>
    <xf numFmtId="2" fontId="0" fillId="0" borderId="0" xfId="0" applyNumberFormat="1" applyFont="1"/>
    <xf numFmtId="0" fontId="12" fillId="0" borderId="0" xfId="5" applyFont="1"/>
    <xf numFmtId="0" fontId="0" fillId="0" borderId="0" xfId="0" applyAlignment="1">
      <alignment wrapText="1"/>
    </xf>
    <xf numFmtId="10" fontId="0" fillId="0" borderId="0" xfId="0" applyNumberFormat="1"/>
    <xf numFmtId="9" fontId="0" fillId="0" borderId="0" xfId="0" applyNumberFormat="1"/>
    <xf numFmtId="0" fontId="1" fillId="2" borderId="0" xfId="0" applyFont="1" applyFill="1" applyAlignment="1"/>
    <xf numFmtId="0" fontId="1" fillId="2" borderId="0" xfId="0" applyFont="1" applyFill="1"/>
    <xf numFmtId="0" fontId="1" fillId="0" borderId="0" xfId="0" applyFont="1" applyBorder="1"/>
    <xf numFmtId="0" fontId="1" fillId="0" borderId="16" xfId="0" applyFont="1" applyBorder="1"/>
    <xf numFmtId="0" fontId="0" fillId="0" borderId="15" xfId="0" applyBorder="1"/>
    <xf numFmtId="0" fontId="0" fillId="2" borderId="0" xfId="0" applyFill="1" applyBorder="1"/>
    <xf numFmtId="0" fontId="0" fillId="0" borderId="0" xfId="0" applyBorder="1"/>
    <xf numFmtId="0" fontId="0" fillId="0" borderId="16" xfId="0" applyBorder="1"/>
    <xf numFmtId="0" fontId="0" fillId="0" borderId="17" xfId="0" applyBorder="1"/>
    <xf numFmtId="0" fontId="0" fillId="2" borderId="18" xfId="0" applyFill="1" applyBorder="1"/>
    <xf numFmtId="0" fontId="0" fillId="0" borderId="18" xfId="0" applyBorder="1"/>
    <xf numFmtId="0" fontId="0" fillId="0" borderId="19" xfId="0" applyBorder="1"/>
    <xf numFmtId="0" fontId="0" fillId="0" borderId="0" xfId="0" applyFill="1" applyBorder="1"/>
    <xf numFmtId="8" fontId="14" fillId="0" borderId="0" xfId="0" applyNumberFormat="1" applyFont="1"/>
    <xf numFmtId="8" fontId="0" fillId="2" borderId="0" xfId="0" applyNumberFormat="1" applyFill="1" applyBorder="1"/>
    <xf numFmtId="8" fontId="0" fillId="0" borderId="0" xfId="0" applyNumberFormat="1" applyFill="1" applyBorder="1"/>
    <xf numFmtId="8" fontId="0" fillId="0" borderId="16" xfId="0" applyNumberFormat="1" applyFill="1" applyBorder="1"/>
    <xf numFmtId="8" fontId="0" fillId="2" borderId="18" xfId="0" applyNumberFormat="1" applyFill="1" applyBorder="1"/>
    <xf numFmtId="8" fontId="0" fillId="0" borderId="18" xfId="0" applyNumberFormat="1" applyFill="1" applyBorder="1"/>
    <xf numFmtId="8" fontId="0" fillId="0" borderId="19" xfId="0" applyNumberFormat="1" applyFill="1" applyBorder="1"/>
    <xf numFmtId="0" fontId="15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169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center" vertical="top" wrapText="1"/>
    </xf>
    <xf numFmtId="171" fontId="16" fillId="0" borderId="20" xfId="0" applyNumberFormat="1" applyFont="1" applyFill="1" applyBorder="1" applyAlignment="1">
      <alignment horizontal="center" vertical="top" wrapText="1"/>
    </xf>
    <xf numFmtId="170" fontId="16" fillId="0" borderId="20" xfId="0" applyNumberFormat="1" applyFont="1" applyFill="1" applyBorder="1" applyAlignment="1">
      <alignment horizontal="center" vertical="top" wrapText="1"/>
    </xf>
    <xf numFmtId="0" fontId="17" fillId="0" borderId="20" xfId="0" applyFont="1" applyFill="1" applyBorder="1" applyAlignment="1">
      <alignment horizontal="left" vertical="top" wrapText="1"/>
    </xf>
    <xf numFmtId="0" fontId="0" fillId="0" borderId="20" xfId="0" applyBorder="1"/>
    <xf numFmtId="0" fontId="15" fillId="0" borderId="20" xfId="0" applyFont="1" applyFill="1" applyBorder="1" applyAlignment="1">
      <alignment horizontal="left" vertical="top" wrapText="1"/>
    </xf>
    <xf numFmtId="0" fontId="15" fillId="0" borderId="20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horizontal="left" vertical="top" wrapText="1"/>
    </xf>
    <xf numFmtId="2" fontId="19" fillId="0" borderId="20" xfId="0" applyNumberFormat="1" applyFont="1" applyBorder="1"/>
    <xf numFmtId="0" fontId="15" fillId="0" borderId="20" xfId="0" applyFont="1" applyFill="1" applyBorder="1" applyAlignment="1">
      <alignment vertical="top"/>
    </xf>
    <xf numFmtId="0" fontId="5" fillId="0" borderId="0" xfId="5" applyAlignment="1">
      <alignment horizontal="left"/>
    </xf>
    <xf numFmtId="0" fontId="1" fillId="0" borderId="0" xfId="0" applyFont="1" applyAlignment="1">
      <alignment horizontal="right" wrapText="1"/>
    </xf>
    <xf numFmtId="9" fontId="20" fillId="0" borderId="0" xfId="0" applyNumberFormat="1" applyFo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8" fillId="0" borderId="9" xfId="0" applyFont="1" applyFill="1" applyBorder="1" applyAlignment="1">
      <alignment horizontal="left" vertical="center" wrapText="1"/>
    </xf>
    <xf numFmtId="0" fontId="8" fillId="0" borderId="1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wrapText="1"/>
    </xf>
    <xf numFmtId="0" fontId="8" fillId="0" borderId="10" xfId="0" applyFont="1" applyFill="1" applyBorder="1" applyAlignment="1">
      <alignment horizontal="left" wrapText="1"/>
    </xf>
    <xf numFmtId="0" fontId="0" fillId="0" borderId="9" xfId="0" applyFont="1" applyFill="1" applyBorder="1" applyAlignment="1">
      <alignment horizontal="center" vertical="top" wrapText="1"/>
    </xf>
    <xf numFmtId="0" fontId="0" fillId="0" borderId="10" xfId="0" applyFont="1" applyFill="1" applyBorder="1" applyAlignment="1">
      <alignment horizontal="center" vertical="top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left" vertical="top" wrapText="1"/>
    </xf>
  </cellXfs>
  <cellStyles count="15">
    <cellStyle name="Body: normal cell" xfId="4"/>
    <cellStyle name="Comma 2" xfId="14"/>
    <cellStyle name="Followed Hyperlink" xfId="8" builtinId="9" customBuiltin="1"/>
    <cellStyle name="Font: Calibri, 9pt regular" xfId="6"/>
    <cellStyle name="Footnotes: all except top row" xfId="9"/>
    <cellStyle name="Footnotes: top row" xfId="7"/>
    <cellStyle name="Header: bottom row" xfId="2"/>
    <cellStyle name="Header: top rows" xfId="10"/>
    <cellStyle name="Hyperlink" xfId="5" builtinId="8"/>
    <cellStyle name="Hyperlink 2" xfId="11"/>
    <cellStyle name="Normal" xfId="0" builtinId="0"/>
    <cellStyle name="Parent row" xfId="3"/>
    <cellStyle name="Section Break" xfId="12"/>
    <cellStyle name="Section Break: parent row" xfId="13"/>
    <cellStyle name="Table title" xfId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pti.in/Download/Renewable/POWERGEN%20PRSTN_Renewable%20April2012/Solar%20Resource%20CUF%20Assessment.pdf" TargetMode="External"/><Relationship Id="rId2" Type="http://schemas.openxmlformats.org/officeDocument/2006/relationships/hyperlink" Target="http://www.cercind.gov.in/2016/orders/SO17.pdf" TargetMode="External"/><Relationship Id="rId1" Type="http://schemas.openxmlformats.org/officeDocument/2006/relationships/hyperlink" Target="https://www.epa.gov/sites/production/files/2015-08/documents/coalperform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npti.in/Download/Renewable/POWERGEN%20PRSTN_Renewable%20April2012/Solar%20Resource%20CUF%20Assessment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nflation.eu/inflation-rates/india/historic-inflation/cpi-inflation-india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A10" workbookViewId="0">
      <selection activeCell="B38" sqref="B38"/>
    </sheetView>
  </sheetViews>
  <sheetFormatPr defaultColWidth="9.140625" defaultRowHeight="15" x14ac:dyDescent="0.25"/>
  <cols>
    <col min="1" max="1" width="9.140625" style="2"/>
    <col min="2" max="2" width="82.7109375" style="2" customWidth="1"/>
    <col min="3" max="3" width="7.42578125" style="2" customWidth="1"/>
    <col min="4" max="4" width="77.5703125" style="2" customWidth="1"/>
    <col min="5" max="5" width="10.7109375" style="2" customWidth="1"/>
    <col min="6" max="6" width="56.140625" style="2" bestFit="1" customWidth="1"/>
    <col min="7" max="11" width="10.7109375" style="2" customWidth="1"/>
    <col min="12" max="16384" width="9.140625" style="2"/>
  </cols>
  <sheetData>
    <row r="1" spans="1:5" x14ac:dyDescent="0.25">
      <c r="A1" s="1" t="s">
        <v>0</v>
      </c>
    </row>
    <row r="2" spans="1:5" x14ac:dyDescent="0.25">
      <c r="A2" s="1" t="s">
        <v>1</v>
      </c>
    </row>
    <row r="3" spans="1:5" x14ac:dyDescent="0.25">
      <c r="A3" s="1" t="s">
        <v>2</v>
      </c>
    </row>
    <row r="5" spans="1:5" x14ac:dyDescent="0.25">
      <c r="A5" s="5" t="s">
        <v>3</v>
      </c>
      <c r="B5" s="6" t="s">
        <v>155</v>
      </c>
      <c r="C5" s="8"/>
      <c r="D5" s="15" t="s">
        <v>23</v>
      </c>
      <c r="E5" s="8"/>
    </row>
    <row r="6" spans="1:5" x14ac:dyDescent="0.25">
      <c r="B6" s="20" t="s">
        <v>156</v>
      </c>
      <c r="D6" s="20" t="s">
        <v>164</v>
      </c>
    </row>
    <row r="7" spans="1:5" x14ac:dyDescent="0.25">
      <c r="B7" s="2">
        <v>2018</v>
      </c>
      <c r="D7" s="2" t="s">
        <v>165</v>
      </c>
    </row>
    <row r="8" spans="1:5" x14ac:dyDescent="0.25">
      <c r="B8" s="46" t="s">
        <v>175</v>
      </c>
      <c r="D8" s="20" t="s">
        <v>166</v>
      </c>
    </row>
    <row r="9" spans="1:5" x14ac:dyDescent="0.25">
      <c r="B9" s="3" t="s">
        <v>174</v>
      </c>
      <c r="D9" s="3" t="s">
        <v>133</v>
      </c>
    </row>
    <row r="10" spans="1:5" x14ac:dyDescent="0.25">
      <c r="B10" s="2" t="s">
        <v>157</v>
      </c>
      <c r="D10" s="20"/>
    </row>
    <row r="11" spans="1:5" x14ac:dyDescent="0.25">
      <c r="D11" s="9"/>
    </row>
    <row r="12" spans="1:5" x14ac:dyDescent="0.25">
      <c r="B12" s="6" t="s">
        <v>162</v>
      </c>
      <c r="D12" s="14" t="s">
        <v>28</v>
      </c>
    </row>
    <row r="13" spans="1:5" x14ac:dyDescent="0.25">
      <c r="B13" s="20" t="s">
        <v>4</v>
      </c>
      <c r="D13" s="2" t="s">
        <v>5</v>
      </c>
    </row>
    <row r="14" spans="1:5" x14ac:dyDescent="0.25">
      <c r="B14" s="2">
        <v>2009</v>
      </c>
      <c r="D14" s="2">
        <v>2017</v>
      </c>
    </row>
    <row r="15" spans="1:5" ht="30" x14ac:dyDescent="0.25">
      <c r="B15" s="2" t="s">
        <v>6</v>
      </c>
      <c r="D15" s="47" t="s">
        <v>7</v>
      </c>
    </row>
    <row r="16" spans="1:5" x14ac:dyDescent="0.25">
      <c r="B16" s="3" t="s">
        <v>8</v>
      </c>
      <c r="D16" s="3" t="s">
        <v>9</v>
      </c>
    </row>
    <row r="17" spans="1:4" x14ac:dyDescent="0.25">
      <c r="B17" s="20" t="s">
        <v>10</v>
      </c>
      <c r="D17" s="20" t="s">
        <v>11</v>
      </c>
    </row>
    <row r="18" spans="1:4" x14ac:dyDescent="0.25">
      <c r="B18" s="20"/>
    </row>
    <row r="19" spans="1:4" x14ac:dyDescent="0.25">
      <c r="A19" s="7"/>
      <c r="B19" s="6" t="s">
        <v>163</v>
      </c>
      <c r="D19" s="6" t="s">
        <v>167</v>
      </c>
    </row>
    <row r="20" spans="1:4" x14ac:dyDescent="0.25">
      <c r="A20" s="7"/>
      <c r="B20" s="2" t="s">
        <v>158</v>
      </c>
      <c r="D20" s="20" t="s">
        <v>134</v>
      </c>
    </row>
    <row r="21" spans="1:4" x14ac:dyDescent="0.25">
      <c r="A21" s="7"/>
      <c r="B21" s="2">
        <v>2015</v>
      </c>
      <c r="D21" s="2">
        <v>2019</v>
      </c>
    </row>
    <row r="22" spans="1:4" x14ac:dyDescent="0.25">
      <c r="A22" s="7"/>
      <c r="B22" s="47" t="s">
        <v>159</v>
      </c>
      <c r="D22" s="46" t="s">
        <v>176</v>
      </c>
    </row>
    <row r="23" spans="1:4" x14ac:dyDescent="0.25">
      <c r="A23" s="7"/>
      <c r="B23" s="47" t="s">
        <v>160</v>
      </c>
      <c r="D23" s="83" t="s">
        <v>177</v>
      </c>
    </row>
    <row r="24" spans="1:4" x14ac:dyDescent="0.25">
      <c r="A24" s="7"/>
      <c r="B24" s="20" t="s">
        <v>161</v>
      </c>
      <c r="D24" s="2" t="s">
        <v>181</v>
      </c>
    </row>
    <row r="25" spans="1:4" x14ac:dyDescent="0.25">
      <c r="A25" s="7"/>
      <c r="B25" s="20"/>
      <c r="C25" s="20"/>
      <c r="D25" s="2" t="s">
        <v>168</v>
      </c>
    </row>
    <row r="26" spans="1:4" x14ac:dyDescent="0.25">
      <c r="A26" s="7"/>
      <c r="B26" s="6" t="s">
        <v>200</v>
      </c>
      <c r="D26" s="20"/>
    </row>
    <row r="27" spans="1:4" x14ac:dyDescent="0.25">
      <c r="A27" s="7"/>
      <c r="B27" s="2" t="s">
        <v>158</v>
      </c>
      <c r="D27" s="20"/>
    </row>
    <row r="28" spans="1:4" x14ac:dyDescent="0.25">
      <c r="A28" s="7"/>
      <c r="B28" s="2">
        <v>2015</v>
      </c>
      <c r="D28" s="20"/>
    </row>
    <row r="29" spans="1:4" x14ac:dyDescent="0.25">
      <c r="A29" s="7"/>
      <c r="B29" s="47" t="s">
        <v>159</v>
      </c>
      <c r="D29" s="20"/>
    </row>
    <row r="30" spans="1:4" x14ac:dyDescent="0.25">
      <c r="A30" s="7"/>
      <c r="B30" s="47" t="s">
        <v>160</v>
      </c>
      <c r="D30" s="20"/>
    </row>
    <row r="31" spans="1:4" x14ac:dyDescent="0.25">
      <c r="A31" s="7"/>
      <c r="B31" s="20" t="s">
        <v>201</v>
      </c>
      <c r="D31" s="3"/>
    </row>
    <row r="32" spans="1:4" x14ac:dyDescent="0.25">
      <c r="A32" s="7"/>
      <c r="B32" s="20"/>
      <c r="D32" s="3"/>
    </row>
    <row r="33" spans="1:11" x14ac:dyDescent="0.25">
      <c r="A33" s="7" t="s">
        <v>12</v>
      </c>
      <c r="D33" s="7"/>
      <c r="E33" s="11"/>
      <c r="F33" s="11"/>
      <c r="G33" s="11"/>
      <c r="H33" s="11"/>
      <c r="I33" s="11"/>
      <c r="J33" s="11"/>
      <c r="K33" s="11"/>
    </row>
    <row r="34" spans="1:11" x14ac:dyDescent="0.25">
      <c r="A34" s="10" t="s">
        <v>169</v>
      </c>
      <c r="D34" s="7"/>
      <c r="E34" s="11"/>
      <c r="F34" s="11"/>
      <c r="G34" s="11"/>
      <c r="H34" s="11"/>
      <c r="I34" s="11"/>
      <c r="J34" s="11"/>
      <c r="K34" s="11"/>
    </row>
    <row r="35" spans="1:11" x14ac:dyDescent="0.25">
      <c r="A35" s="10" t="s">
        <v>170</v>
      </c>
      <c r="D35" s="7"/>
      <c r="E35" s="11"/>
      <c r="F35" s="11"/>
      <c r="G35" s="11"/>
      <c r="H35" s="11"/>
      <c r="I35" s="11"/>
      <c r="J35" s="11"/>
      <c r="K35" s="11"/>
    </row>
    <row r="36" spans="1:11" x14ac:dyDescent="0.25">
      <c r="A36" s="10"/>
      <c r="D36" s="7"/>
      <c r="E36" s="11"/>
      <c r="F36" s="11"/>
      <c r="G36" s="11"/>
      <c r="H36" s="11"/>
      <c r="I36" s="11"/>
      <c r="J36" s="11"/>
      <c r="K36" s="11"/>
    </row>
    <row r="37" spans="1:11" x14ac:dyDescent="0.25">
      <c r="A37" s="10" t="s">
        <v>13</v>
      </c>
      <c r="D37" s="7"/>
      <c r="E37" s="11"/>
      <c r="F37" s="11"/>
      <c r="G37" s="11"/>
      <c r="H37" s="11"/>
      <c r="I37" s="11"/>
      <c r="J37" s="11"/>
      <c r="K37" s="11"/>
    </row>
    <row r="38" spans="1:11" x14ac:dyDescent="0.25">
      <c r="A38" s="10" t="s">
        <v>14</v>
      </c>
      <c r="D38" s="7"/>
      <c r="E38" s="11"/>
      <c r="F38" s="11"/>
      <c r="G38" s="11"/>
      <c r="H38" s="11"/>
      <c r="I38" s="11"/>
      <c r="J38" s="11"/>
      <c r="K38" s="11"/>
    </row>
    <row r="39" spans="1:11" x14ac:dyDescent="0.25">
      <c r="A39" s="10" t="s">
        <v>183</v>
      </c>
      <c r="D39" s="7"/>
      <c r="E39" s="11"/>
      <c r="F39" s="11"/>
      <c r="G39" s="11"/>
      <c r="H39" s="11"/>
      <c r="I39" s="11"/>
      <c r="J39" s="11"/>
      <c r="K39" s="11"/>
    </row>
    <row r="40" spans="1:11" x14ac:dyDescent="0.25">
      <c r="A40" s="10" t="s">
        <v>184</v>
      </c>
      <c r="D40" s="7"/>
      <c r="E40" s="11"/>
      <c r="F40" s="11"/>
      <c r="G40" s="11"/>
      <c r="H40" s="11"/>
      <c r="I40" s="11"/>
      <c r="J40" s="11"/>
      <c r="K40" s="11"/>
    </row>
    <row r="41" spans="1:11" x14ac:dyDescent="0.25">
      <c r="A41" s="10"/>
      <c r="D41" s="7"/>
      <c r="E41" s="11"/>
      <c r="F41" s="11"/>
      <c r="G41" s="11"/>
      <c r="H41" s="11"/>
      <c r="I41" s="11"/>
      <c r="J41" s="11"/>
      <c r="K41" s="11"/>
    </row>
    <row r="42" spans="1:11" x14ac:dyDescent="0.25">
      <c r="A42" s="10" t="s">
        <v>171</v>
      </c>
      <c r="D42" s="7"/>
      <c r="E42" s="11"/>
      <c r="F42" s="11"/>
      <c r="G42" s="11"/>
      <c r="H42" s="11"/>
      <c r="I42" s="11"/>
      <c r="J42" s="11"/>
      <c r="K42" s="11"/>
    </row>
    <row r="43" spans="1:11" x14ac:dyDescent="0.25">
      <c r="A43" s="10" t="s">
        <v>172</v>
      </c>
      <c r="D43" s="7"/>
      <c r="E43" s="11"/>
      <c r="F43" s="11"/>
      <c r="G43" s="11"/>
      <c r="H43" s="11"/>
      <c r="I43" s="11"/>
      <c r="J43" s="11"/>
      <c r="K43" s="11"/>
    </row>
    <row r="44" spans="1:11" x14ac:dyDescent="0.25">
      <c r="A44" s="10" t="s">
        <v>173</v>
      </c>
      <c r="D44" s="7"/>
      <c r="E44" s="11"/>
      <c r="F44" s="11"/>
      <c r="G44" s="11"/>
      <c r="H44" s="11"/>
      <c r="I44" s="11"/>
      <c r="J44" s="11"/>
      <c r="K44" s="11"/>
    </row>
    <row r="45" spans="1:11" x14ac:dyDescent="0.25">
      <c r="A45" s="10"/>
      <c r="D45" s="7"/>
      <c r="E45" s="11"/>
      <c r="F45" s="11"/>
      <c r="G45" s="11"/>
      <c r="H45" s="11"/>
      <c r="I45" s="11"/>
      <c r="J45" s="11"/>
      <c r="K45" s="11"/>
    </row>
    <row r="46" spans="1:11" x14ac:dyDescent="0.25">
      <c r="A46" s="10" t="s">
        <v>202</v>
      </c>
      <c r="D46" s="7"/>
      <c r="E46" s="11"/>
      <c r="F46" s="11"/>
      <c r="G46" s="11"/>
      <c r="H46" s="11"/>
      <c r="I46" s="11"/>
      <c r="J46" s="11"/>
      <c r="K46" s="11"/>
    </row>
    <row r="47" spans="1:11" x14ac:dyDescent="0.25">
      <c r="A47" s="10" t="s">
        <v>203</v>
      </c>
      <c r="B47" s="9"/>
      <c r="D47" s="7"/>
      <c r="E47" s="11"/>
      <c r="F47" s="11"/>
      <c r="G47" s="11"/>
      <c r="H47" s="11"/>
      <c r="I47" s="11"/>
      <c r="J47" s="11"/>
      <c r="K47" s="11"/>
    </row>
    <row r="48" spans="1:11" x14ac:dyDescent="0.25">
      <c r="A48" s="10" t="s">
        <v>204</v>
      </c>
      <c r="B48" s="9"/>
      <c r="D48" s="7"/>
      <c r="E48" s="11"/>
      <c r="F48" s="11"/>
      <c r="G48" s="11"/>
      <c r="H48" s="11"/>
      <c r="I48" s="11"/>
      <c r="J48" s="11"/>
      <c r="K48" s="11"/>
    </row>
    <row r="49" spans="1:11" x14ac:dyDescent="0.25">
      <c r="A49" s="10" t="s">
        <v>206</v>
      </c>
      <c r="B49" s="9"/>
      <c r="D49" s="7"/>
      <c r="E49" s="11"/>
      <c r="F49" s="11"/>
      <c r="G49" s="11"/>
      <c r="H49" s="11"/>
      <c r="I49" s="11"/>
      <c r="J49" s="11"/>
      <c r="K49" s="11"/>
    </row>
    <row r="50" spans="1:11" x14ac:dyDescent="0.25">
      <c r="A50" s="10" t="s">
        <v>207</v>
      </c>
      <c r="B50" s="9"/>
      <c r="D50" s="7"/>
      <c r="E50" s="11"/>
      <c r="F50" s="11"/>
      <c r="G50" s="11"/>
      <c r="H50" s="11"/>
      <c r="I50" s="11"/>
      <c r="J50" s="11"/>
      <c r="K50" s="11"/>
    </row>
    <row r="51" spans="1:11" x14ac:dyDescent="0.25">
      <c r="A51" s="20"/>
      <c r="B51" s="9"/>
      <c r="D51" s="7"/>
      <c r="E51" s="11"/>
      <c r="F51" s="11"/>
      <c r="G51" s="11"/>
      <c r="H51" s="11"/>
      <c r="I51" s="11"/>
      <c r="J51" s="11"/>
      <c r="K51" s="11"/>
    </row>
    <row r="52" spans="1:11" x14ac:dyDescent="0.25">
      <c r="A52" s="20"/>
      <c r="B52" s="9"/>
      <c r="D52" s="7"/>
      <c r="E52" s="11"/>
      <c r="F52" s="11"/>
      <c r="G52" s="11"/>
      <c r="H52" s="11"/>
      <c r="I52" s="11"/>
      <c r="J52" s="11"/>
      <c r="K52" s="11"/>
    </row>
    <row r="53" spans="1:11" x14ac:dyDescent="0.25">
      <c r="A53" s="18"/>
      <c r="B53" s="9"/>
      <c r="D53" s="7"/>
      <c r="E53" s="11"/>
      <c r="F53" s="11"/>
      <c r="G53" s="11"/>
      <c r="H53" s="11"/>
      <c r="I53" s="11"/>
      <c r="J53" s="11"/>
      <c r="K53" s="11"/>
    </row>
    <row r="55" spans="1:11" x14ac:dyDescent="0.25">
      <c r="A55" s="21"/>
      <c r="B55" s="9"/>
      <c r="D55" s="7"/>
      <c r="E55" s="11"/>
      <c r="F55" s="11"/>
      <c r="G55" s="11"/>
      <c r="H55" s="11"/>
      <c r="I55" s="11"/>
      <c r="J55" s="11"/>
      <c r="K55" s="11"/>
    </row>
    <row r="56" spans="1:11" x14ac:dyDescent="0.25">
      <c r="A56" s="10"/>
      <c r="B56" s="9"/>
      <c r="D56" s="7"/>
      <c r="E56" s="11"/>
      <c r="F56" s="11"/>
      <c r="G56" s="11"/>
      <c r="H56" s="11"/>
      <c r="I56" s="11"/>
      <c r="J56" s="11"/>
      <c r="K56" s="11"/>
    </row>
    <row r="57" spans="1:11" x14ac:dyDescent="0.25">
      <c r="A57" s="10"/>
      <c r="B57" s="9"/>
      <c r="D57" s="7"/>
      <c r="E57" s="11"/>
      <c r="F57" s="11"/>
      <c r="G57" s="11"/>
      <c r="H57" s="11"/>
      <c r="I57" s="11"/>
      <c r="J57" s="11"/>
      <c r="K57" s="11"/>
    </row>
    <row r="58" spans="1:11" x14ac:dyDescent="0.25">
      <c r="A58" s="10"/>
      <c r="B58" s="9"/>
      <c r="D58" s="7"/>
      <c r="E58" s="11"/>
      <c r="F58" s="11"/>
      <c r="G58" s="11"/>
      <c r="H58" s="11"/>
      <c r="I58" s="11"/>
      <c r="J58" s="11"/>
      <c r="K58" s="11"/>
    </row>
    <row r="59" spans="1:11" x14ac:dyDescent="0.25">
      <c r="A59" s="20"/>
      <c r="B59" s="9"/>
      <c r="D59" s="7"/>
      <c r="E59" s="11"/>
      <c r="F59" s="11"/>
      <c r="G59" s="11"/>
      <c r="H59" s="11"/>
      <c r="I59" s="11"/>
      <c r="J59" s="11"/>
      <c r="K59" s="11"/>
    </row>
    <row r="60" spans="1:11" x14ac:dyDescent="0.25">
      <c r="A60" s="10"/>
      <c r="B60" s="9"/>
      <c r="D60" s="7"/>
      <c r="E60" s="11"/>
      <c r="F60" s="11"/>
      <c r="G60" s="11"/>
      <c r="H60" s="11"/>
      <c r="I60" s="11"/>
      <c r="J60" s="11"/>
      <c r="K60" s="11"/>
    </row>
    <row r="61" spans="1:11" x14ac:dyDescent="0.25">
      <c r="A61" s="10"/>
      <c r="B61" s="9"/>
      <c r="D61" s="7"/>
      <c r="E61" s="11"/>
      <c r="F61" s="11"/>
      <c r="G61" s="11"/>
      <c r="H61" s="11"/>
      <c r="I61" s="11"/>
      <c r="J61" s="11"/>
      <c r="K61" s="11"/>
    </row>
    <row r="62" spans="1:11" x14ac:dyDescent="0.25">
      <c r="A62" s="10"/>
      <c r="B62" s="9"/>
      <c r="D62" s="7"/>
      <c r="E62" s="11"/>
      <c r="F62" s="11"/>
      <c r="G62" s="11"/>
      <c r="H62" s="11"/>
      <c r="I62" s="11"/>
      <c r="J62" s="11"/>
      <c r="K62" s="11"/>
    </row>
    <row r="63" spans="1:11" x14ac:dyDescent="0.25">
      <c r="A63" s="10"/>
      <c r="B63" s="9"/>
      <c r="D63" s="7"/>
      <c r="E63" s="11"/>
      <c r="F63" s="11"/>
      <c r="G63" s="11"/>
      <c r="H63" s="11"/>
      <c r="I63" s="11"/>
      <c r="J63" s="11"/>
      <c r="K63" s="11"/>
    </row>
    <row r="64" spans="1:11" x14ac:dyDescent="0.25">
      <c r="A64" s="10"/>
      <c r="B64" s="9"/>
      <c r="D64" s="7"/>
      <c r="E64" s="11"/>
      <c r="F64" s="11"/>
      <c r="G64" s="11"/>
      <c r="H64" s="11"/>
      <c r="I64" s="11"/>
      <c r="J64" s="11"/>
      <c r="K64" s="11"/>
    </row>
    <row r="65" spans="1:11" x14ac:dyDescent="0.25">
      <c r="A65" s="10"/>
      <c r="B65" s="9"/>
      <c r="D65" s="7"/>
      <c r="E65" s="11"/>
      <c r="F65" s="11"/>
      <c r="G65" s="11"/>
      <c r="H65" s="11"/>
      <c r="I65" s="11"/>
      <c r="J65" s="11"/>
      <c r="K65" s="11"/>
    </row>
    <row r="66" spans="1:11" x14ac:dyDescent="0.25">
      <c r="A66" s="10"/>
      <c r="B66" s="9"/>
      <c r="D66" s="7"/>
      <c r="E66" s="11"/>
      <c r="F66" s="11"/>
      <c r="G66" s="11"/>
      <c r="H66" s="11"/>
      <c r="I66" s="11"/>
      <c r="J66" s="11"/>
      <c r="K66" s="11"/>
    </row>
    <row r="67" spans="1:11" x14ac:dyDescent="0.25">
      <c r="A67" s="10"/>
      <c r="B67" s="9"/>
      <c r="D67" s="7"/>
      <c r="E67" s="11"/>
      <c r="F67" s="11"/>
      <c r="G67" s="11"/>
      <c r="H67" s="11"/>
      <c r="I67" s="11"/>
      <c r="J67" s="11"/>
      <c r="K67" s="11"/>
    </row>
    <row r="68" spans="1:11" x14ac:dyDescent="0.25">
      <c r="A68" s="10"/>
      <c r="B68" s="9"/>
      <c r="D68" s="7"/>
      <c r="E68" s="11"/>
      <c r="F68" s="11"/>
      <c r="G68" s="11"/>
      <c r="H68" s="11"/>
      <c r="I68" s="11"/>
      <c r="J68" s="11"/>
      <c r="K68" s="11"/>
    </row>
    <row r="69" spans="1:11" x14ac:dyDescent="0.25">
      <c r="A69" s="10"/>
      <c r="B69" s="9"/>
      <c r="D69" s="7"/>
      <c r="E69" s="11"/>
      <c r="F69" s="11"/>
      <c r="G69" s="11"/>
      <c r="H69" s="11"/>
      <c r="I69" s="11"/>
      <c r="J69" s="11"/>
      <c r="K69" s="11"/>
    </row>
    <row r="70" spans="1:11" x14ac:dyDescent="0.25">
      <c r="A70" s="10"/>
      <c r="B70" s="9"/>
      <c r="D70" s="7"/>
      <c r="E70" s="11"/>
      <c r="F70" s="11"/>
      <c r="G70" s="11"/>
      <c r="H70" s="11"/>
      <c r="I70" s="11"/>
      <c r="J70" s="11"/>
      <c r="K70" s="11"/>
    </row>
    <row r="71" spans="1:11" x14ac:dyDescent="0.25">
      <c r="A71" s="10"/>
      <c r="B71" s="9"/>
      <c r="D71" s="7"/>
      <c r="E71" s="11"/>
      <c r="F71" s="11"/>
      <c r="G71" s="11"/>
      <c r="H71" s="11"/>
      <c r="I71" s="11"/>
      <c r="J71" s="11"/>
      <c r="K71" s="11"/>
    </row>
    <row r="72" spans="1:11" x14ac:dyDescent="0.25">
      <c r="A72" s="10"/>
      <c r="B72" s="9"/>
      <c r="D72" s="7"/>
      <c r="E72" s="11"/>
      <c r="F72" s="11"/>
      <c r="G72" s="11"/>
      <c r="H72" s="11"/>
      <c r="I72" s="11"/>
      <c r="J72" s="11"/>
      <c r="K72" s="11"/>
    </row>
    <row r="73" spans="1:11" x14ac:dyDescent="0.25">
      <c r="A73" s="10"/>
      <c r="B73" s="9"/>
      <c r="D73" s="7"/>
      <c r="E73" s="11"/>
      <c r="F73" s="11"/>
      <c r="G73" s="11"/>
      <c r="H73" s="11"/>
      <c r="I73" s="11"/>
      <c r="J73" s="11"/>
      <c r="K73" s="11"/>
    </row>
    <row r="74" spans="1:11" x14ac:dyDescent="0.25">
      <c r="A74" s="10"/>
      <c r="B74" s="9"/>
      <c r="D74" s="7"/>
      <c r="E74" s="11"/>
      <c r="F74" s="11"/>
      <c r="G74" s="11"/>
      <c r="H74" s="11"/>
      <c r="I74" s="11"/>
      <c r="J74" s="11"/>
      <c r="K74" s="11"/>
    </row>
    <row r="75" spans="1:11" x14ac:dyDescent="0.25">
      <c r="A75" s="10"/>
      <c r="B75" s="9"/>
      <c r="D75" s="7"/>
      <c r="E75" s="11"/>
      <c r="F75" s="11"/>
      <c r="G75" s="11"/>
      <c r="H75" s="11"/>
      <c r="I75" s="11"/>
      <c r="J75" s="11"/>
      <c r="K75" s="11"/>
    </row>
    <row r="76" spans="1:11" x14ac:dyDescent="0.25">
      <c r="A76" s="10"/>
      <c r="B76" s="9"/>
      <c r="D76" s="7"/>
      <c r="E76" s="11"/>
      <c r="F76" s="11"/>
      <c r="G76" s="11"/>
      <c r="H76" s="11"/>
      <c r="I76" s="11"/>
      <c r="J76" s="11"/>
      <c r="K76" s="11"/>
    </row>
    <row r="77" spans="1:11" x14ac:dyDescent="0.25">
      <c r="A77" s="10"/>
      <c r="B77" s="9"/>
      <c r="D77" s="7"/>
      <c r="E77" s="11"/>
      <c r="F77" s="11"/>
      <c r="G77" s="11"/>
      <c r="H77" s="11"/>
      <c r="I77" s="11"/>
      <c r="J77" s="11"/>
      <c r="K77" s="11"/>
    </row>
    <row r="78" spans="1:11" x14ac:dyDescent="0.25">
      <c r="A78" s="7"/>
      <c r="B78" s="9"/>
      <c r="D78" s="7"/>
      <c r="E78" s="11"/>
      <c r="F78" s="11"/>
      <c r="G78" s="11"/>
      <c r="H78" s="11"/>
      <c r="I78" s="11"/>
      <c r="J78" s="11"/>
      <c r="K78" s="11"/>
    </row>
  </sheetData>
  <hyperlinks>
    <hyperlink ref="B16" r:id="rId1"/>
    <hyperlink ref="D16" r:id="rId2"/>
    <hyperlink ref="B22" r:id="rId3" display="http://www.npti.in/Download/Renewable/POWERGEN%20PRSTN_Renewable%20April2012/Solar%20Resource%20CUF%20Assessment.pdf"/>
    <hyperlink ref="B29" r:id="rId4" display="http://www.npti.in/Download/Renewable/POWERGEN%20PRSTN_Renewable%20April2012/Solar%20Resource%20CUF%20Assessment.pdf"/>
  </hyperlinks>
  <pageMargins left="0.7" right="0.7" top="0.75" bottom="0.75" header="0.3" footer="0.3"/>
  <pageSetup orientation="portrait" horizontalDpi="1200" verticalDpi="1200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workbookViewId="0">
      <selection activeCell="F2" sqref="F2"/>
    </sheetView>
  </sheetViews>
  <sheetFormatPr defaultRowHeight="15" x14ac:dyDescent="0.25"/>
  <cols>
    <col min="1" max="1" width="9.140625" style="20"/>
    <col min="2" max="2" width="17.28515625" style="20" customWidth="1"/>
    <col min="3" max="3" width="31" style="20" customWidth="1"/>
    <col min="4" max="5" width="17.28515625" style="20" customWidth="1"/>
    <col min="6" max="6" width="23.140625" style="20" customWidth="1"/>
    <col min="7" max="7" width="17.28515625" style="20" customWidth="1"/>
    <col min="8" max="8" width="22.5703125" style="20" customWidth="1"/>
    <col min="9" max="9" width="17.28515625" style="20" customWidth="1"/>
    <col min="10" max="10" width="22.42578125" style="20" customWidth="1"/>
    <col min="11" max="11" width="20.85546875" style="20" customWidth="1"/>
    <col min="12" max="12" width="28.140625" style="20" customWidth="1"/>
    <col min="13" max="13" width="19.140625" style="20" bestFit="1" customWidth="1"/>
    <col min="14" max="14" width="22.140625" style="20" bestFit="1" customWidth="1"/>
    <col min="15" max="16384" width="9.140625" style="20"/>
  </cols>
  <sheetData>
    <row r="1" spans="1:14" x14ac:dyDescent="0.25">
      <c r="A1" s="13" t="s">
        <v>30</v>
      </c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83</v>
      </c>
      <c r="G1" s="13" t="s">
        <v>84</v>
      </c>
      <c r="H1" s="13" t="s">
        <v>85</v>
      </c>
      <c r="I1" s="13" t="s">
        <v>86</v>
      </c>
      <c r="J1" s="13" t="s">
        <v>87</v>
      </c>
      <c r="K1" s="13" t="s">
        <v>88</v>
      </c>
      <c r="L1" s="13" t="s">
        <v>89</v>
      </c>
      <c r="M1" s="13" t="s">
        <v>90</v>
      </c>
      <c r="N1" s="13" t="s">
        <v>91</v>
      </c>
    </row>
    <row r="2" spans="1:14" x14ac:dyDescent="0.25">
      <c r="A2" s="1">
        <v>2016</v>
      </c>
      <c r="B2" s="4">
        <f>TREND(B3:B4,$A3:$A4,$A2)</f>
        <v>934944.85558377951</v>
      </c>
      <c r="C2" s="4">
        <f>TREND(C3:C4,$A3:$A4,$A2)</f>
        <v>682957.30196405761</v>
      </c>
      <c r="D2" s="4">
        <f>TREND(D3:D4,$A3:$A4,$A2)</f>
        <v>2630351.9262370467</v>
      </c>
      <c r="E2" s="4">
        <f>TREND(E3:E4,$A3:$A4,$A2)</f>
        <v>2225983.8017029911</v>
      </c>
      <c r="F2" s="19">
        <f>IESS!B53</f>
        <v>1244476.9034142776</v>
      </c>
      <c r="G2" s="19">
        <f>'Combined Capital Costs'!B7</f>
        <v>1086361.1466131094</v>
      </c>
      <c r="H2" s="4">
        <f>TREND(H3:H4,$A3:$A4,$A2)</f>
        <v>2332237.3562169075</v>
      </c>
      <c r="I2" s="4">
        <f>TREND(I3:I4,$A3:$A4,$A2)</f>
        <v>821617.67390907416</v>
      </c>
      <c r="J2" s="4">
        <f>TREND(J3:J4,$A3:$A4,$A2)</f>
        <v>5020996.8961110096</v>
      </c>
      <c r="K2" s="4">
        <f>L2</f>
        <v>651000</v>
      </c>
      <c r="L2" s="4">
        <f>Lazard!B28*10^3</f>
        <v>651000</v>
      </c>
      <c r="M2" s="4">
        <f>B2*'Coal Cost Multipliers'!$B$33</f>
        <v>1083547.1229341729</v>
      </c>
      <c r="N2" s="4">
        <f>TREND(N3:N4,$A3:$A4,$A2)</f>
        <v>2912178.1997443885</v>
      </c>
    </row>
    <row r="3" spans="1:14" x14ac:dyDescent="0.25">
      <c r="A3" s="1">
        <v>2017</v>
      </c>
      <c r="B3" s="4">
        <f>INDEX('Combined Capital Costs'!$B$3:$H$15,MATCH("hard coal",'Combined Capital Costs'!$A$3:$A$15,0),MATCH($A3,'Combined Capital Costs'!$B$2:$H$2,0))</f>
        <v>955482.14295426896</v>
      </c>
      <c r="C3" s="4">
        <f>INDEX('Combined Capital Costs'!$B$3:$H$15,MATCH("natural gas nonpeaker",'Combined Capital Costs'!$A$3:$A$15,0),MATCH($A3,'Combined Capital Costs'!$B$2:$H$2,0))</f>
        <v>689989.30592868885</v>
      </c>
      <c r="D3" s="4">
        <f>INDEX('Combined Capital Costs'!$B$3:$H$15,MATCH("nuclear",'Combined Capital Costs'!$A$3:$A$15,0),MATCH($A3,'Combined Capital Costs'!$B$2:$H$2,0))</f>
        <v>2435059.8715842008</v>
      </c>
      <c r="E3" s="4">
        <f>INDEX('Combined Capital Costs'!$B$3:$H$15,MATCH("hydro",'Combined Capital Costs'!$A$3:$A$15,0),MATCH($A3,'Combined Capital Costs'!$B$2:$H$2,0))</f>
        <v>2202214.2744804788</v>
      </c>
      <c r="F3" s="4">
        <v>0</v>
      </c>
      <c r="G3" s="4">
        <v>0</v>
      </c>
      <c r="H3" s="4">
        <f>INDEX('Combined Capital Costs'!$B$3:$H$15,MATCH("solar thermal",'Combined Capital Costs'!$A$3:$A$15,0),MATCH($A3,'Combined Capital Costs'!$B$2:$H$2,0))</f>
        <v>2358590.4692349825</v>
      </c>
      <c r="I3" s="4">
        <f>INDEX('Combined Capital Costs'!$B$3:$H$15,MATCH("biomass",'Combined Capital Costs'!$A$3:$A$15,0),MATCH($A3,'Combined Capital Costs'!$B$2:$H$2,0))</f>
        <v>821617.67390907416</v>
      </c>
      <c r="J3" s="4">
        <f>INDEX('Combined Capital Costs'!$B$3:$H$15,MATCH("geothermal",'Combined Capital Costs'!$A$3:$A$15,0),MATCH($A3,'Combined Capital Costs'!$B$2:$H$2,0))</f>
        <v>5020996.8961110096</v>
      </c>
      <c r="K3" s="4">
        <f>K2</f>
        <v>651000</v>
      </c>
      <c r="L3" s="4">
        <f>L2</f>
        <v>651000</v>
      </c>
      <c r="M3" s="4">
        <f>B3*'Coal Cost Multipliers'!$B$33</f>
        <v>1107348.6535915839</v>
      </c>
      <c r="N3" s="4">
        <f>INDEX('Combined Capital Costs'!$B$3:$H$15,MATCH("offshore wind",'Combined Capital Costs'!$A$3:$A$15,0),MATCH($A3,'Combined Capital Costs'!$B$2:$H$2,0))</f>
        <v>2875661.8586817603</v>
      </c>
    </row>
    <row r="4" spans="1:14" x14ac:dyDescent="0.25">
      <c r="A4" s="1">
        <v>2018</v>
      </c>
      <c r="B4" s="4">
        <f>(B$8-B$3)/5+B3</f>
        <v>976019.43032476422</v>
      </c>
      <c r="C4" s="4">
        <f t="shared" ref="C4:E7" si="0">(C$8-C$3)/5+C3</f>
        <v>697021.3098933202</v>
      </c>
      <c r="D4" s="4">
        <f t="shared" si="0"/>
        <v>2239767.8169314102</v>
      </c>
      <c r="E4" s="4">
        <f t="shared" si="0"/>
        <v>2178444.7472579628</v>
      </c>
      <c r="F4" s="4">
        <v>0</v>
      </c>
      <c r="G4" s="4">
        <v>0</v>
      </c>
      <c r="H4" s="4">
        <f>(H$8-H$3)/5+H3</f>
        <v>2384943.582253058</v>
      </c>
      <c r="I4" s="4">
        <f>(I$8-I$3)/5+I3</f>
        <v>821617.67390907416</v>
      </c>
      <c r="J4" s="4">
        <f>(J$8-J$3)/5+J3</f>
        <v>5020996.8961110096</v>
      </c>
      <c r="K4" s="4">
        <f t="shared" ref="K4:L36" si="1">K3</f>
        <v>651000</v>
      </c>
      <c r="L4" s="4">
        <f t="shared" si="1"/>
        <v>651000</v>
      </c>
      <c r="M4" s="4">
        <f>B4*'Coal Cost Multipliers'!$B$33</f>
        <v>1131150.1842490018</v>
      </c>
      <c r="N4" s="4">
        <f>(N$8-N$3)/5+N3</f>
        <v>2839145.5176191349</v>
      </c>
    </row>
    <row r="5" spans="1:14" x14ac:dyDescent="0.25">
      <c r="A5" s="1">
        <v>2019</v>
      </c>
      <c r="B5" s="4">
        <f t="shared" ref="B5:B7" si="2">(B$8-B$3)/5+B4</f>
        <v>996556.71769525949</v>
      </c>
      <c r="C5" s="4">
        <f t="shared" si="0"/>
        <v>704053.31385795155</v>
      </c>
      <c r="D5" s="4">
        <f t="shared" si="0"/>
        <v>2044475.7622786197</v>
      </c>
      <c r="E5" s="4">
        <f t="shared" si="0"/>
        <v>2154675.2200354468</v>
      </c>
      <c r="F5" s="4">
        <v>0</v>
      </c>
      <c r="G5" s="4">
        <v>0</v>
      </c>
      <c r="H5" s="4">
        <f t="shared" ref="H5:J7" si="3">(H$8-H$3)/5+H4</f>
        <v>2411296.6952711334</v>
      </c>
      <c r="I5" s="4">
        <f t="shared" si="3"/>
        <v>821617.67390907416</v>
      </c>
      <c r="J5" s="4">
        <f t="shared" si="3"/>
        <v>5020996.8961110096</v>
      </c>
      <c r="K5" s="4">
        <f t="shared" si="1"/>
        <v>651000</v>
      </c>
      <c r="L5" s="4">
        <f t="shared" si="1"/>
        <v>651000</v>
      </c>
      <c r="M5" s="4">
        <f>B5*'Coal Cost Multipliers'!$B$33</f>
        <v>1154951.7149064196</v>
      </c>
      <c r="N5" s="4">
        <f t="shared" ref="N5" si="4">(N$8-N$3)/5+N4</f>
        <v>2802629.1765565095</v>
      </c>
    </row>
    <row r="6" spans="1:14" x14ac:dyDescent="0.25">
      <c r="A6" s="1">
        <v>2020</v>
      </c>
      <c r="B6" s="4">
        <f t="shared" si="2"/>
        <v>1017094.0050657548</v>
      </c>
      <c r="C6" s="4">
        <f t="shared" si="0"/>
        <v>711085.3178225829</v>
      </c>
      <c r="D6" s="4">
        <f t="shared" si="0"/>
        <v>1849183.7076258291</v>
      </c>
      <c r="E6" s="4">
        <f t="shared" si="0"/>
        <v>2130905.6928129308</v>
      </c>
      <c r="F6" s="4">
        <v>0</v>
      </c>
      <c r="G6" s="4">
        <v>0</v>
      </c>
      <c r="H6" s="4">
        <f t="shared" si="3"/>
        <v>2437649.8082892089</v>
      </c>
      <c r="I6" s="4">
        <f t="shared" si="3"/>
        <v>821617.67390907416</v>
      </c>
      <c r="J6" s="4">
        <f t="shared" si="3"/>
        <v>5020996.8961110096</v>
      </c>
      <c r="K6" s="4">
        <f t="shared" si="1"/>
        <v>651000</v>
      </c>
      <c r="L6" s="4">
        <f t="shared" si="1"/>
        <v>651000</v>
      </c>
      <c r="M6" s="4">
        <f>B6*'Coal Cost Multipliers'!$B$33</f>
        <v>1178753.2455638375</v>
      </c>
      <c r="N6" s="4">
        <f t="shared" ref="N6" si="5">(N$8-N$3)/5+N5</f>
        <v>2766112.835493884</v>
      </c>
    </row>
    <row r="7" spans="1:14" x14ac:dyDescent="0.25">
      <c r="A7" s="1">
        <v>2021</v>
      </c>
      <c r="B7" s="4">
        <f t="shared" si="2"/>
        <v>1037631.29243625</v>
      </c>
      <c r="C7" s="4">
        <f t="shared" si="0"/>
        <v>718117.32178721426</v>
      </c>
      <c r="D7" s="4">
        <f t="shared" si="0"/>
        <v>1653891.6529730386</v>
      </c>
      <c r="E7" s="4">
        <f t="shared" si="0"/>
        <v>2107136.1655904148</v>
      </c>
      <c r="F7" s="4">
        <v>0</v>
      </c>
      <c r="G7" s="4">
        <v>0</v>
      </c>
      <c r="H7" s="4">
        <f t="shared" si="3"/>
        <v>2464002.9213072844</v>
      </c>
      <c r="I7" s="4">
        <f t="shared" si="3"/>
        <v>821617.67390907416</v>
      </c>
      <c r="J7" s="4">
        <f t="shared" si="3"/>
        <v>5020996.8961110096</v>
      </c>
      <c r="K7" s="4">
        <f t="shared" si="1"/>
        <v>651000</v>
      </c>
      <c r="L7" s="4">
        <f t="shared" si="1"/>
        <v>651000</v>
      </c>
      <c r="M7" s="4">
        <f>B7*'Coal Cost Multipliers'!$B$33</f>
        <v>1202554.7762212555</v>
      </c>
      <c r="N7" s="4">
        <f t="shared" ref="N7" si="6">(N$8-N$3)/5+N6</f>
        <v>2729596.4944312586</v>
      </c>
    </row>
    <row r="8" spans="1:14" x14ac:dyDescent="0.25">
      <c r="A8" s="1">
        <v>2022</v>
      </c>
      <c r="B8" s="4">
        <f>INDEX('Combined Capital Costs'!$B$3:$H$15,MATCH("hard coal",'Combined Capital Costs'!$A$3:$A$15,0),MATCH($A8,'Combined Capital Costs'!$B$2:$H$2,0))</f>
        <v>1058168.5798067451</v>
      </c>
      <c r="C8" s="4">
        <f>INDEX('Combined Capital Costs'!$B$3:$H$15,MATCH("natural gas nonpeaker",'Combined Capital Costs'!$A$3:$A$15,0),MATCH($A8,'Combined Capital Costs'!$B$2:$H$2,0))</f>
        <v>725149.32575184549</v>
      </c>
      <c r="D8" s="4">
        <f>INDEX('Combined Capital Costs'!$B$3:$H$15,MATCH("nuclear",'Combined Capital Costs'!$A$3:$A$15,0),MATCH($A8,'Combined Capital Costs'!$B$2:$H$2,0))</f>
        <v>1458599.5983202483</v>
      </c>
      <c r="E8" s="4">
        <f>INDEX('Combined Capital Costs'!$B$3:$H$15,MATCH("hydro",'Combined Capital Costs'!$A$3:$A$15,0),MATCH($A8,'Combined Capital Costs'!$B$2:$H$2,0))</f>
        <v>2083366.6383678985</v>
      </c>
      <c r="F8" s="4">
        <v>0</v>
      </c>
      <c r="G8" s="4">
        <v>0</v>
      </c>
      <c r="H8" s="4">
        <f>INDEX('Combined Capital Costs'!$B$3:$H$15,MATCH("solar thermal",'Combined Capital Costs'!$A$3:$A$15,0),MATCH($A8,'Combined Capital Costs'!$B$2:$H$2,0))</f>
        <v>2490356.0343253608</v>
      </c>
      <c r="I8" s="4">
        <f>INDEX('Combined Capital Costs'!$B$3:$H$15,MATCH("biomass",'Combined Capital Costs'!$A$3:$A$15,0),MATCH($A8,'Combined Capital Costs'!$B$2:$H$2,0))</f>
        <v>821617.67390907416</v>
      </c>
      <c r="J8" s="4">
        <f>INDEX('Combined Capital Costs'!$B$3:$H$15,MATCH("geothermal",'Combined Capital Costs'!$A$3:$A$15,0),MATCH($A8,'Combined Capital Costs'!$B$2:$H$2,0))</f>
        <v>5020996.8961110096</v>
      </c>
      <c r="K8" s="4">
        <f t="shared" si="1"/>
        <v>651000</v>
      </c>
      <c r="L8" s="4">
        <f t="shared" si="1"/>
        <v>651000</v>
      </c>
      <c r="M8" s="4">
        <f>B8*'Coal Cost Multipliers'!$B$33</f>
        <v>1226356.3068786731</v>
      </c>
      <c r="N8" s="4">
        <f>INDEX('Combined Capital Costs'!$B$3:$H$15,MATCH("offshore wind",'Combined Capital Costs'!$A$3:$A$15,0),MATCH($A8,'Combined Capital Costs'!$B$2:$H$2,0))</f>
        <v>2693080.1533686323</v>
      </c>
    </row>
    <row r="9" spans="1:14" x14ac:dyDescent="0.25">
      <c r="A9" s="1">
        <v>2023</v>
      </c>
      <c r="B9" s="4">
        <f>(B$13-B$8)/5+B8</f>
        <v>1069738.9998003873</v>
      </c>
      <c r="C9" s="4">
        <f t="shared" ref="C9:E12" si="7">(C$13-C$8)/5+C8</f>
        <v>732181.32971647684</v>
      </c>
      <c r="D9" s="4">
        <f t="shared" si="7"/>
        <v>1613825.2612529402</v>
      </c>
      <c r="E9" s="4">
        <f t="shared" si="7"/>
        <v>1995977.967165391</v>
      </c>
      <c r="F9" s="4">
        <v>0</v>
      </c>
      <c r="G9" s="4">
        <v>0</v>
      </c>
      <c r="H9" s="4">
        <f>(H$13-H$8)/5+H8</f>
        <v>2524431.5647252146</v>
      </c>
      <c r="I9" s="4">
        <f>(I$13-I$8)/5+I8</f>
        <v>821617.67390907416</v>
      </c>
      <c r="J9" s="4">
        <f>(J$13-J$8)/5+J8</f>
        <v>5020996.8961110096</v>
      </c>
      <c r="K9" s="4">
        <f t="shared" si="1"/>
        <v>651000</v>
      </c>
      <c r="L9" s="4">
        <f t="shared" si="1"/>
        <v>651000</v>
      </c>
      <c r="M9" s="4">
        <f>B9*'Coal Cost Multipliers'!$B$33</f>
        <v>1239765.7558107418</v>
      </c>
      <c r="N9" s="4">
        <f>(N$13-N$8)/5+N8</f>
        <v>2671170.3487310568</v>
      </c>
    </row>
    <row r="10" spans="1:14" x14ac:dyDescent="0.25">
      <c r="A10" s="1">
        <v>2024</v>
      </c>
      <c r="B10" s="4">
        <f t="shared" ref="B10:B12" si="8">(B$13-B$8)/5+B9</f>
        <v>1081309.4197940296</v>
      </c>
      <c r="C10" s="4">
        <f t="shared" si="7"/>
        <v>739213.3336811082</v>
      </c>
      <c r="D10" s="4">
        <f t="shared" si="7"/>
        <v>1769050.924185632</v>
      </c>
      <c r="E10" s="4">
        <f t="shared" si="7"/>
        <v>1908589.2959628834</v>
      </c>
      <c r="F10" s="4">
        <v>0</v>
      </c>
      <c r="G10" s="4">
        <v>0</v>
      </c>
      <c r="H10" s="4">
        <f t="shared" ref="H10:J12" si="9">(H$13-H$8)/5+H9</f>
        <v>2558507.0951250684</v>
      </c>
      <c r="I10" s="4">
        <f t="shared" si="9"/>
        <v>821617.67390907416</v>
      </c>
      <c r="J10" s="4">
        <f t="shared" si="9"/>
        <v>5020996.8961110096</v>
      </c>
      <c r="K10" s="4">
        <f t="shared" si="1"/>
        <v>651000</v>
      </c>
      <c r="L10" s="4">
        <f t="shared" si="1"/>
        <v>651000</v>
      </c>
      <c r="M10" s="4">
        <f>B10*'Coal Cost Multipliers'!$B$33</f>
        <v>1253175.2047428105</v>
      </c>
      <c r="N10" s="4">
        <f t="shared" ref="N10" si="10">(N$13-N$8)/5+N9</f>
        <v>2649260.5440934813</v>
      </c>
    </row>
    <row r="11" spans="1:14" x14ac:dyDescent="0.25">
      <c r="A11" s="1">
        <v>2025</v>
      </c>
      <c r="B11" s="4">
        <f t="shared" si="8"/>
        <v>1092879.8397876718</v>
      </c>
      <c r="C11" s="4">
        <f t="shared" si="7"/>
        <v>746245.33764573955</v>
      </c>
      <c r="D11" s="4">
        <f t="shared" si="7"/>
        <v>1924276.5871183239</v>
      </c>
      <c r="E11" s="4">
        <f t="shared" si="7"/>
        <v>1821200.6247603758</v>
      </c>
      <c r="F11" s="4">
        <v>0</v>
      </c>
      <c r="G11" s="4">
        <v>0</v>
      </c>
      <c r="H11" s="4">
        <f t="shared" si="9"/>
        <v>2592582.6255249223</v>
      </c>
      <c r="I11" s="4">
        <f t="shared" si="9"/>
        <v>821617.67390907416</v>
      </c>
      <c r="J11" s="4">
        <f t="shared" si="9"/>
        <v>5020996.8961110096</v>
      </c>
      <c r="K11" s="4">
        <f t="shared" si="1"/>
        <v>651000</v>
      </c>
      <c r="L11" s="4">
        <f t="shared" si="1"/>
        <v>651000</v>
      </c>
      <c r="M11" s="4">
        <f>B11*'Coal Cost Multipliers'!$B$33</f>
        <v>1266584.6536748793</v>
      </c>
      <c r="N11" s="4">
        <f t="shared" ref="N11" si="11">(N$13-N$8)/5+N10</f>
        <v>2627350.7394559057</v>
      </c>
    </row>
    <row r="12" spans="1:14" x14ac:dyDescent="0.25">
      <c r="A12" s="1">
        <v>2026</v>
      </c>
      <c r="B12" s="4">
        <f t="shared" si="8"/>
        <v>1104450.2597813141</v>
      </c>
      <c r="C12" s="4">
        <f t="shared" si="7"/>
        <v>753277.3416103709</v>
      </c>
      <c r="D12" s="4">
        <f t="shared" si="7"/>
        <v>2079502.2500510158</v>
      </c>
      <c r="E12" s="4">
        <f t="shared" si="7"/>
        <v>1733811.9535578683</v>
      </c>
      <c r="F12" s="4">
        <v>0</v>
      </c>
      <c r="G12" s="4">
        <v>0</v>
      </c>
      <c r="H12" s="4">
        <f t="shared" si="9"/>
        <v>2626658.1559247761</v>
      </c>
      <c r="I12" s="4">
        <f t="shared" si="9"/>
        <v>821617.67390907416</v>
      </c>
      <c r="J12" s="4">
        <f t="shared" si="9"/>
        <v>5020996.8961110096</v>
      </c>
      <c r="K12" s="4">
        <f t="shared" si="1"/>
        <v>651000</v>
      </c>
      <c r="L12" s="4">
        <f t="shared" si="1"/>
        <v>651000</v>
      </c>
      <c r="M12" s="4">
        <f>B12*'Coal Cost Multipliers'!$B$33</f>
        <v>1279994.102606948</v>
      </c>
      <c r="N12" s="4">
        <f t="shared" ref="N12" si="12">(N$13-N$8)/5+N11</f>
        <v>2605440.9348183302</v>
      </c>
    </row>
    <row r="13" spans="1:14" x14ac:dyDescent="0.25">
      <c r="A13" s="1">
        <v>2027</v>
      </c>
      <c r="B13" s="4">
        <f>INDEX('Combined Capital Costs'!$B$3:$H$15,MATCH("hard coal",'Combined Capital Costs'!$A$3:$A$15,0),MATCH($A13,'Combined Capital Costs'!$B$2:$H$2,0))</f>
        <v>1116020.6797749563</v>
      </c>
      <c r="C13" s="4">
        <f>INDEX('Combined Capital Costs'!$B$3:$H$15,MATCH("natural gas nonpeaker",'Combined Capital Costs'!$A$3:$A$15,0),MATCH($A13,'Combined Capital Costs'!$B$2:$H$2,0))</f>
        <v>760309.34557500202</v>
      </c>
      <c r="D13" s="4">
        <f>INDEX('Combined Capital Costs'!$B$3:$H$15,MATCH("nuclear",'Combined Capital Costs'!$A$3:$A$15,0),MATCH($A13,'Combined Capital Costs'!$B$2:$H$2,0))</f>
        <v>2234727.9129837072</v>
      </c>
      <c r="E13" s="4">
        <f>INDEX('Combined Capital Costs'!$B$3:$H$15,MATCH("hydro",'Combined Capital Costs'!$A$3:$A$15,0),MATCH($A13,'Combined Capital Costs'!$B$2:$H$2,0))</f>
        <v>1646423.2823553607</v>
      </c>
      <c r="F13" s="4">
        <v>0</v>
      </c>
      <c r="G13" s="4">
        <v>0</v>
      </c>
      <c r="H13" s="4">
        <f>INDEX('Combined Capital Costs'!$B$3:$H$15,MATCH("solar thermal",'Combined Capital Costs'!$A$3:$A$15,0),MATCH($A13,'Combined Capital Costs'!$B$2:$H$2,0))</f>
        <v>2660733.6863246309</v>
      </c>
      <c r="I13" s="4">
        <f>INDEX('Combined Capital Costs'!$B$3:$H$15,MATCH("biomass",'Combined Capital Costs'!$A$3:$A$15,0),MATCH($A13,'Combined Capital Costs'!$B$2:$H$2,0))</f>
        <v>821617.67390907416</v>
      </c>
      <c r="J13" s="4">
        <f>INDEX('Combined Capital Costs'!$B$3:$H$15,MATCH("geothermal",'Combined Capital Costs'!$A$3:$A$15,0),MATCH($A13,'Combined Capital Costs'!$B$2:$H$2,0))</f>
        <v>5020996.8961110096</v>
      </c>
      <c r="K13" s="4">
        <f t="shared" si="1"/>
        <v>651000</v>
      </c>
      <c r="L13" s="4">
        <f t="shared" si="1"/>
        <v>651000</v>
      </c>
      <c r="M13" s="4">
        <f>B13*'Coal Cost Multipliers'!$B$33</f>
        <v>1293403.5515390169</v>
      </c>
      <c r="N13" s="4">
        <f>INDEX('Combined Capital Costs'!$B$3:$H$15,MATCH("offshore wind",'Combined Capital Costs'!$A$3:$A$15,0),MATCH($A13,'Combined Capital Costs'!$B$2:$H$2,0))</f>
        <v>2583531.1301807556</v>
      </c>
    </row>
    <row r="14" spans="1:14" x14ac:dyDescent="0.25">
      <c r="A14" s="1">
        <v>2028</v>
      </c>
      <c r="B14" s="4">
        <f>(B$18-B$13)/5+B13</f>
        <v>1145170.9349099777</v>
      </c>
      <c r="C14" s="4">
        <f t="shared" ref="C14:E17" si="13">(C$18-C$13)/5+C13</f>
        <v>767341.34953963337</v>
      </c>
      <c r="D14" s="4">
        <f t="shared" si="13"/>
        <v>2068136.5388952731</v>
      </c>
      <c r="E14" s="4">
        <f t="shared" si="13"/>
        <v>1663730.8687701232</v>
      </c>
      <c r="F14" s="4">
        <v>0</v>
      </c>
      <c r="G14" s="4">
        <v>0</v>
      </c>
      <c r="H14" s="4">
        <f>(H$18-H$13)/5+H13</f>
        <v>2700232.4717911272</v>
      </c>
      <c r="I14" s="4">
        <f>(I$18-I$13)/5+I13</f>
        <v>821617.67390907416</v>
      </c>
      <c r="J14" s="4">
        <f>(J$18-J$13)/5+J13</f>
        <v>5020996.8961110096</v>
      </c>
      <c r="K14" s="4">
        <f t="shared" si="1"/>
        <v>651000</v>
      </c>
      <c r="L14" s="4">
        <f t="shared" si="1"/>
        <v>651000</v>
      </c>
      <c r="M14" s="4">
        <f>B14*'Coal Cost Multipliers'!$B$33</f>
        <v>1327187.0146980579</v>
      </c>
      <c r="N14" s="4">
        <f>(N$18-N$13)/5+N13</f>
        <v>2574402.0449150992</v>
      </c>
    </row>
    <row r="15" spans="1:14" x14ac:dyDescent="0.25">
      <c r="A15" s="1">
        <v>2029</v>
      </c>
      <c r="B15" s="4">
        <f t="shared" ref="B15:B17" si="14">(B$18-B$13)/5+B14</f>
        <v>1174321.1900449991</v>
      </c>
      <c r="C15" s="4">
        <f t="shared" si="13"/>
        <v>774373.35350426473</v>
      </c>
      <c r="D15" s="4">
        <f t="shared" si="13"/>
        <v>1901545.1648068391</v>
      </c>
      <c r="E15" s="4">
        <f t="shared" si="13"/>
        <v>1681038.4551848858</v>
      </c>
      <c r="F15" s="4">
        <v>0</v>
      </c>
      <c r="G15" s="4">
        <v>0</v>
      </c>
      <c r="H15" s="4">
        <f t="shared" ref="H15:J17" si="15">(H$18-H$13)/5+H14</f>
        <v>2739731.2572576236</v>
      </c>
      <c r="I15" s="4">
        <f t="shared" si="15"/>
        <v>821617.67390907416</v>
      </c>
      <c r="J15" s="4">
        <f t="shared" si="15"/>
        <v>5020996.8961110096</v>
      </c>
      <c r="K15" s="4">
        <f t="shared" si="1"/>
        <v>651000</v>
      </c>
      <c r="L15" s="4">
        <f t="shared" si="1"/>
        <v>651000</v>
      </c>
      <c r="M15" s="4">
        <f>B15*'Coal Cost Multipliers'!$B$33</f>
        <v>1360970.4778570989</v>
      </c>
      <c r="N15" s="4">
        <f t="shared" ref="N15" si="16">(N$18-N$13)/5+N14</f>
        <v>2565272.9596494427</v>
      </c>
    </row>
    <row r="16" spans="1:14" x14ac:dyDescent="0.25">
      <c r="A16" s="1">
        <v>2030</v>
      </c>
      <c r="B16" s="4">
        <f t="shared" si="14"/>
        <v>1203471.4451800205</v>
      </c>
      <c r="C16" s="4">
        <f t="shared" si="13"/>
        <v>781405.35746889608</v>
      </c>
      <c r="D16" s="4">
        <f t="shared" si="13"/>
        <v>1734953.790718405</v>
      </c>
      <c r="E16" s="4">
        <f t="shared" si="13"/>
        <v>1698346.0415996483</v>
      </c>
      <c r="F16" s="4">
        <v>0</v>
      </c>
      <c r="G16" s="4">
        <v>0</v>
      </c>
      <c r="H16" s="4">
        <f t="shared" si="15"/>
        <v>2779230.04272412</v>
      </c>
      <c r="I16" s="4">
        <f t="shared" si="15"/>
        <v>821617.67390907416</v>
      </c>
      <c r="J16" s="4">
        <f t="shared" si="15"/>
        <v>5020996.8961110096</v>
      </c>
      <c r="K16" s="4">
        <f t="shared" si="1"/>
        <v>651000</v>
      </c>
      <c r="L16" s="4">
        <f t="shared" si="1"/>
        <v>651000</v>
      </c>
      <c r="M16" s="4">
        <f>B16*'Coal Cost Multipliers'!$B$33</f>
        <v>1394753.9410161399</v>
      </c>
      <c r="N16" s="4">
        <f t="shared" ref="N16" si="17">(N$18-N$13)/5+N15</f>
        <v>2556143.8743837862</v>
      </c>
    </row>
    <row r="17" spans="1:14" x14ac:dyDescent="0.25">
      <c r="A17" s="1">
        <v>2031</v>
      </c>
      <c r="B17" s="4">
        <f t="shared" si="14"/>
        <v>1232621.7003150419</v>
      </c>
      <c r="C17" s="4">
        <f t="shared" si="13"/>
        <v>788437.36143352743</v>
      </c>
      <c r="D17" s="4">
        <f t="shared" si="13"/>
        <v>1568362.416629971</v>
      </c>
      <c r="E17" s="4">
        <f t="shared" si="13"/>
        <v>1715653.6280144108</v>
      </c>
      <c r="F17" s="4">
        <v>0</v>
      </c>
      <c r="G17" s="4">
        <v>0</v>
      </c>
      <c r="H17" s="4">
        <f t="shared" si="15"/>
        <v>2818728.8281906163</v>
      </c>
      <c r="I17" s="4">
        <f t="shared" si="15"/>
        <v>821617.67390907416</v>
      </c>
      <c r="J17" s="4">
        <f t="shared" si="15"/>
        <v>5020996.8961110096</v>
      </c>
      <c r="K17" s="4">
        <f t="shared" si="1"/>
        <v>651000</v>
      </c>
      <c r="L17" s="4">
        <f t="shared" si="1"/>
        <v>651000</v>
      </c>
      <c r="M17" s="4">
        <f>B17*'Coal Cost Multipliers'!$B$33</f>
        <v>1428537.4041751809</v>
      </c>
      <c r="N17" s="4">
        <f t="shared" ref="N17" si="18">(N$18-N$13)/5+N16</f>
        <v>2547014.7891181298</v>
      </c>
    </row>
    <row r="18" spans="1:14" x14ac:dyDescent="0.25">
      <c r="A18" s="1">
        <v>2032</v>
      </c>
      <c r="B18" s="4">
        <f>INDEX('Combined Capital Costs'!$B$3:$H$15,MATCH("hard coal",'Combined Capital Costs'!$A$3:$A$15,0),MATCH($A18,'Combined Capital Costs'!$B$2:$H$2,0))</f>
        <v>1261771.9554500636</v>
      </c>
      <c r="C18" s="4">
        <f>INDEX('Combined Capital Costs'!$B$3:$H$15,MATCH("natural gas nonpeaker",'Combined Capital Costs'!$A$3:$A$15,0),MATCH($A18,'Combined Capital Costs'!$B$2:$H$2,0))</f>
        <v>795469.36539815855</v>
      </c>
      <c r="D18" s="4">
        <f>INDEX('Combined Capital Costs'!$B$3:$H$15,MATCH("nuclear",'Combined Capital Costs'!$A$3:$A$15,0),MATCH($A18,'Combined Capital Costs'!$B$2:$H$2,0))</f>
        <v>1401771.0425415372</v>
      </c>
      <c r="E18" s="4">
        <f>INDEX('Combined Capital Costs'!$B$3:$H$15,MATCH("hydro",'Combined Capital Costs'!$A$3:$A$15,0),MATCH($A18,'Combined Capital Costs'!$B$2:$H$2,0))</f>
        <v>1732961.2144291729</v>
      </c>
      <c r="F18" s="4">
        <v>0</v>
      </c>
      <c r="G18" s="4">
        <v>0</v>
      </c>
      <c r="H18" s="4">
        <f>INDEX('Combined Capital Costs'!$B$3:$H$15,MATCH("solar thermal",'Combined Capital Costs'!$A$3:$A$15,0),MATCH($A18,'Combined Capital Costs'!$B$2:$H$2,0))</f>
        <v>2858227.6136571118</v>
      </c>
      <c r="I18" s="4">
        <f>INDEX('Combined Capital Costs'!$B$3:$H$15,MATCH("biomass",'Combined Capital Costs'!$A$3:$A$15,0),MATCH($A18,'Combined Capital Costs'!$B$2:$H$2,0))</f>
        <v>821617.67390907416</v>
      </c>
      <c r="J18" s="4">
        <f>INDEX('Combined Capital Costs'!$B$3:$H$15,MATCH("geothermal",'Combined Capital Costs'!$A$3:$A$15,0),MATCH($A18,'Combined Capital Costs'!$B$2:$H$2,0))</f>
        <v>5020996.8961110096</v>
      </c>
      <c r="K18" s="4">
        <f t="shared" si="1"/>
        <v>651000</v>
      </c>
      <c r="L18" s="4">
        <f t="shared" si="1"/>
        <v>651000</v>
      </c>
      <c r="M18" s="4">
        <f>B18*'Coal Cost Multipliers'!$B$33</f>
        <v>1462320.8673342222</v>
      </c>
      <c r="N18" s="4">
        <f>INDEX('Combined Capital Costs'!$B$3:$H$15,MATCH("offshore wind",'Combined Capital Costs'!$A$3:$A$15,0),MATCH($A18,'Combined Capital Costs'!$B$2:$H$2,0))</f>
        <v>2537885.7038524733</v>
      </c>
    </row>
    <row r="19" spans="1:14" x14ac:dyDescent="0.25">
      <c r="A19" s="1">
        <v>2033</v>
      </c>
      <c r="B19" s="4">
        <f>(B$23-B$18)/5+B18</f>
        <v>1296882.0109249866</v>
      </c>
      <c r="C19" s="4">
        <f t="shared" ref="C19:E22" si="19">(C$23-C$18)/5+C18</f>
        <v>802501.3693627899</v>
      </c>
      <c r="D19" s="4">
        <f t="shared" si="19"/>
        <v>1709990.4580224962</v>
      </c>
      <c r="E19" s="4">
        <f t="shared" si="19"/>
        <v>1741229.5573697826</v>
      </c>
      <c r="F19" s="4">
        <v>0</v>
      </c>
      <c r="G19" s="4">
        <v>0</v>
      </c>
      <c r="H19" s="4">
        <f>(H$23-H$18)/5+H18</f>
        <v>2847173.1812306009</v>
      </c>
      <c r="I19" s="4">
        <f>(I$23-I$18)/5+I18</f>
        <v>821617.67390907416</v>
      </c>
      <c r="J19" s="4">
        <f>(J$23-J$18)/5+J18</f>
        <v>5020996.8961110096</v>
      </c>
      <c r="K19" s="4">
        <f t="shared" si="1"/>
        <v>651000</v>
      </c>
      <c r="L19" s="4">
        <f t="shared" si="1"/>
        <v>651000</v>
      </c>
      <c r="M19" s="4">
        <f>B19*'Coal Cost Multipliers'!$B$33</f>
        <v>1503011.3950896347</v>
      </c>
      <c r="N19" s="4">
        <f>(N$23-N$18)/5+N18</f>
        <v>2532408.2526930794</v>
      </c>
    </row>
    <row r="20" spans="1:14" x14ac:dyDescent="0.25">
      <c r="A20" s="1">
        <v>2034</v>
      </c>
      <c r="B20" s="4">
        <f t="shared" ref="B20:B22" si="20">(B$23-B$18)/5+B19</f>
        <v>1331992.0663999096</v>
      </c>
      <c r="C20" s="4">
        <f t="shared" si="19"/>
        <v>809533.37332742126</v>
      </c>
      <c r="D20" s="4">
        <f t="shared" si="19"/>
        <v>2018209.8735034552</v>
      </c>
      <c r="E20" s="4">
        <f t="shared" si="19"/>
        <v>1749497.9003103923</v>
      </c>
      <c r="F20" s="4">
        <v>0</v>
      </c>
      <c r="G20" s="4">
        <v>0</v>
      </c>
      <c r="H20" s="4">
        <f t="shared" ref="H20:J22" si="21">(H$23-H$18)/5+H19</f>
        <v>2836118.7488040901</v>
      </c>
      <c r="I20" s="4">
        <f t="shared" si="21"/>
        <v>821617.67390907416</v>
      </c>
      <c r="J20" s="4">
        <f t="shared" si="21"/>
        <v>5020996.8961110096</v>
      </c>
      <c r="K20" s="4">
        <f t="shared" si="1"/>
        <v>651000</v>
      </c>
      <c r="L20" s="4">
        <f t="shared" si="1"/>
        <v>651000</v>
      </c>
      <c r="M20" s="4">
        <f>B20*'Coal Cost Multipliers'!$B$33</f>
        <v>1543701.9228450474</v>
      </c>
      <c r="N20" s="4">
        <f t="shared" ref="N20" si="22">(N$23-N$18)/5+N19</f>
        <v>2526930.8015336855</v>
      </c>
    </row>
    <row r="21" spans="1:14" x14ac:dyDescent="0.25">
      <c r="A21" s="1">
        <v>2035</v>
      </c>
      <c r="B21" s="4">
        <f t="shared" si="20"/>
        <v>1367102.1218748325</v>
      </c>
      <c r="C21" s="4">
        <f t="shared" si="19"/>
        <v>816565.37729205261</v>
      </c>
      <c r="D21" s="4">
        <f t="shared" si="19"/>
        <v>2326429.2889844142</v>
      </c>
      <c r="E21" s="4">
        <f t="shared" si="19"/>
        <v>1757766.2432510019</v>
      </c>
      <c r="F21" s="4">
        <v>0</v>
      </c>
      <c r="G21" s="4">
        <v>0</v>
      </c>
      <c r="H21" s="4">
        <f t="shared" si="21"/>
        <v>2825064.3163775792</v>
      </c>
      <c r="I21" s="4">
        <f t="shared" si="21"/>
        <v>821617.67390907416</v>
      </c>
      <c r="J21" s="4">
        <f t="shared" si="21"/>
        <v>5020996.8961110096</v>
      </c>
      <c r="K21" s="4">
        <f t="shared" si="1"/>
        <v>651000</v>
      </c>
      <c r="L21" s="4">
        <f t="shared" si="1"/>
        <v>651000</v>
      </c>
      <c r="M21" s="4">
        <f>B21*'Coal Cost Multipliers'!$B$33</f>
        <v>1584392.4506004599</v>
      </c>
      <c r="N21" s="4">
        <f t="shared" ref="N21" si="23">(N$23-N$18)/5+N20</f>
        <v>2521453.3503742917</v>
      </c>
    </row>
    <row r="22" spans="1:14" x14ac:dyDescent="0.25">
      <c r="A22" s="1">
        <v>2036</v>
      </c>
      <c r="B22" s="4">
        <f t="shared" si="20"/>
        <v>1402212.1773497555</v>
      </c>
      <c r="C22" s="4">
        <f t="shared" si="19"/>
        <v>823597.38125668396</v>
      </c>
      <c r="D22" s="4">
        <f t="shared" si="19"/>
        <v>2634648.7044653734</v>
      </c>
      <c r="E22" s="4">
        <f t="shared" si="19"/>
        <v>1766034.5861916116</v>
      </c>
      <c r="F22" s="4">
        <v>0</v>
      </c>
      <c r="G22" s="4">
        <v>0</v>
      </c>
      <c r="H22" s="4">
        <f t="shared" si="21"/>
        <v>2814009.8839510684</v>
      </c>
      <c r="I22" s="4">
        <f t="shared" si="21"/>
        <v>821617.67390907416</v>
      </c>
      <c r="J22" s="4">
        <f t="shared" si="21"/>
        <v>5020996.8961110096</v>
      </c>
      <c r="K22" s="4">
        <f t="shared" si="1"/>
        <v>651000</v>
      </c>
      <c r="L22" s="4">
        <f t="shared" si="1"/>
        <v>651000</v>
      </c>
      <c r="M22" s="4">
        <f>B22*'Coal Cost Multipliers'!$B$33</f>
        <v>1625082.9783558727</v>
      </c>
      <c r="N22" s="4">
        <f t="shared" ref="N22" si="24">(N$23-N$18)/5+N21</f>
        <v>2515975.8992148978</v>
      </c>
    </row>
    <row r="23" spans="1:14" x14ac:dyDescent="0.25">
      <c r="A23" s="1">
        <v>2037</v>
      </c>
      <c r="B23" s="4">
        <f>INDEX('Combined Capital Costs'!$B$3:$H$15,MATCH("hard coal",'Combined Capital Costs'!$A$3:$A$15,0),MATCH($A23,'Combined Capital Costs'!$B$2:$H$2,0))</f>
        <v>1437322.232824679</v>
      </c>
      <c r="C23" s="4">
        <f>INDEX('Combined Capital Costs'!$B$3:$H$15,MATCH("natural gas nonpeaker",'Combined Capital Costs'!$A$3:$A$15,0),MATCH($A23,'Combined Capital Costs'!$B$2:$H$2,0))</f>
        <v>830629.38522131531</v>
      </c>
      <c r="D23" s="4">
        <f>INDEX('Combined Capital Costs'!$B$3:$H$15,MATCH("nuclear",'Combined Capital Costs'!$A$3:$A$15,0),MATCH($A23,'Combined Capital Costs'!$B$2:$H$2,0))</f>
        <v>2942868.1199463322</v>
      </c>
      <c r="E23" s="4">
        <f>INDEX('Combined Capital Costs'!$B$3:$H$15,MATCH("hydro",'Combined Capital Costs'!$A$3:$A$15,0),MATCH($A23,'Combined Capital Costs'!$B$2:$H$2,0))</f>
        <v>1774302.9291322213</v>
      </c>
      <c r="F23" s="4">
        <v>0</v>
      </c>
      <c r="G23" s="4">
        <v>0</v>
      </c>
      <c r="H23" s="4">
        <f>INDEX('Combined Capital Costs'!$B$3:$H$15,MATCH("solar thermal",'Combined Capital Costs'!$A$3:$A$15,0),MATCH($A23,'Combined Capital Costs'!$B$2:$H$2,0))</f>
        <v>2802955.4515245571</v>
      </c>
      <c r="I23" s="4">
        <f>INDEX('Combined Capital Costs'!$B$3:$H$15,MATCH("biomass",'Combined Capital Costs'!$A$3:$A$15,0),MATCH($A23,'Combined Capital Costs'!$B$2:$H$2,0))</f>
        <v>821617.67390907416</v>
      </c>
      <c r="J23" s="4">
        <f>INDEX('Combined Capital Costs'!$B$3:$H$15,MATCH("geothermal",'Combined Capital Costs'!$A$3:$A$15,0),MATCH($A23,'Combined Capital Costs'!$B$2:$H$2,0))</f>
        <v>5020996.8961110096</v>
      </c>
      <c r="K23" s="4">
        <f t="shared" si="1"/>
        <v>651000</v>
      </c>
      <c r="L23" s="4">
        <f t="shared" si="1"/>
        <v>651000</v>
      </c>
      <c r="M23" s="4">
        <f>B23*'Coal Cost Multipliers'!$B$33</f>
        <v>1665773.5061112856</v>
      </c>
      <c r="N23" s="4">
        <f>INDEX('Combined Capital Costs'!$B$3:$H$15,MATCH("offshore wind",'Combined Capital Costs'!$A$3:$A$15,0),MATCH($A23,'Combined Capital Costs'!$B$2:$H$2,0))</f>
        <v>2510498.4480555048</v>
      </c>
    </row>
    <row r="24" spans="1:14" x14ac:dyDescent="0.25">
      <c r="A24" s="1">
        <v>2038</v>
      </c>
      <c r="B24" s="4">
        <f>(B$28-B$23)/5+B23</f>
        <v>1473208.1031778511</v>
      </c>
      <c r="C24" s="4">
        <f t="shared" ref="C24:E27" si="25">(C$28-C$23)/5+C23</f>
        <v>837661.38918594655</v>
      </c>
      <c r="D24" s="4">
        <f t="shared" si="25"/>
        <v>2830246.8916750224</v>
      </c>
      <c r="E24" s="4">
        <f t="shared" si="25"/>
        <v>1727412.6275404389</v>
      </c>
      <c r="F24" s="4">
        <v>0</v>
      </c>
      <c r="G24" s="4">
        <v>0</v>
      </c>
      <c r="H24" s="4">
        <f>(H$28-H$23)/5+H23</f>
        <v>2794554.082880409</v>
      </c>
      <c r="I24" s="4">
        <f>(I$28-I$23)/5+I23</f>
        <v>821617.67390907416</v>
      </c>
      <c r="J24" s="4">
        <f>(J$28-J$23)/5+J23</f>
        <v>5020996.8961110096</v>
      </c>
      <c r="K24" s="4">
        <f t="shared" si="1"/>
        <v>651000</v>
      </c>
      <c r="L24" s="4">
        <f t="shared" si="1"/>
        <v>651000</v>
      </c>
      <c r="M24" s="4">
        <f>B24*'Coal Cost Multipliers'!$B$33</f>
        <v>1707363.1585308278</v>
      </c>
      <c r="N24" s="4">
        <f>(N$28-N$23)/5+N23</f>
        <v>2506846.8139492422</v>
      </c>
    </row>
    <row r="25" spans="1:14" x14ac:dyDescent="0.25">
      <c r="A25" s="1">
        <v>2039</v>
      </c>
      <c r="B25" s="4">
        <f t="shared" ref="B25:B27" si="26">(B$28-B$23)/5+B24</f>
        <v>1509093.9735310231</v>
      </c>
      <c r="C25" s="4">
        <f t="shared" si="25"/>
        <v>844693.39315057779</v>
      </c>
      <c r="D25" s="4">
        <f t="shared" si="25"/>
        <v>2717625.6634037127</v>
      </c>
      <c r="E25" s="4">
        <f t="shared" si="25"/>
        <v>1680522.3259486565</v>
      </c>
      <c r="F25" s="4">
        <v>0</v>
      </c>
      <c r="G25" s="4">
        <v>0</v>
      </c>
      <c r="H25" s="4">
        <f t="shared" ref="H25:J27" si="27">(H$28-H$23)/5+H24</f>
        <v>2786152.7142362609</v>
      </c>
      <c r="I25" s="4">
        <f t="shared" si="27"/>
        <v>821617.67390907416</v>
      </c>
      <c r="J25" s="4">
        <f t="shared" si="27"/>
        <v>5020996.8961110096</v>
      </c>
      <c r="K25" s="4">
        <f t="shared" si="1"/>
        <v>651000</v>
      </c>
      <c r="L25" s="4">
        <f t="shared" si="1"/>
        <v>651000</v>
      </c>
      <c r="M25" s="4">
        <f>B25*'Coal Cost Multipliers'!$B$33</f>
        <v>1748952.8109503698</v>
      </c>
      <c r="N25" s="4">
        <f t="shared" ref="N25" si="28">(N$28-N$23)/5+N24</f>
        <v>2503195.1798429796</v>
      </c>
    </row>
    <row r="26" spans="1:14" x14ac:dyDescent="0.25">
      <c r="A26" s="1">
        <v>2040</v>
      </c>
      <c r="B26" s="4">
        <f t="shared" si="26"/>
        <v>1544979.8438841952</v>
      </c>
      <c r="C26" s="4">
        <f t="shared" si="25"/>
        <v>851725.39711520902</v>
      </c>
      <c r="D26" s="4">
        <f t="shared" si="25"/>
        <v>2605004.4351324029</v>
      </c>
      <c r="E26" s="4">
        <f t="shared" si="25"/>
        <v>1633632.0243568742</v>
      </c>
      <c r="F26" s="4">
        <v>0</v>
      </c>
      <c r="G26" s="4">
        <v>0</v>
      </c>
      <c r="H26" s="4">
        <f t="shared" si="27"/>
        <v>2777751.3455921127</v>
      </c>
      <c r="I26" s="4">
        <f t="shared" si="27"/>
        <v>821617.67390907416</v>
      </c>
      <c r="J26" s="4">
        <f t="shared" si="27"/>
        <v>5020996.8961110096</v>
      </c>
      <c r="K26" s="4">
        <f t="shared" si="1"/>
        <v>651000</v>
      </c>
      <c r="L26" s="4">
        <f t="shared" si="1"/>
        <v>651000</v>
      </c>
      <c r="M26" s="4">
        <f>B26*'Coal Cost Multipliers'!$B$33</f>
        <v>1790542.4633699118</v>
      </c>
      <c r="N26" s="4">
        <f t="shared" ref="N26" si="29">(N$28-N$23)/5+N25</f>
        <v>2499543.5457367171</v>
      </c>
    </row>
    <row r="27" spans="1:14" x14ac:dyDescent="0.25">
      <c r="A27" s="1">
        <v>2041</v>
      </c>
      <c r="B27" s="4">
        <f t="shared" si="26"/>
        <v>1580865.7142373673</v>
      </c>
      <c r="C27" s="4">
        <f t="shared" si="25"/>
        <v>858757.40107984026</v>
      </c>
      <c r="D27" s="4">
        <f t="shared" si="25"/>
        <v>2492383.2068610932</v>
      </c>
      <c r="E27" s="4">
        <f t="shared" si="25"/>
        <v>1586741.7227650918</v>
      </c>
      <c r="F27" s="4">
        <v>0</v>
      </c>
      <c r="G27" s="4">
        <v>0</v>
      </c>
      <c r="H27" s="4">
        <f t="shared" si="27"/>
        <v>2769349.9769479646</v>
      </c>
      <c r="I27" s="4">
        <f t="shared" si="27"/>
        <v>821617.67390907416</v>
      </c>
      <c r="J27" s="4">
        <f t="shared" si="27"/>
        <v>5020996.8961110096</v>
      </c>
      <c r="K27" s="4">
        <f t="shared" si="1"/>
        <v>651000</v>
      </c>
      <c r="L27" s="4">
        <f t="shared" si="1"/>
        <v>651000</v>
      </c>
      <c r="M27" s="4">
        <f>B27*'Coal Cost Multipliers'!$B$33</f>
        <v>1832132.115789454</v>
      </c>
      <c r="N27" s="4">
        <f t="shared" ref="N27" si="30">(N$28-N$23)/5+N26</f>
        <v>2495891.9116304545</v>
      </c>
    </row>
    <row r="28" spans="1:14" x14ac:dyDescent="0.25">
      <c r="A28" s="1">
        <v>2042</v>
      </c>
      <c r="B28" s="4">
        <f>INDEX('Combined Capital Costs'!$B$3:$H$15,MATCH("hard coal",'Combined Capital Costs'!$A$3:$A$15,0),MATCH($A28,'Combined Capital Costs'!$B$2:$H$2,0))</f>
        <v>1616751.5845905396</v>
      </c>
      <c r="C28" s="4">
        <f>INDEX('Combined Capital Costs'!$B$3:$H$15,MATCH("natural gas nonpeaker",'Combined Capital Costs'!$A$3:$A$15,0),MATCH($A28,'Combined Capital Costs'!$B$2:$H$2,0))</f>
        <v>865789.40504447173</v>
      </c>
      <c r="D28" s="4">
        <f>INDEX('Combined Capital Costs'!$B$3:$H$15,MATCH("nuclear",'Combined Capital Costs'!$A$3:$A$15,0),MATCH($A28,'Combined Capital Costs'!$B$2:$H$2,0))</f>
        <v>2379761.9785897834</v>
      </c>
      <c r="E28" s="4">
        <f>INDEX('Combined Capital Costs'!$B$3:$H$15,MATCH("hydro",'Combined Capital Costs'!$A$3:$A$15,0),MATCH($A28,'Combined Capital Costs'!$B$2:$H$2,0))</f>
        <v>1539851.4211733097</v>
      </c>
      <c r="F28" s="4">
        <v>0</v>
      </c>
      <c r="G28" s="4">
        <v>0</v>
      </c>
      <c r="H28" s="4">
        <f>INDEX('Combined Capital Costs'!$B$3:$H$15,MATCH("solar thermal",'Combined Capital Costs'!$A$3:$A$15,0),MATCH($A28,'Combined Capital Costs'!$B$2:$H$2,0))</f>
        <v>2760948.6083038161</v>
      </c>
      <c r="I28" s="4">
        <f>INDEX('Combined Capital Costs'!$B$3:$H$15,MATCH("biomass",'Combined Capital Costs'!$A$3:$A$15,0),MATCH($A28,'Combined Capital Costs'!$B$2:$H$2,0))</f>
        <v>821617.67390907416</v>
      </c>
      <c r="J28" s="4">
        <f>INDEX('Combined Capital Costs'!$B$3:$H$15,MATCH("geothermal",'Combined Capital Costs'!$A$3:$A$15,0),MATCH($A28,'Combined Capital Costs'!$B$2:$H$2,0))</f>
        <v>5020996.8961110096</v>
      </c>
      <c r="K28" s="4">
        <f t="shared" si="1"/>
        <v>651000</v>
      </c>
      <c r="L28" s="4">
        <f t="shared" si="1"/>
        <v>651000</v>
      </c>
      <c r="M28" s="4">
        <f>B28*'Coal Cost Multipliers'!$B$33</f>
        <v>1873721.7682089962</v>
      </c>
      <c r="N28" s="4">
        <f>INDEX('Combined Capital Costs'!$B$3:$H$15,MATCH("offshore wind",'Combined Capital Costs'!$A$3:$A$15,0),MATCH($A28,'Combined Capital Costs'!$B$2:$H$2,0))</f>
        <v>2492240.2775241924</v>
      </c>
    </row>
    <row r="29" spans="1:14" x14ac:dyDescent="0.25">
      <c r="A29" s="1">
        <v>2043</v>
      </c>
      <c r="B29" s="4">
        <f>(B$33-B$28)/5+B28</f>
        <v>1670723.54195658</v>
      </c>
      <c r="C29" s="4">
        <f t="shared" ref="C29:E32" si="31">(C$33-C$28)/5+C28</f>
        <v>872821.40900910308</v>
      </c>
      <c r="D29" s="4">
        <f t="shared" si="31"/>
        <v>2330048.4198800642</v>
      </c>
      <c r="E29" s="4">
        <f t="shared" si="31"/>
        <v>1539227.0075490791</v>
      </c>
      <c r="F29" s="4">
        <v>0</v>
      </c>
      <c r="G29" s="4">
        <v>0</v>
      </c>
      <c r="H29" s="4">
        <f>(H$33-H$28)/5+H28</f>
        <v>2754899.6228800295</v>
      </c>
      <c r="I29" s="4">
        <f>(I$33-I$28)/5+I28</f>
        <v>821617.67390907416</v>
      </c>
      <c r="J29" s="4">
        <f>(J$33-J$28)/5+J28</f>
        <v>5020996.8961110096</v>
      </c>
      <c r="K29" s="4">
        <f t="shared" si="1"/>
        <v>651000</v>
      </c>
      <c r="L29" s="4">
        <f t="shared" si="1"/>
        <v>651000</v>
      </c>
      <c r="M29" s="4">
        <f>B29*'Coal Cost Multipliers'!$B$33</f>
        <v>1936272.1515538869</v>
      </c>
      <c r="N29" s="4">
        <f>(N$33-N$28)/5+N28</f>
        <v>2490414.4604710611</v>
      </c>
    </row>
    <row r="30" spans="1:14" x14ac:dyDescent="0.25">
      <c r="A30" s="1">
        <v>2044</v>
      </c>
      <c r="B30" s="4">
        <f t="shared" ref="B30:E36" si="32">(B$33-B$28)/5+B29</f>
        <v>1724695.4993226205</v>
      </c>
      <c r="C30" s="4">
        <f t="shared" si="31"/>
        <v>879853.41297373443</v>
      </c>
      <c r="D30" s="4">
        <f t="shared" si="31"/>
        <v>2280334.861170345</v>
      </c>
      <c r="E30" s="4">
        <f t="shared" si="31"/>
        <v>1538602.5939248486</v>
      </c>
      <c r="F30" s="4">
        <v>0</v>
      </c>
      <c r="G30" s="4">
        <v>0</v>
      </c>
      <c r="H30" s="4">
        <f t="shared" ref="H30:J36" si="33">(H$33-H$28)/5+H29</f>
        <v>2748850.6374562429</v>
      </c>
      <c r="I30" s="4">
        <f t="shared" si="33"/>
        <v>821617.67390907416</v>
      </c>
      <c r="J30" s="4">
        <f t="shared" si="33"/>
        <v>5020996.8961110096</v>
      </c>
      <c r="K30" s="4">
        <f t="shared" si="1"/>
        <v>651000</v>
      </c>
      <c r="L30" s="4">
        <f t="shared" si="1"/>
        <v>651000</v>
      </c>
      <c r="M30" s="4">
        <f>B30*'Coal Cost Multipliers'!$B$33</f>
        <v>1998822.5348987777</v>
      </c>
      <c r="N30" s="4">
        <f t="shared" ref="N30" si="34">(N$33-N$28)/5+N29</f>
        <v>2488588.6434179298</v>
      </c>
    </row>
    <row r="31" spans="1:14" x14ac:dyDescent="0.25">
      <c r="A31" s="1">
        <v>2045</v>
      </c>
      <c r="B31" s="4">
        <f t="shared" si="32"/>
        <v>1778667.4566886609</v>
      </c>
      <c r="C31" s="4">
        <f t="shared" si="31"/>
        <v>886885.41693836579</v>
      </c>
      <c r="D31" s="4">
        <f t="shared" si="31"/>
        <v>2230621.3024606258</v>
      </c>
      <c r="E31" s="4">
        <f t="shared" si="31"/>
        <v>1537978.1803006181</v>
      </c>
      <c r="F31" s="4">
        <v>0</v>
      </c>
      <c r="G31" s="4">
        <v>0</v>
      </c>
      <c r="H31" s="4">
        <f t="shared" si="33"/>
        <v>2742801.6520324564</v>
      </c>
      <c r="I31" s="4">
        <f t="shared" si="33"/>
        <v>821617.67390907416</v>
      </c>
      <c r="J31" s="4">
        <f t="shared" si="33"/>
        <v>5020996.8961110096</v>
      </c>
      <c r="K31" s="4">
        <f t="shared" si="1"/>
        <v>651000</v>
      </c>
      <c r="L31" s="4">
        <f t="shared" si="1"/>
        <v>651000</v>
      </c>
      <c r="M31" s="4">
        <f>B31*'Coal Cost Multipliers'!$B$33</f>
        <v>2061372.9182436685</v>
      </c>
      <c r="N31" s="4">
        <f t="shared" ref="N31" si="35">(N$33-N$28)/5+N30</f>
        <v>2486762.8263647985</v>
      </c>
    </row>
    <row r="32" spans="1:14" x14ac:dyDescent="0.25">
      <c r="A32" s="1">
        <v>2046</v>
      </c>
      <c r="B32" s="4">
        <f t="shared" si="32"/>
        <v>1832639.4140547013</v>
      </c>
      <c r="C32" s="4">
        <f t="shared" si="31"/>
        <v>893917.42090299714</v>
      </c>
      <c r="D32" s="4">
        <f t="shared" si="31"/>
        <v>2180907.7437509065</v>
      </c>
      <c r="E32" s="4">
        <f t="shared" si="31"/>
        <v>1537353.7666763875</v>
      </c>
      <c r="F32" s="4">
        <v>0</v>
      </c>
      <c r="G32" s="4">
        <v>0</v>
      </c>
      <c r="H32" s="4">
        <f t="shared" si="33"/>
        <v>2736752.6666086698</v>
      </c>
      <c r="I32" s="4">
        <f t="shared" si="33"/>
        <v>821617.67390907416</v>
      </c>
      <c r="J32" s="4">
        <f t="shared" si="33"/>
        <v>5020996.8961110096</v>
      </c>
      <c r="K32" s="4">
        <f t="shared" si="1"/>
        <v>651000</v>
      </c>
      <c r="L32" s="4">
        <f t="shared" si="1"/>
        <v>651000</v>
      </c>
      <c r="M32" s="4">
        <f>B32*'Coal Cost Multipliers'!$B$33</f>
        <v>2123923.3015885595</v>
      </c>
      <c r="N32" s="4">
        <f t="shared" ref="N32" si="36">(N$33-N$28)/5+N31</f>
        <v>2484937.0093116672</v>
      </c>
    </row>
    <row r="33" spans="1:14" x14ac:dyDescent="0.25">
      <c r="A33" s="1">
        <v>2047</v>
      </c>
      <c r="B33" s="4">
        <f>INDEX('Combined Capital Costs'!$B$3:$H$15,MATCH("hard coal",'Combined Capital Costs'!$A$3:$A$15,0),MATCH($A33,'Combined Capital Costs'!$B$2:$H$2,0))</f>
        <v>1886611.371420742</v>
      </c>
      <c r="C33" s="4">
        <f>INDEX('Combined Capital Costs'!$B$3:$H$15,MATCH("natural gas nonpeaker",'Combined Capital Costs'!$A$3:$A$15,0),MATCH($A33,'Combined Capital Costs'!$B$2:$H$2,0))</f>
        <v>900949.42486762838</v>
      </c>
      <c r="D33" s="4">
        <f>INDEX('Combined Capital Costs'!$B$3:$H$15,MATCH("nuclear",'Combined Capital Costs'!$A$3:$A$15,0),MATCH($A33,'Combined Capital Costs'!$B$2:$H$2,0))</f>
        <v>2131194.1850411883</v>
      </c>
      <c r="E33" s="4">
        <f>INDEX('Combined Capital Costs'!$B$3:$H$15,MATCH("hydro",'Combined Capital Costs'!$A$3:$A$15,0),MATCH($A33,'Combined Capital Costs'!$B$2:$H$2,0))</f>
        <v>1536729.3530521572</v>
      </c>
      <c r="F33" s="4">
        <v>0</v>
      </c>
      <c r="G33" s="4">
        <v>0</v>
      </c>
      <c r="H33" s="4">
        <f>INDEX('Combined Capital Costs'!$B$3:$H$15,MATCH("solar thermal",'Combined Capital Costs'!$A$3:$A$15,0),MATCH($A33,'Combined Capital Costs'!$B$2:$H$2,0))</f>
        <v>2730703.6811848823</v>
      </c>
      <c r="I33" s="4">
        <f>INDEX('Combined Capital Costs'!$B$3:$H$15,MATCH("biomass",'Combined Capital Costs'!$A$3:$A$15,0),MATCH($A33,'Combined Capital Costs'!$B$2:$H$2,0))</f>
        <v>821617.67390907416</v>
      </c>
      <c r="J33" s="4">
        <f>INDEX('Combined Capital Costs'!$B$3:$H$15,MATCH("geothermal",'Combined Capital Costs'!$A$3:$A$15,0),MATCH($A33,'Combined Capital Costs'!$B$2:$H$2,0))</f>
        <v>5020996.8961110096</v>
      </c>
      <c r="K33" s="4">
        <f t="shared" si="1"/>
        <v>651000</v>
      </c>
      <c r="L33" s="4">
        <f t="shared" si="1"/>
        <v>651000</v>
      </c>
      <c r="M33" s="4">
        <f>B33*'Coal Cost Multipliers'!$B$33</f>
        <v>2186473.6849334505</v>
      </c>
      <c r="N33" s="4">
        <f>INDEX('Combined Capital Costs'!$B$3:$H$15,MATCH("offshore wind",'Combined Capital Costs'!$A$3:$A$15,0),MATCH($A33,'Combined Capital Costs'!$B$2:$H$2,0))</f>
        <v>2483111.1922585354</v>
      </c>
    </row>
    <row r="34" spans="1:14" x14ac:dyDescent="0.25">
      <c r="A34" s="1">
        <v>2048</v>
      </c>
      <c r="B34" s="4">
        <f t="shared" si="32"/>
        <v>1940583.3287867825</v>
      </c>
      <c r="C34" s="4">
        <f t="shared" si="32"/>
        <v>907981.42883225973</v>
      </c>
      <c r="D34" s="4">
        <f t="shared" si="32"/>
        <v>2081480.6263314693</v>
      </c>
      <c r="E34" s="4">
        <f t="shared" si="32"/>
        <v>1536104.9394279267</v>
      </c>
      <c r="F34" s="4">
        <v>0</v>
      </c>
      <c r="G34" s="4">
        <v>0</v>
      </c>
      <c r="H34" s="4">
        <f t="shared" si="33"/>
        <v>2724654.6957610957</v>
      </c>
      <c r="I34" s="4">
        <f t="shared" si="33"/>
        <v>821617.67390907416</v>
      </c>
      <c r="J34" s="4">
        <f t="shared" si="33"/>
        <v>5020996.8961110096</v>
      </c>
      <c r="K34" s="4">
        <f t="shared" si="1"/>
        <v>651000</v>
      </c>
      <c r="L34" s="4">
        <f t="shared" si="1"/>
        <v>651000</v>
      </c>
      <c r="M34" s="4">
        <f>B34*'Coal Cost Multipliers'!$B$33</f>
        <v>2249024.0682783411</v>
      </c>
      <c r="N34" s="4">
        <f t="shared" ref="N34" si="37">(N$33-N$28)/5+N33</f>
        <v>2481285.3752054041</v>
      </c>
    </row>
    <row r="35" spans="1:14" x14ac:dyDescent="0.25">
      <c r="A35" s="1">
        <v>2049</v>
      </c>
      <c r="B35" s="4">
        <f t="shared" si="32"/>
        <v>1994555.2861528229</v>
      </c>
      <c r="C35" s="4">
        <f t="shared" si="32"/>
        <v>915013.43279689108</v>
      </c>
      <c r="D35" s="4">
        <f t="shared" si="32"/>
        <v>2031767.0676217503</v>
      </c>
      <c r="E35" s="4">
        <f t="shared" si="32"/>
        <v>1535480.5258036961</v>
      </c>
      <c r="F35" s="4">
        <v>0</v>
      </c>
      <c r="G35" s="4">
        <v>0</v>
      </c>
      <c r="H35" s="4">
        <f t="shared" si="33"/>
        <v>2718605.7103373092</v>
      </c>
      <c r="I35" s="4">
        <f t="shared" si="33"/>
        <v>821617.67390907416</v>
      </c>
      <c r="J35" s="4">
        <f t="shared" si="33"/>
        <v>5020996.8961110096</v>
      </c>
      <c r="K35" s="4">
        <f t="shared" si="1"/>
        <v>651000</v>
      </c>
      <c r="L35" s="4">
        <f t="shared" si="1"/>
        <v>651000</v>
      </c>
      <c r="M35" s="4">
        <f>B35*'Coal Cost Multipliers'!$B$33</f>
        <v>2311574.4516232321</v>
      </c>
      <c r="N35" s="4">
        <f t="shared" ref="N35" si="38">(N$33-N$28)/5+N34</f>
        <v>2479459.5581522728</v>
      </c>
    </row>
    <row r="36" spans="1:14" x14ac:dyDescent="0.25">
      <c r="A36" s="1">
        <v>2050</v>
      </c>
      <c r="B36" s="4">
        <f t="shared" si="32"/>
        <v>2048527.2435188633</v>
      </c>
      <c r="C36" s="4">
        <f t="shared" si="32"/>
        <v>922045.43676152243</v>
      </c>
      <c r="D36" s="4">
        <f t="shared" si="32"/>
        <v>1982053.5089120313</v>
      </c>
      <c r="E36" s="4">
        <f t="shared" si="32"/>
        <v>1534856.1121794656</v>
      </c>
      <c r="F36" s="4">
        <v>0</v>
      </c>
      <c r="G36" s="4">
        <v>0</v>
      </c>
      <c r="H36" s="4">
        <f t="shared" si="33"/>
        <v>2712556.7249135226</v>
      </c>
      <c r="I36" s="4">
        <f t="shared" si="33"/>
        <v>821617.67390907416</v>
      </c>
      <c r="J36" s="4">
        <f t="shared" si="33"/>
        <v>5020996.8961110096</v>
      </c>
      <c r="K36" s="4">
        <f t="shared" si="1"/>
        <v>651000</v>
      </c>
      <c r="L36" s="4">
        <f t="shared" si="1"/>
        <v>651000</v>
      </c>
      <c r="M36" s="4">
        <f>B36*'Coal Cost Multipliers'!$B$33</f>
        <v>2374124.8349681227</v>
      </c>
      <c r="N36" s="4">
        <f t="shared" ref="N36" si="39">(N$33-N$28)/5+N35</f>
        <v>2477633.7410991415</v>
      </c>
    </row>
    <row r="37" spans="1:14" x14ac:dyDescent="0.25">
      <c r="B37" s="12"/>
    </row>
    <row r="38" spans="1:14" x14ac:dyDescent="0.25">
      <c r="B38" s="12"/>
    </row>
    <row r="39" spans="1:14" x14ac:dyDescent="0.25">
      <c r="B39" s="12"/>
    </row>
    <row r="40" spans="1:14" x14ac:dyDescent="0.25">
      <c r="B40" s="12"/>
    </row>
    <row r="41" spans="1:14" x14ac:dyDescent="0.25">
      <c r="B41" s="12"/>
    </row>
    <row r="42" spans="1:14" x14ac:dyDescent="0.25">
      <c r="B42" s="12"/>
    </row>
    <row r="43" spans="1:14" x14ac:dyDescent="0.25">
      <c r="B43" s="12"/>
    </row>
    <row r="44" spans="1:14" x14ac:dyDescent="0.25">
      <c r="B44" s="12"/>
    </row>
    <row r="45" spans="1:14" x14ac:dyDescent="0.25">
      <c r="B45" s="12"/>
    </row>
    <row r="46" spans="1:14" x14ac:dyDescent="0.25">
      <c r="B46" s="12"/>
    </row>
    <row r="47" spans="1:14" x14ac:dyDescent="0.25">
      <c r="B47" s="12"/>
    </row>
    <row r="48" spans="1:14" x14ac:dyDescent="0.25">
      <c r="B48" s="12"/>
    </row>
    <row r="49" spans="2:2" x14ac:dyDescent="0.25">
      <c r="B49" s="1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workbookViewId="0">
      <selection activeCell="I13" sqref="I13"/>
    </sheetView>
  </sheetViews>
  <sheetFormatPr defaultRowHeight="15" x14ac:dyDescent="0.25"/>
  <cols>
    <col min="1" max="1" width="12.5703125" customWidth="1"/>
    <col min="2" max="2" width="11" bestFit="1" customWidth="1"/>
    <col min="3" max="3" width="10" bestFit="1" customWidth="1"/>
  </cols>
  <sheetData>
    <row r="1" spans="1:10" x14ac:dyDescent="0.25">
      <c r="A1" s="1" t="s">
        <v>188</v>
      </c>
    </row>
    <row r="2" spans="1:10" x14ac:dyDescent="0.25">
      <c r="C2" s="1">
        <v>2017</v>
      </c>
      <c r="D2" s="1">
        <v>2022</v>
      </c>
      <c r="E2" s="1">
        <v>2027</v>
      </c>
      <c r="F2" s="1">
        <v>2032</v>
      </c>
      <c r="G2" s="1">
        <v>2037</v>
      </c>
      <c r="H2" s="1">
        <v>2042</v>
      </c>
      <c r="I2" s="1">
        <v>2047</v>
      </c>
    </row>
    <row r="3" spans="1:10" x14ac:dyDescent="0.25">
      <c r="A3" s="1" t="s">
        <v>189</v>
      </c>
      <c r="C3">
        <v>16.405000000000001</v>
      </c>
      <c r="D3">
        <v>15.8355</v>
      </c>
      <c r="E3">
        <v>15.29</v>
      </c>
      <c r="F3">
        <v>14.768000000000001</v>
      </c>
      <c r="G3">
        <v>14.266999999999999</v>
      </c>
      <c r="H3">
        <v>13.788</v>
      </c>
      <c r="I3">
        <v>13.327999999999999</v>
      </c>
      <c r="J3" t="s">
        <v>190</v>
      </c>
    </row>
    <row r="4" spans="1:10" x14ac:dyDescent="0.25">
      <c r="C4">
        <f>C3*10^7</f>
        <v>164050000</v>
      </c>
      <c r="D4" s="20">
        <f t="shared" ref="D4:I4" si="0">D3*10^7</f>
        <v>158355000</v>
      </c>
      <c r="E4" s="20">
        <f t="shared" si="0"/>
        <v>152900000</v>
      </c>
      <c r="F4" s="20">
        <f t="shared" si="0"/>
        <v>147680000</v>
      </c>
      <c r="G4" s="20">
        <f t="shared" si="0"/>
        <v>142670000</v>
      </c>
      <c r="H4" s="20">
        <f t="shared" si="0"/>
        <v>137880000</v>
      </c>
      <c r="I4" s="20">
        <f t="shared" si="0"/>
        <v>133280000</v>
      </c>
      <c r="J4" t="s">
        <v>193</v>
      </c>
    </row>
    <row r="5" spans="1:10" x14ac:dyDescent="0.25">
      <c r="C5">
        <f>C4/'Conversion Factors'!$B$6</f>
        <v>2995252.8756618584</v>
      </c>
      <c r="D5" s="20">
        <f>D4/'Conversion Factors'!$B$6</f>
        <v>2891272.5944860321</v>
      </c>
      <c r="E5" s="20">
        <f>E4/'Conversion Factors'!$B$6</f>
        <v>2791674.2742377212</v>
      </c>
      <c r="F5" s="20">
        <f>F4/'Conversion Factors'!$B$6</f>
        <v>2696366.6240642685</v>
      </c>
      <c r="G5" s="20">
        <f>G4/'Conversion Factors'!$B$6</f>
        <v>2604893.1897023916</v>
      </c>
      <c r="H5" s="20">
        <f>H4/'Conversion Factors'!$B$6</f>
        <v>2517436.5528574036</v>
      </c>
      <c r="I5" s="20">
        <f>I4/'Conversion Factors'!$B$6</f>
        <v>2433448.9684133651</v>
      </c>
      <c r="J5" t="s">
        <v>192</v>
      </c>
    </row>
    <row r="7" spans="1:10" x14ac:dyDescent="0.25">
      <c r="A7" s="1" t="s">
        <v>191</v>
      </c>
    </row>
    <row r="8" spans="1:10" x14ac:dyDescent="0.25">
      <c r="A8" s="20">
        <v>0.06</v>
      </c>
      <c r="B8" t="s">
        <v>205</v>
      </c>
    </row>
    <row r="9" spans="1:10" s="20" customFormat="1" x14ac:dyDescent="0.25">
      <c r="A9" s="85" t="s">
        <v>196</v>
      </c>
    </row>
    <row r="10" spans="1:10" x14ac:dyDescent="0.25">
      <c r="A10" s="1" t="s">
        <v>195</v>
      </c>
      <c r="B10" s="1" t="s">
        <v>194</v>
      </c>
    </row>
    <row r="11" spans="1:10" x14ac:dyDescent="0.25">
      <c r="A11" s="20">
        <v>2017</v>
      </c>
      <c r="B11">
        <f>C5</f>
        <v>2995252.8756618584</v>
      </c>
    </row>
    <row r="12" spans="1:10" x14ac:dyDescent="0.25">
      <c r="A12">
        <f>A11+1</f>
        <v>2018</v>
      </c>
      <c r="B12">
        <f>FORECAST(A12,$C$5:$D$5,$C$2:$D$2)</f>
        <v>2974456.819426693</v>
      </c>
    </row>
    <row r="13" spans="1:10" x14ac:dyDescent="0.25">
      <c r="A13" s="20">
        <f t="shared" ref="A13:A44" si="1">A12+1</f>
        <v>2019</v>
      </c>
      <c r="B13" s="20">
        <f t="shared" ref="B13:B15" si="2">FORECAST(A13,$C$5:$D$5,$C$2:$D$2)</f>
        <v>2953660.7631915286</v>
      </c>
    </row>
    <row r="14" spans="1:10" x14ac:dyDescent="0.25">
      <c r="A14" s="20">
        <f t="shared" si="1"/>
        <v>2020</v>
      </c>
      <c r="B14" s="20">
        <f t="shared" si="2"/>
        <v>2932864.7069563642</v>
      </c>
    </row>
    <row r="15" spans="1:10" x14ac:dyDescent="0.25">
      <c r="A15" s="20">
        <f t="shared" si="1"/>
        <v>2021</v>
      </c>
      <c r="B15" s="20">
        <f t="shared" si="2"/>
        <v>2912068.6507211998</v>
      </c>
    </row>
    <row r="16" spans="1:10" x14ac:dyDescent="0.25">
      <c r="A16" s="20">
        <f t="shared" si="1"/>
        <v>2022</v>
      </c>
      <c r="B16">
        <f>D5</f>
        <v>2891272.5944860321</v>
      </c>
    </row>
    <row r="17" spans="1:2" x14ac:dyDescent="0.25">
      <c r="A17" s="20">
        <f t="shared" si="1"/>
        <v>2023</v>
      </c>
      <c r="B17">
        <f>FORECAST(A17,$D$5:$E$5,$D$2:$E$2)</f>
        <v>2871352.9304363653</v>
      </c>
    </row>
    <row r="18" spans="1:2" x14ac:dyDescent="0.25">
      <c r="A18" s="20">
        <f t="shared" si="1"/>
        <v>2024</v>
      </c>
      <c r="B18" s="20">
        <f t="shared" ref="B18:B20" si="3">FORECAST(A18,$D$5:$E$5,$D$2:$E$2)</f>
        <v>2851433.2663867027</v>
      </c>
    </row>
    <row r="19" spans="1:2" x14ac:dyDescent="0.25">
      <c r="A19" s="20">
        <f t="shared" si="1"/>
        <v>2025</v>
      </c>
      <c r="B19" s="20">
        <f t="shared" si="3"/>
        <v>2831513.6023370475</v>
      </c>
    </row>
    <row r="20" spans="1:2" x14ac:dyDescent="0.25">
      <c r="A20" s="20">
        <f t="shared" si="1"/>
        <v>2026</v>
      </c>
      <c r="B20" s="20">
        <f t="shared" si="3"/>
        <v>2811593.9382873848</v>
      </c>
    </row>
    <row r="21" spans="1:2" x14ac:dyDescent="0.25">
      <c r="A21" s="20">
        <f t="shared" si="1"/>
        <v>2027</v>
      </c>
      <c r="B21">
        <f>E5</f>
        <v>2791674.2742377212</v>
      </c>
    </row>
    <row r="22" spans="1:2" x14ac:dyDescent="0.25">
      <c r="A22" s="20">
        <f t="shared" si="1"/>
        <v>2028</v>
      </c>
      <c r="B22">
        <f>FORECAST(A22,$E$5:$F$5,$E$2:$F$2)</f>
        <v>2772612.7442030236</v>
      </c>
    </row>
    <row r="23" spans="1:2" x14ac:dyDescent="0.25">
      <c r="A23" s="20">
        <f t="shared" si="1"/>
        <v>2029</v>
      </c>
      <c r="B23" s="20">
        <f t="shared" ref="B23:B25" si="4">FORECAST(A23,$E$5:$F$5,$E$2:$F$2)</f>
        <v>2753551.21416834</v>
      </c>
    </row>
    <row r="24" spans="1:2" x14ac:dyDescent="0.25">
      <c r="A24" s="20">
        <f t="shared" si="1"/>
        <v>2030</v>
      </c>
      <c r="B24" s="20">
        <f t="shared" si="4"/>
        <v>2734489.6841336489</v>
      </c>
    </row>
    <row r="25" spans="1:2" x14ac:dyDescent="0.25">
      <c r="A25" s="20">
        <f t="shared" si="1"/>
        <v>2031</v>
      </c>
      <c r="B25" s="20">
        <f t="shared" si="4"/>
        <v>2715428.1540989578</v>
      </c>
    </row>
    <row r="26" spans="1:2" x14ac:dyDescent="0.25">
      <c r="A26" s="20">
        <f t="shared" si="1"/>
        <v>2032</v>
      </c>
      <c r="B26">
        <f>F5</f>
        <v>2696366.6240642685</v>
      </c>
    </row>
    <row r="27" spans="1:2" x14ac:dyDescent="0.25">
      <c r="A27" s="20">
        <f t="shared" si="1"/>
        <v>2033</v>
      </c>
      <c r="B27">
        <f>FORECAST(A27,$F$5:$G$5,$F$2:$G$2)</f>
        <v>2678071.9371918961</v>
      </c>
    </row>
    <row r="28" spans="1:2" x14ac:dyDescent="0.25">
      <c r="A28" s="20">
        <f t="shared" si="1"/>
        <v>2034</v>
      </c>
      <c r="B28" s="20">
        <f t="shared" ref="B28:B30" si="5">FORECAST(A28,$F$5:$G$5,$F$2:$G$2)</f>
        <v>2659777.2503195181</v>
      </c>
    </row>
    <row r="29" spans="1:2" x14ac:dyDescent="0.25">
      <c r="A29" s="20">
        <f t="shared" si="1"/>
        <v>2035</v>
      </c>
      <c r="B29" s="20">
        <f t="shared" si="5"/>
        <v>2641482.5634471402</v>
      </c>
    </row>
    <row r="30" spans="1:2" x14ac:dyDescent="0.25">
      <c r="A30" s="20">
        <f t="shared" si="1"/>
        <v>2036</v>
      </c>
      <c r="B30" s="20">
        <f t="shared" si="5"/>
        <v>2623187.8765747696</v>
      </c>
    </row>
    <row r="31" spans="1:2" x14ac:dyDescent="0.25">
      <c r="A31" s="20">
        <f t="shared" si="1"/>
        <v>2037</v>
      </c>
      <c r="B31">
        <f>G5</f>
        <v>2604893.1897023916</v>
      </c>
    </row>
    <row r="32" spans="1:2" x14ac:dyDescent="0.25">
      <c r="A32" s="20">
        <f t="shared" si="1"/>
        <v>2038</v>
      </c>
      <c r="B32">
        <f>FORECAST(A32,$G$5:$H$5,$G$2:$H$2)</f>
        <v>2587401.8623333946</v>
      </c>
    </row>
    <row r="33" spans="1:2" x14ac:dyDescent="0.25">
      <c r="A33" s="20">
        <f t="shared" si="1"/>
        <v>2039</v>
      </c>
      <c r="B33" s="20">
        <f t="shared" ref="B33:B35" si="6">FORECAST(A33,$G$5:$H$5,$G$2:$H$2)</f>
        <v>2569910.5349643975</v>
      </c>
    </row>
    <row r="34" spans="1:2" x14ac:dyDescent="0.25">
      <c r="A34" s="20">
        <f t="shared" si="1"/>
        <v>2040</v>
      </c>
      <c r="B34" s="20">
        <f t="shared" si="6"/>
        <v>2552419.2075954005</v>
      </c>
    </row>
    <row r="35" spans="1:2" x14ac:dyDescent="0.25">
      <c r="A35" s="20">
        <f t="shared" si="1"/>
        <v>2041</v>
      </c>
      <c r="B35" s="20">
        <f t="shared" si="6"/>
        <v>2534927.8802264035</v>
      </c>
    </row>
    <row r="36" spans="1:2" x14ac:dyDescent="0.25">
      <c r="A36" s="20">
        <f t="shared" si="1"/>
        <v>2042</v>
      </c>
      <c r="B36">
        <f>H5</f>
        <v>2517436.5528574036</v>
      </c>
    </row>
    <row r="37" spans="1:2" x14ac:dyDescent="0.25">
      <c r="A37" s="20">
        <f t="shared" si="1"/>
        <v>2043</v>
      </c>
      <c r="B37">
        <f>FORECAST(A37,$H$5:$I$5,$H$2:$I$2)</f>
        <v>2500639.0359685943</v>
      </c>
    </row>
    <row r="38" spans="1:2" x14ac:dyDescent="0.25">
      <c r="A38" s="20">
        <f t="shared" si="1"/>
        <v>2044</v>
      </c>
      <c r="B38" s="20">
        <f t="shared" ref="B38:B40" si="7">FORECAST(A38,$H$5:$I$5,$H$2:$I$2)</f>
        <v>2483841.5190797895</v>
      </c>
    </row>
    <row r="39" spans="1:2" x14ac:dyDescent="0.25">
      <c r="A39" s="20">
        <f t="shared" si="1"/>
        <v>2045</v>
      </c>
      <c r="B39" s="20">
        <f t="shared" si="7"/>
        <v>2467044.0021909773</v>
      </c>
    </row>
    <row r="40" spans="1:2" x14ac:dyDescent="0.25">
      <c r="A40" s="20">
        <f t="shared" si="1"/>
        <v>2046</v>
      </c>
      <c r="B40" s="20">
        <f t="shared" si="7"/>
        <v>2450246.4853021726</v>
      </c>
    </row>
    <row r="41" spans="1:2" x14ac:dyDescent="0.25">
      <c r="A41" s="20">
        <f t="shared" si="1"/>
        <v>2047</v>
      </c>
      <c r="B41">
        <f>I5</f>
        <v>2433448.9684133651</v>
      </c>
    </row>
    <row r="42" spans="1:2" x14ac:dyDescent="0.25">
      <c r="A42" s="20">
        <f t="shared" si="1"/>
        <v>2048</v>
      </c>
      <c r="B42">
        <f>TREND(B36:B41,A36:A41,A42)</f>
        <v>2416651.4515245557</v>
      </c>
    </row>
    <row r="43" spans="1:2" x14ac:dyDescent="0.25">
      <c r="A43" s="20">
        <f t="shared" si="1"/>
        <v>2049</v>
      </c>
      <c r="B43" s="20">
        <f t="shared" ref="B43:B44" si="8">TREND(B37:B42,A37:A42,A43)</f>
        <v>2399853.9346357509</v>
      </c>
    </row>
    <row r="44" spans="1:2" x14ac:dyDescent="0.25">
      <c r="A44" s="20">
        <f t="shared" si="1"/>
        <v>2050</v>
      </c>
      <c r="B44" s="20">
        <f t="shared" si="8"/>
        <v>2383056.4177469388</v>
      </c>
    </row>
    <row r="45" spans="1:2" x14ac:dyDescent="0.25">
      <c r="A45" s="20"/>
    </row>
    <row r="46" spans="1:2" x14ac:dyDescent="0.25">
      <c r="A46" s="20"/>
    </row>
    <row r="47" spans="1:2" x14ac:dyDescent="0.25">
      <c r="A47" s="20"/>
    </row>
    <row r="48" spans="1:2" x14ac:dyDescent="0.25">
      <c r="A48" s="20"/>
    </row>
    <row r="49" spans="1:1" x14ac:dyDescent="0.25">
      <c r="A49" s="20"/>
    </row>
    <row r="50" spans="1:1" x14ac:dyDescent="0.25">
      <c r="A50" s="20"/>
    </row>
    <row r="51" spans="1:1" x14ac:dyDescent="0.25">
      <c r="A51" s="20"/>
    </row>
    <row r="52" spans="1:1" x14ac:dyDescent="0.25">
      <c r="A52" s="20"/>
    </row>
    <row r="53" spans="1:1" x14ac:dyDescent="0.25">
      <c r="A53" s="20"/>
    </row>
    <row r="54" spans="1:1" x14ac:dyDescent="0.25">
      <c r="A54" s="20"/>
    </row>
    <row r="55" spans="1:1" x14ac:dyDescent="0.25">
      <c r="A55" s="20"/>
    </row>
    <row r="56" spans="1:1" x14ac:dyDescent="0.25">
      <c r="A56" s="20"/>
    </row>
    <row r="57" spans="1:1" x14ac:dyDescent="0.25">
      <c r="A57" s="20"/>
    </row>
    <row r="58" spans="1:1" x14ac:dyDescent="0.25">
      <c r="A58" s="20"/>
    </row>
    <row r="59" spans="1:1" x14ac:dyDescent="0.25">
      <c r="A59" s="20"/>
    </row>
    <row r="60" spans="1:1" x14ac:dyDescent="0.25">
      <c r="A60" s="2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Q48"/>
  <sheetViews>
    <sheetView topLeftCell="H1" workbookViewId="0">
      <selection activeCell="Q35" sqref="Q35"/>
    </sheetView>
  </sheetViews>
  <sheetFormatPr defaultRowHeight="15" x14ac:dyDescent="0.25"/>
  <cols>
    <col min="2" max="2" width="17.28515625" customWidth="1"/>
    <col min="3" max="3" width="31" customWidth="1"/>
    <col min="4" max="5" width="17.28515625" customWidth="1"/>
    <col min="6" max="6" width="23.140625" customWidth="1"/>
    <col min="7" max="7" width="17.28515625" customWidth="1"/>
    <col min="8" max="8" width="22.5703125" customWidth="1"/>
    <col min="9" max="9" width="17.28515625" customWidth="1"/>
    <col min="10" max="10" width="22.42578125" customWidth="1"/>
    <col min="11" max="11" width="20.85546875" customWidth="1"/>
    <col min="12" max="12" width="28.140625" customWidth="1"/>
    <col min="13" max="13" width="19.140625" bestFit="1" customWidth="1"/>
    <col min="14" max="14" width="22.140625" bestFit="1" customWidth="1"/>
    <col min="17" max="17" width="11.7109375" customWidth="1"/>
  </cols>
  <sheetData>
    <row r="1" spans="1:17" ht="60" x14ac:dyDescent="0.25">
      <c r="A1" s="13" t="s">
        <v>30</v>
      </c>
      <c r="B1" s="13" t="s">
        <v>79</v>
      </c>
      <c r="C1" s="13" t="s">
        <v>80</v>
      </c>
      <c r="D1" s="13" t="s">
        <v>81</v>
      </c>
      <c r="E1" s="13" t="s">
        <v>82</v>
      </c>
      <c r="F1" s="13" t="s">
        <v>83</v>
      </c>
      <c r="G1" s="13" t="s">
        <v>84</v>
      </c>
      <c r="H1" s="13" t="s">
        <v>85</v>
      </c>
      <c r="I1" s="13" t="s">
        <v>86</v>
      </c>
      <c r="J1" s="13" t="s">
        <v>87</v>
      </c>
      <c r="K1" s="13" t="s">
        <v>88</v>
      </c>
      <c r="L1" s="13" t="s">
        <v>89</v>
      </c>
      <c r="M1" s="13" t="s">
        <v>90</v>
      </c>
      <c r="N1" s="13" t="s">
        <v>91</v>
      </c>
      <c r="O1" s="84" t="s">
        <v>185</v>
      </c>
      <c r="P1" s="84" t="s">
        <v>186</v>
      </c>
      <c r="Q1" s="84" t="s">
        <v>187</v>
      </c>
    </row>
    <row r="2" spans="1:17" x14ac:dyDescent="0.25">
      <c r="A2" s="1">
        <v>2017</v>
      </c>
      <c r="B2" s="4">
        <f>INDEX('CEA NEP'!$C$18:$M$18,1,MATCH($A2,'CEA NEP'!$C$17:$M$17,0))</f>
        <v>908799.13044747908</v>
      </c>
      <c r="C2" s="4">
        <f>'IESS Annual Cap Costs'!C3</f>
        <v>689989.30592868885</v>
      </c>
      <c r="D2" s="4">
        <f>INDEX('CEA NEP'!$C$24:$M$24,1,MATCH($A2,'CEA NEP'!$C$17:$M$17,0))</f>
        <v>1398152.5083807372</v>
      </c>
      <c r="E2" s="4">
        <f>INDEX('CEA NEP'!$C$19:$M$19,1,MATCH($A2,'CEA NEP'!$C$17:$M$17,0))</f>
        <v>1398152.5083807372</v>
      </c>
      <c r="F2" s="19">
        <f>'CEA NEP'!C21</f>
        <v>838891.50502844236</v>
      </c>
      <c r="G2" s="19">
        <f>'CEA NEP'!C20</f>
        <v>768983.87960940553</v>
      </c>
      <c r="H2" s="4">
        <f>'Solar Thermal'!F2</f>
        <v>1744894.3304591603</v>
      </c>
      <c r="I2" s="4">
        <f>INDEX('CEA NEP'!$C$22:$M$22,1,MATCH($A2,'CEA NEP'!$C$17:$M$17,0))</f>
        <v>796946.92977702012</v>
      </c>
      <c r="J2" s="4">
        <f>'IESS Annual Cap Costs'!J3</f>
        <v>5020996.8961110096</v>
      </c>
      <c r="K2" s="4">
        <f>L2</f>
        <v>651000</v>
      </c>
      <c r="L2" s="4">
        <f>Lazard!B28*10^3</f>
        <v>651000</v>
      </c>
      <c r="M2" s="4">
        <f>B2*'Coal Cost Multipliers'!$B$33</f>
        <v>1053245.7366232371</v>
      </c>
      <c r="N2" s="19">
        <f>'IESS Annual Cap Costs'!N3</f>
        <v>2875661.8586817603</v>
      </c>
      <c r="O2" s="4">
        <f>K2</f>
        <v>651000</v>
      </c>
      <c r="P2" s="4">
        <f>K2</f>
        <v>651000</v>
      </c>
      <c r="Q2" s="4">
        <f>'Waste to Energy'!B11</f>
        <v>2995252.8756618584</v>
      </c>
    </row>
    <row r="3" spans="1:17" x14ac:dyDescent="0.25">
      <c r="A3" s="1">
        <v>2018</v>
      </c>
      <c r="B3" s="4">
        <f>INDEX('CEA NEP'!$C$18:$M$18,1,MATCH($A3,'CEA NEP'!$C$17:$M$17,0))</f>
        <v>945151.09566537838</v>
      </c>
      <c r="C3" s="4">
        <f>'IESS Annual Cap Costs'!C4</f>
        <v>697021.3098933202</v>
      </c>
      <c r="D3" s="4">
        <f>INDEX('CEA NEP'!$C$24:$M$24,1,MATCH($A3,'CEA NEP'!$C$17:$M$17,0))</f>
        <v>1454078.6087159668</v>
      </c>
      <c r="E3" s="4">
        <f>INDEX('CEA NEP'!$C$19:$M$19,1,MATCH($A3,'CEA NEP'!$C$17:$M$17,0))</f>
        <v>1454078.6087159668</v>
      </c>
      <c r="F3" s="4">
        <v>0</v>
      </c>
      <c r="G3" s="4">
        <v>0</v>
      </c>
      <c r="H3" s="4">
        <f>H2*'IESS Annual Cap Costs'!H4/'IESS Annual Cap Costs'!H3</f>
        <v>1764390.4651612157</v>
      </c>
      <c r="I3" s="4">
        <f>INDEX('CEA NEP'!$C$22:$M$22,1,MATCH($A3,'CEA NEP'!$C$17:$M$17,0))</f>
        <v>796946.92977702012</v>
      </c>
      <c r="J3" s="4">
        <f>'IESS Annual Cap Costs'!J4</f>
        <v>5020996.8961110096</v>
      </c>
      <c r="K3" s="4">
        <f t="shared" ref="K3:K35" si="0">L3</f>
        <v>651000</v>
      </c>
      <c r="L3" s="4">
        <f>L$2</f>
        <v>651000</v>
      </c>
      <c r="M3" s="4">
        <f>B3*'Coal Cost Multipliers'!$B$33</f>
        <v>1095375.5660881668</v>
      </c>
      <c r="N3" s="4">
        <v>0</v>
      </c>
      <c r="O3" s="4">
        <f t="shared" ref="O3:O35" si="1">K3</f>
        <v>651000</v>
      </c>
      <c r="P3" s="4">
        <f t="shared" ref="P3:P35" si="2">K3</f>
        <v>651000</v>
      </c>
      <c r="Q3" s="4">
        <f>'Waste to Energy'!B12</f>
        <v>2974456.819426693</v>
      </c>
    </row>
    <row r="4" spans="1:17" x14ac:dyDescent="0.25">
      <c r="A4" s="1">
        <v>2019</v>
      </c>
      <c r="B4" s="4">
        <f>INDEX('CEA NEP'!$C$18:$M$18,1,MATCH($A4,'CEA NEP'!$C$17:$M$17,0))</f>
        <v>982901.21339165827</v>
      </c>
      <c r="C4" s="4">
        <f>'IESS Annual Cap Costs'!C5</f>
        <v>704053.31385795155</v>
      </c>
      <c r="D4" s="4">
        <f>INDEX('CEA NEP'!$C$24:$M$24,1,MATCH($A4,'CEA NEP'!$C$17:$M$17,0))</f>
        <v>1510004.7090511965</v>
      </c>
      <c r="E4" s="4">
        <f>INDEX('CEA NEP'!$C$19:$M$19,1,MATCH($A4,'CEA NEP'!$C$17:$M$17,0))</f>
        <v>1510004.7090511965</v>
      </c>
      <c r="F4" s="4">
        <v>0</v>
      </c>
      <c r="G4" s="4">
        <v>0</v>
      </c>
      <c r="H4" s="4">
        <f>H3*'IESS Annual Cap Costs'!H5/'IESS Annual Cap Costs'!H4</f>
        <v>1783886.599863271</v>
      </c>
      <c r="I4" s="4">
        <f>INDEX('CEA NEP'!$C$22:$M$22,1,MATCH($A4,'CEA NEP'!$C$17:$M$17,0))</f>
        <v>796946.92977702012</v>
      </c>
      <c r="J4" s="4">
        <f>'IESS Annual Cap Costs'!J5</f>
        <v>5020996.8961110096</v>
      </c>
      <c r="K4" s="4">
        <f t="shared" si="0"/>
        <v>651000</v>
      </c>
      <c r="L4" s="4">
        <f t="shared" ref="L4:L35" si="3">L$2</f>
        <v>651000</v>
      </c>
      <c r="M4" s="4">
        <f>B4*'Coal Cost Multipliers'!$B$33</f>
        <v>1139125.7736094396</v>
      </c>
      <c r="N4" s="4">
        <v>0</v>
      </c>
      <c r="O4" s="4">
        <f t="shared" si="1"/>
        <v>651000</v>
      </c>
      <c r="P4" s="4">
        <f t="shared" si="2"/>
        <v>651000</v>
      </c>
      <c r="Q4" s="4">
        <f>'Waste to Energy'!B13</f>
        <v>2953660.7631915286</v>
      </c>
    </row>
    <row r="5" spans="1:17" x14ac:dyDescent="0.25">
      <c r="A5" s="1">
        <v>2020</v>
      </c>
      <c r="B5" s="4">
        <f>INDEX('CEA NEP'!$C$18:$M$18,1,MATCH($A5,'CEA NEP'!$C$17:$M$17,0))</f>
        <v>1022049.483626319</v>
      </c>
      <c r="C5" s="4">
        <f>'IESS Annual Cap Costs'!C6</f>
        <v>711085.3178225829</v>
      </c>
      <c r="D5" s="4">
        <f>INDEX('CEA NEP'!$C$24:$M$24,1,MATCH($A5,'CEA NEP'!$C$17:$M$17,0))</f>
        <v>1565930.8093864257</v>
      </c>
      <c r="E5" s="4">
        <f>INDEX('CEA NEP'!$C$19:$M$19,1,MATCH($A5,'CEA NEP'!$C$17:$M$17,0))</f>
        <v>1565930.8093864257</v>
      </c>
      <c r="F5" s="4">
        <v>0</v>
      </c>
      <c r="G5" s="4">
        <v>0</v>
      </c>
      <c r="H5" s="4">
        <f>H4*'IESS Annual Cap Costs'!H6/'IESS Annual Cap Costs'!H5</f>
        <v>1803382.7345653265</v>
      </c>
      <c r="I5" s="4">
        <f>INDEX('CEA NEP'!$C$22:$M$22,1,MATCH($A5,'CEA NEP'!$C$17:$M$17,0))</f>
        <v>796946.92977702012</v>
      </c>
      <c r="J5" s="4">
        <f>'IESS Annual Cap Costs'!J6</f>
        <v>5020996.8961110096</v>
      </c>
      <c r="K5" s="4">
        <f t="shared" si="0"/>
        <v>651000</v>
      </c>
      <c r="L5" s="4">
        <f t="shared" si="3"/>
        <v>651000</v>
      </c>
      <c r="M5" s="4">
        <f>B5*'Coal Cost Multipliers'!$B$33</f>
        <v>1184496.3591870561</v>
      </c>
      <c r="N5" s="4">
        <v>0</v>
      </c>
      <c r="O5" s="4">
        <f t="shared" si="1"/>
        <v>651000</v>
      </c>
      <c r="P5" s="4">
        <f t="shared" si="2"/>
        <v>651000</v>
      </c>
      <c r="Q5" s="4">
        <f>'Waste to Energy'!B14</f>
        <v>2932864.7069563642</v>
      </c>
    </row>
    <row r="6" spans="1:17" x14ac:dyDescent="0.25">
      <c r="A6" s="1">
        <v>2021</v>
      </c>
      <c r="B6" s="4">
        <f>INDEX('CEA NEP'!$C$18:$M$18,1,MATCH($A6,'CEA NEP'!$C$17:$M$17,0))</f>
        <v>1062595.9063693604</v>
      </c>
      <c r="C6" s="4">
        <f>'IESS Annual Cap Costs'!C7</f>
        <v>718117.32178721426</v>
      </c>
      <c r="D6" s="4">
        <f>INDEX('CEA NEP'!$C$24:$M$24,1,MATCH($A6,'CEA NEP'!$C$17:$M$17,0))</f>
        <v>1635838.4348054626</v>
      </c>
      <c r="E6" s="4">
        <f>INDEX('CEA NEP'!$C$19:$M$19,1,MATCH($A6,'CEA NEP'!$C$17:$M$17,0))</f>
        <v>1635838.4348054626</v>
      </c>
      <c r="F6" s="4">
        <v>0</v>
      </c>
      <c r="G6" s="4">
        <v>0</v>
      </c>
      <c r="H6" s="4">
        <f>H5*'IESS Annual Cap Costs'!H7/'IESS Annual Cap Costs'!H6</f>
        <v>1822878.8692673817</v>
      </c>
      <c r="I6" s="4">
        <f>INDEX('CEA NEP'!$C$22:$M$22,1,MATCH($A6,'CEA NEP'!$C$17:$M$17,0))</f>
        <v>796946.92977702012</v>
      </c>
      <c r="J6" s="4">
        <f>'IESS Annual Cap Costs'!J7</f>
        <v>5020996.8961110096</v>
      </c>
      <c r="K6" s="4">
        <f t="shared" si="0"/>
        <v>651000</v>
      </c>
      <c r="L6" s="4">
        <f t="shared" si="3"/>
        <v>651000</v>
      </c>
      <c r="M6" s="4">
        <f>B6*'Coal Cost Multipliers'!$B$33</f>
        <v>1231487.322821016</v>
      </c>
      <c r="N6" s="4">
        <v>0</v>
      </c>
      <c r="O6" s="4">
        <f t="shared" si="1"/>
        <v>651000</v>
      </c>
      <c r="P6" s="4">
        <f t="shared" si="2"/>
        <v>651000</v>
      </c>
      <c r="Q6" s="4">
        <f>'Waste to Energy'!B15</f>
        <v>2912068.6507211998</v>
      </c>
    </row>
    <row r="7" spans="1:17" x14ac:dyDescent="0.25">
      <c r="A7" s="1">
        <v>2022</v>
      </c>
      <c r="B7" s="4">
        <f>INDEX('CEA NEP'!$C$18:$M$18,1,MATCH($A7,'CEA NEP'!$C$17:$M$17,0))</f>
        <v>1104540.4816207823</v>
      </c>
      <c r="C7" s="4">
        <f>'IESS Annual Cap Costs'!C8</f>
        <v>725149.32575184549</v>
      </c>
      <c r="D7" s="4">
        <f>INDEX('CEA NEP'!$C$24:$M$24,1,MATCH($A7,'CEA NEP'!$C$17:$M$17,0))</f>
        <v>1705746.0602244993</v>
      </c>
      <c r="E7" s="4">
        <f>INDEX('CEA NEP'!$C$19:$M$19,1,MATCH($A7,'CEA NEP'!$C$17:$M$17,0))</f>
        <v>1705746.0602244993</v>
      </c>
      <c r="F7" s="4">
        <v>0</v>
      </c>
      <c r="G7" s="4">
        <v>0</v>
      </c>
      <c r="H7" s="4">
        <f>H6*'IESS Annual Cap Costs'!H8/'IESS Annual Cap Costs'!H7</f>
        <v>1842375.0039694379</v>
      </c>
      <c r="I7" s="4">
        <f>INDEX('CEA NEP'!$C$22:$M$22,1,MATCH($A7,'CEA NEP'!$C$17:$M$17,0))</f>
        <v>796946.92977702012</v>
      </c>
      <c r="J7" s="4">
        <f>'IESS Annual Cap Costs'!J8</f>
        <v>5020996.8961110096</v>
      </c>
      <c r="K7" s="4">
        <f t="shared" si="0"/>
        <v>651000</v>
      </c>
      <c r="L7" s="4">
        <f t="shared" si="3"/>
        <v>651000</v>
      </c>
      <c r="M7" s="4">
        <f>B7*'Coal Cost Multipliers'!$B$33</f>
        <v>1280098.664511319</v>
      </c>
      <c r="N7" s="4">
        <v>0</v>
      </c>
      <c r="O7" s="4">
        <f t="shared" si="1"/>
        <v>651000</v>
      </c>
      <c r="P7" s="4">
        <f t="shared" si="2"/>
        <v>651000</v>
      </c>
      <c r="Q7" s="4">
        <f>'Waste to Energy'!B16</f>
        <v>2891272.5944860321</v>
      </c>
    </row>
    <row r="8" spans="1:17" x14ac:dyDescent="0.25">
      <c r="A8" s="1">
        <v>2023</v>
      </c>
      <c r="B8" s="4">
        <f>INDEX('CEA NEP'!$C$18:$M$18,1,MATCH($A8,'CEA NEP'!$C$17:$M$17,0))</f>
        <v>1146485.0568722044</v>
      </c>
      <c r="C8" s="4">
        <f>'IESS Annual Cap Costs'!C9</f>
        <v>732181.32971647684</v>
      </c>
      <c r="D8" s="4">
        <f>INDEX('CEA NEP'!$C$24:$M$24,1,MATCH($A8,'CEA NEP'!$C$17:$M$17,0))</f>
        <v>1775653.6856435363</v>
      </c>
      <c r="E8" s="4">
        <f>INDEX('CEA NEP'!$C$19:$M$19,1,MATCH($A8,'CEA NEP'!$C$17:$M$17,0))</f>
        <v>1775653.6856435363</v>
      </c>
      <c r="F8" s="4">
        <v>0</v>
      </c>
      <c r="G8" s="4">
        <v>0</v>
      </c>
      <c r="H8" s="4">
        <f>H7*'IESS Annual Cap Costs'!H9/'IESS Annual Cap Costs'!H8</f>
        <v>1867584.2128497651</v>
      </c>
      <c r="I8" s="4">
        <f>INDEX('CEA NEP'!$C$22:$M$22,1,MATCH($A8,'CEA NEP'!$C$17:$M$17,0))</f>
        <v>796946.92977702012</v>
      </c>
      <c r="J8" s="4">
        <f>'IESS Annual Cap Costs'!J9</f>
        <v>5020996.8961110096</v>
      </c>
      <c r="K8" s="4">
        <f t="shared" si="0"/>
        <v>651000</v>
      </c>
      <c r="L8" s="4">
        <f t="shared" si="3"/>
        <v>651000</v>
      </c>
      <c r="M8" s="4">
        <f>B8*'Coal Cost Multipliers'!$B$33</f>
        <v>1328710.0062016223</v>
      </c>
      <c r="N8" s="4">
        <v>0</v>
      </c>
      <c r="O8" s="4">
        <f t="shared" si="1"/>
        <v>651000</v>
      </c>
      <c r="P8" s="4">
        <f t="shared" si="2"/>
        <v>651000</v>
      </c>
      <c r="Q8" s="4">
        <f>'Waste to Energy'!B17</f>
        <v>2871352.9304363653</v>
      </c>
    </row>
    <row r="9" spans="1:17" x14ac:dyDescent="0.25">
      <c r="A9" s="1">
        <v>2024</v>
      </c>
      <c r="B9" s="4">
        <f>INDEX('CEA NEP'!$C$18:$M$18,1,MATCH($A9,'CEA NEP'!$C$17:$M$17,0))</f>
        <v>1188429.6321236268</v>
      </c>
      <c r="C9" s="4">
        <f>'IESS Annual Cap Costs'!C10</f>
        <v>739213.3336811082</v>
      </c>
      <c r="D9" s="4">
        <f>INDEX('CEA NEP'!$C$24:$M$24,1,MATCH($A9,'CEA NEP'!$C$17:$M$17,0))</f>
        <v>1845561.3110625728</v>
      </c>
      <c r="E9" s="4">
        <f>INDEX('CEA NEP'!$C$19:$M$19,1,MATCH($A9,'CEA NEP'!$C$17:$M$17,0))</f>
        <v>1845561.3110625728</v>
      </c>
      <c r="F9" s="4">
        <v>0</v>
      </c>
      <c r="G9" s="4">
        <v>0</v>
      </c>
      <c r="H9" s="4">
        <f>H8*'IESS Annual Cap Costs'!H10/'IESS Annual Cap Costs'!H9</f>
        <v>1892793.4217300925</v>
      </c>
      <c r="I9" s="4">
        <f>INDEX('CEA NEP'!$C$22:$M$22,1,MATCH($A9,'CEA NEP'!$C$17:$M$17,0))</f>
        <v>796946.92977702012</v>
      </c>
      <c r="J9" s="4">
        <f>'IESS Annual Cap Costs'!J10</f>
        <v>5020996.8961110096</v>
      </c>
      <c r="K9" s="4">
        <f t="shared" si="0"/>
        <v>651000</v>
      </c>
      <c r="L9" s="4">
        <f t="shared" si="3"/>
        <v>651000</v>
      </c>
      <c r="M9" s="4">
        <f>B9*'Coal Cost Multipliers'!$B$33</f>
        <v>1377321.3478919258</v>
      </c>
      <c r="N9" s="4">
        <v>0</v>
      </c>
      <c r="O9" s="4">
        <f t="shared" si="1"/>
        <v>651000</v>
      </c>
      <c r="P9" s="4">
        <f t="shared" si="2"/>
        <v>651000</v>
      </c>
      <c r="Q9" s="4">
        <f>'Waste to Energy'!B18</f>
        <v>2851433.2663867027</v>
      </c>
    </row>
    <row r="10" spans="1:17" x14ac:dyDescent="0.25">
      <c r="A10" s="1">
        <v>2025</v>
      </c>
      <c r="B10" s="4">
        <f>INDEX('CEA NEP'!$C$18:$M$18,1,MATCH($A10,'CEA NEP'!$C$17:$M$17,0))</f>
        <v>1244355.7324588562</v>
      </c>
      <c r="C10" s="4">
        <f>'IESS Annual Cap Costs'!C11</f>
        <v>746245.33764573955</v>
      </c>
      <c r="D10" s="4">
        <f>INDEX('CEA NEP'!$C$24:$M$24,1,MATCH($A10,'CEA NEP'!$C$17:$M$17,0))</f>
        <v>1915468.9364816097</v>
      </c>
      <c r="E10" s="4">
        <f>INDEX('CEA NEP'!$C$19:$M$19,1,MATCH($A10,'CEA NEP'!$C$17:$M$17,0))</f>
        <v>1915468.9364816097</v>
      </c>
      <c r="F10" s="4">
        <v>0</v>
      </c>
      <c r="G10" s="4">
        <v>0</v>
      </c>
      <c r="H10" s="4">
        <f>H9*'IESS Annual Cap Costs'!H11/'IESS Annual Cap Costs'!H10</f>
        <v>1918002.6306104197</v>
      </c>
      <c r="I10" s="4">
        <f>INDEX('CEA NEP'!$C$22:$M$22,1,MATCH($A10,'CEA NEP'!$C$17:$M$17,0))</f>
        <v>796946.92977702012</v>
      </c>
      <c r="J10" s="4">
        <f>'IESS Annual Cap Costs'!J11</f>
        <v>5020996.8961110096</v>
      </c>
      <c r="K10" s="4">
        <f t="shared" si="0"/>
        <v>651000</v>
      </c>
      <c r="L10" s="4">
        <f t="shared" si="3"/>
        <v>651000</v>
      </c>
      <c r="M10" s="4">
        <f>B10*'Coal Cost Multipliers'!$B$33</f>
        <v>1442136.4701456635</v>
      </c>
      <c r="N10" s="4">
        <v>0</v>
      </c>
      <c r="O10" s="4">
        <f t="shared" si="1"/>
        <v>651000</v>
      </c>
      <c r="P10" s="4">
        <f t="shared" si="2"/>
        <v>651000</v>
      </c>
      <c r="Q10" s="4">
        <f>'Waste to Energy'!B19</f>
        <v>2831513.6023370475</v>
      </c>
    </row>
    <row r="11" spans="1:17" x14ac:dyDescent="0.25">
      <c r="A11" s="1">
        <v>2026</v>
      </c>
      <c r="B11" s="4">
        <f>INDEX('CEA NEP'!$C$18:$M$18,1,MATCH($A11,'CEA NEP'!$C$17:$M$17,0))</f>
        <v>1293291.0702521817</v>
      </c>
      <c r="C11" s="4">
        <f>'IESS Annual Cap Costs'!C12</f>
        <v>753277.3416103709</v>
      </c>
      <c r="D11" s="4">
        <f>INDEX('CEA NEP'!$C$24:$M$24,1,MATCH($A11,'CEA NEP'!$C$17:$M$17,0))</f>
        <v>1985376.5619006469</v>
      </c>
      <c r="E11" s="4">
        <f>INDEX('CEA NEP'!$C$19:$M$19,1,MATCH($A11,'CEA NEP'!$C$17:$M$17,0))</f>
        <v>1985376.5619006469</v>
      </c>
      <c r="F11" s="4">
        <v>0</v>
      </c>
      <c r="G11" s="4">
        <v>0</v>
      </c>
      <c r="H11" s="4">
        <f>H10*'IESS Annual Cap Costs'!H12/'IESS Annual Cap Costs'!H11</f>
        <v>1943211.8394907468</v>
      </c>
      <c r="I11" s="4">
        <f>INDEX('CEA NEP'!$C$22:$M$22,1,MATCH($A11,'CEA NEP'!$C$17:$M$17,0))</f>
        <v>796946.92977702012</v>
      </c>
      <c r="J11" s="4">
        <f>'IESS Annual Cap Costs'!J12</f>
        <v>5020996.8961110096</v>
      </c>
      <c r="K11" s="4">
        <f t="shared" si="0"/>
        <v>651000</v>
      </c>
      <c r="L11" s="4">
        <f t="shared" si="3"/>
        <v>651000</v>
      </c>
      <c r="M11" s="4">
        <f>B11*'Coal Cost Multipliers'!$B$33</f>
        <v>1498849.7021176836</v>
      </c>
      <c r="N11" s="4">
        <v>0</v>
      </c>
      <c r="O11" s="4">
        <f t="shared" si="1"/>
        <v>651000</v>
      </c>
      <c r="P11" s="4">
        <f t="shared" si="2"/>
        <v>651000</v>
      </c>
      <c r="Q11" s="4">
        <f>'Waste to Energy'!B20</f>
        <v>2811593.9382873848</v>
      </c>
    </row>
    <row r="12" spans="1:17" x14ac:dyDescent="0.25">
      <c r="A12" s="1">
        <v>2027</v>
      </c>
      <c r="B12" s="4">
        <f>B11*'IESS Annual Cap Costs'!B13/'IESS Annual Cap Costs'!B12</f>
        <v>1306839.8206140203</v>
      </c>
      <c r="C12" s="4">
        <f>'IESS Annual Cap Costs'!C13</f>
        <v>760309.34557500202</v>
      </c>
      <c r="D12" s="4">
        <f>D11*'IESS Annual Cap Costs'!D13/'IESS Annual Cap Costs'!D12</f>
        <v>2133576.1577339745</v>
      </c>
      <c r="E12" s="4">
        <f>E11*'IESS Annual Cap Costs'!E13/'IESS Annual Cap Costs'!E12</f>
        <v>1885308.374445213</v>
      </c>
      <c r="F12" s="4">
        <v>0</v>
      </c>
      <c r="G12" s="4">
        <v>0</v>
      </c>
      <c r="H12" s="4">
        <f>H11*'IESS Annual Cap Costs'!H13/'IESS Annual Cap Costs'!H12</f>
        <v>1968421.0483710747</v>
      </c>
      <c r="I12" s="4">
        <f>I11*'IESS Annual Cap Costs'!I13/'IESS Annual Cap Costs'!I12</f>
        <v>796946.92977702012</v>
      </c>
      <c r="J12" s="4">
        <f>'IESS Annual Cap Costs'!J13</f>
        <v>5020996.8961110096</v>
      </c>
      <c r="K12" s="4">
        <f t="shared" si="0"/>
        <v>651000</v>
      </c>
      <c r="L12" s="4">
        <f t="shared" si="3"/>
        <v>651000</v>
      </c>
      <c r="M12" s="4">
        <f>B12*'Coal Cost Multipliers'!$B$33</f>
        <v>1514551.9217579605</v>
      </c>
      <c r="N12" s="4">
        <v>0</v>
      </c>
      <c r="O12" s="4">
        <f t="shared" si="1"/>
        <v>651000</v>
      </c>
      <c r="P12" s="4">
        <f t="shared" si="2"/>
        <v>651000</v>
      </c>
      <c r="Q12" s="4">
        <f>'Waste to Energy'!B21</f>
        <v>2791674.2742377212</v>
      </c>
    </row>
    <row r="13" spans="1:17" x14ac:dyDescent="0.25">
      <c r="A13" s="1">
        <v>2028</v>
      </c>
      <c r="B13" s="4">
        <f>B12*'IESS Annual Cap Costs'!B14/'IESS Annual Cap Costs'!B13</f>
        <v>1340974.2366529652</v>
      </c>
      <c r="C13" s="4">
        <f>'IESS Annual Cap Costs'!C14</f>
        <v>767341.34953963337</v>
      </c>
      <c r="D13" s="4">
        <f>D12*'IESS Annual Cap Costs'!D14/'IESS Annual Cap Costs'!D13</f>
        <v>1974525.3033663556</v>
      </c>
      <c r="E13" s="4">
        <f>E12*'IESS Annual Cap Costs'!E14/'IESS Annual Cap Costs'!E13</f>
        <v>1905127.1767902004</v>
      </c>
      <c r="F13" s="4">
        <v>0</v>
      </c>
      <c r="G13" s="4">
        <v>0</v>
      </c>
      <c r="H13" s="4">
        <f>H12*'IESS Annual Cap Costs'!H14/'IESS Annual Cap Costs'!H13</f>
        <v>1997642.4022769383</v>
      </c>
      <c r="I13" s="4">
        <f>I12*'IESS Annual Cap Costs'!I14/'IESS Annual Cap Costs'!I13</f>
        <v>796946.92977702012</v>
      </c>
      <c r="J13" s="4">
        <f>'IESS Annual Cap Costs'!J14</f>
        <v>5020996.8961110096</v>
      </c>
      <c r="K13" s="4">
        <f t="shared" si="0"/>
        <v>651000</v>
      </c>
      <c r="L13" s="4">
        <f t="shared" si="3"/>
        <v>651000</v>
      </c>
      <c r="M13" s="4">
        <f>B13*'Coal Cost Multipliers'!$B$33</f>
        <v>1554111.7397206388</v>
      </c>
      <c r="N13" s="4">
        <v>0</v>
      </c>
      <c r="O13" s="4">
        <f t="shared" si="1"/>
        <v>651000</v>
      </c>
      <c r="P13" s="4">
        <f t="shared" si="2"/>
        <v>651000</v>
      </c>
      <c r="Q13" s="4">
        <f>'Waste to Energy'!B22</f>
        <v>2772612.7442030236</v>
      </c>
    </row>
    <row r="14" spans="1:17" x14ac:dyDescent="0.25">
      <c r="A14" s="1">
        <v>2029</v>
      </c>
      <c r="B14" s="4">
        <f>B13*'IESS Annual Cap Costs'!B15/'IESS Annual Cap Costs'!B14</f>
        <v>1375108.65269191</v>
      </c>
      <c r="C14" s="4">
        <f>'IESS Annual Cap Costs'!C15</f>
        <v>774373.35350426473</v>
      </c>
      <c r="D14" s="4">
        <f>D13*'IESS Annual Cap Costs'!D15/'IESS Annual Cap Costs'!D14</f>
        <v>1815474.4489987369</v>
      </c>
      <c r="E14" s="4">
        <f>E13*'IESS Annual Cap Costs'!E15/'IESS Annual Cap Costs'!E14</f>
        <v>1924945.9791351876</v>
      </c>
      <c r="F14" s="4">
        <v>0</v>
      </c>
      <c r="G14" s="4">
        <v>0</v>
      </c>
      <c r="H14" s="4">
        <f>H13*'IESS Annual Cap Costs'!H15/'IESS Annual Cap Costs'!H14</f>
        <v>2026863.7561828019</v>
      </c>
      <c r="I14" s="4">
        <f>I13*'IESS Annual Cap Costs'!I15/'IESS Annual Cap Costs'!I14</f>
        <v>796946.92977702012</v>
      </c>
      <c r="J14" s="4">
        <f>'IESS Annual Cap Costs'!J15</f>
        <v>5020996.8961110096</v>
      </c>
      <c r="K14" s="4">
        <f t="shared" si="0"/>
        <v>651000</v>
      </c>
      <c r="L14" s="4">
        <f t="shared" si="3"/>
        <v>651000</v>
      </c>
      <c r="M14" s="4">
        <f>B14*'Coal Cost Multipliers'!$B$33</f>
        <v>1593671.557683317</v>
      </c>
      <c r="N14" s="4">
        <v>0</v>
      </c>
      <c r="O14" s="4">
        <f t="shared" si="1"/>
        <v>651000</v>
      </c>
      <c r="P14" s="4">
        <f t="shared" si="2"/>
        <v>651000</v>
      </c>
      <c r="Q14" s="4">
        <f>'Waste to Energy'!B23</f>
        <v>2753551.21416834</v>
      </c>
    </row>
    <row r="15" spans="1:17" x14ac:dyDescent="0.25">
      <c r="A15" s="1">
        <v>2030</v>
      </c>
      <c r="B15" s="4">
        <f>B14*'IESS Annual Cap Costs'!B16/'IESS Annual Cap Costs'!B15</f>
        <v>1409243.0687308547</v>
      </c>
      <c r="C15" s="4">
        <f>'IESS Annual Cap Costs'!C16</f>
        <v>781405.35746889608</v>
      </c>
      <c r="D15" s="4">
        <f>D14*'IESS Annual Cap Costs'!D16/'IESS Annual Cap Costs'!D15</f>
        <v>1656423.594631118</v>
      </c>
      <c r="E15" s="4">
        <f>E14*'IESS Annual Cap Costs'!E16/'IESS Annual Cap Costs'!E15</f>
        <v>1944764.7814801747</v>
      </c>
      <c r="F15" s="4">
        <v>0</v>
      </c>
      <c r="G15" s="4">
        <v>0</v>
      </c>
      <c r="H15" s="4">
        <f>H14*'IESS Annual Cap Costs'!H16/'IESS Annual Cap Costs'!H15</f>
        <v>2056085.1100886653</v>
      </c>
      <c r="I15" s="4">
        <f>I14*'IESS Annual Cap Costs'!I16/'IESS Annual Cap Costs'!I15</f>
        <v>796946.92977702012</v>
      </c>
      <c r="J15" s="4">
        <f>'IESS Annual Cap Costs'!J16</f>
        <v>5020996.8961110096</v>
      </c>
      <c r="K15" s="4">
        <f t="shared" si="0"/>
        <v>651000</v>
      </c>
      <c r="L15" s="4">
        <f t="shared" si="3"/>
        <v>651000</v>
      </c>
      <c r="M15" s="4">
        <f>B15*'Coal Cost Multipliers'!$B$33</f>
        <v>1633231.3756459949</v>
      </c>
      <c r="N15" s="4">
        <v>0</v>
      </c>
      <c r="O15" s="4">
        <f t="shared" si="1"/>
        <v>651000</v>
      </c>
      <c r="P15" s="4">
        <f t="shared" si="2"/>
        <v>651000</v>
      </c>
      <c r="Q15" s="4">
        <f>'Waste to Energy'!B24</f>
        <v>2734489.6841336489</v>
      </c>
    </row>
    <row r="16" spans="1:17" x14ac:dyDescent="0.25">
      <c r="A16" s="1">
        <v>2031</v>
      </c>
      <c r="B16" s="4">
        <f>B15*'IESS Annual Cap Costs'!B17/'IESS Annual Cap Costs'!B16</f>
        <v>1443377.4847697995</v>
      </c>
      <c r="C16" s="4">
        <f>'IESS Annual Cap Costs'!C17</f>
        <v>788437.36143352743</v>
      </c>
      <c r="D16" s="4">
        <f>D15*'IESS Annual Cap Costs'!D17/'IESS Annual Cap Costs'!D16</f>
        <v>1497372.7402634991</v>
      </c>
      <c r="E16" s="4">
        <f>E15*'IESS Annual Cap Costs'!E17/'IESS Annual Cap Costs'!E16</f>
        <v>1964583.5838251619</v>
      </c>
      <c r="F16" s="4">
        <v>0</v>
      </c>
      <c r="G16" s="4">
        <v>0</v>
      </c>
      <c r="H16" s="4">
        <f>H15*'IESS Annual Cap Costs'!H17/'IESS Annual Cap Costs'!H16</f>
        <v>2085306.4639945286</v>
      </c>
      <c r="I16" s="4">
        <f>I15*'IESS Annual Cap Costs'!I17/'IESS Annual Cap Costs'!I16</f>
        <v>796946.92977702012</v>
      </c>
      <c r="J16" s="4">
        <f>'IESS Annual Cap Costs'!J17</f>
        <v>5020996.8961110096</v>
      </c>
      <c r="K16" s="4">
        <f t="shared" si="0"/>
        <v>651000</v>
      </c>
      <c r="L16" s="4">
        <f t="shared" si="3"/>
        <v>651000</v>
      </c>
      <c r="M16" s="4">
        <f>B16*'Coal Cost Multipliers'!$B$33</f>
        <v>1672791.1936086731</v>
      </c>
      <c r="N16" s="4">
        <v>0</v>
      </c>
      <c r="O16" s="4">
        <f t="shared" si="1"/>
        <v>651000</v>
      </c>
      <c r="P16" s="4">
        <f t="shared" si="2"/>
        <v>651000</v>
      </c>
      <c r="Q16" s="4">
        <f>'Waste to Energy'!B25</f>
        <v>2715428.1540989578</v>
      </c>
    </row>
    <row r="17" spans="1:17" x14ac:dyDescent="0.25">
      <c r="A17" s="1">
        <v>2032</v>
      </c>
      <c r="B17" s="4">
        <f>B16*'IESS Annual Cap Costs'!B18/'IESS Annual Cap Costs'!B17</f>
        <v>1477511.9008087446</v>
      </c>
      <c r="C17" s="4">
        <f>'IESS Annual Cap Costs'!C18</f>
        <v>795469.36539815855</v>
      </c>
      <c r="D17" s="4">
        <f>D16*'IESS Annual Cap Costs'!D18/'IESS Annual Cap Costs'!D17</f>
        <v>1338321.8858958806</v>
      </c>
      <c r="E17" s="4">
        <f>E16*'IESS Annual Cap Costs'!E18/'IESS Annual Cap Costs'!E17</f>
        <v>1984402.3861701486</v>
      </c>
      <c r="F17" s="4">
        <v>0</v>
      </c>
      <c r="G17" s="4">
        <v>0</v>
      </c>
      <c r="H17" s="4">
        <f>H16*'IESS Annual Cap Costs'!H18/'IESS Annual Cap Costs'!H17</f>
        <v>2114527.8179003913</v>
      </c>
      <c r="I17" s="4">
        <f>I16*'IESS Annual Cap Costs'!I18/'IESS Annual Cap Costs'!I17</f>
        <v>796946.92977702012</v>
      </c>
      <c r="J17" s="4">
        <f>'IESS Annual Cap Costs'!J18</f>
        <v>5020996.8961110096</v>
      </c>
      <c r="K17" s="4">
        <f t="shared" si="0"/>
        <v>651000</v>
      </c>
      <c r="L17" s="4">
        <f t="shared" si="3"/>
        <v>651000</v>
      </c>
      <c r="M17" s="4">
        <f>B17*'Coal Cost Multipliers'!$B$33</f>
        <v>1712351.0115713514</v>
      </c>
      <c r="N17" s="4">
        <v>0</v>
      </c>
      <c r="O17" s="4">
        <f t="shared" si="1"/>
        <v>651000</v>
      </c>
      <c r="P17" s="4">
        <f t="shared" si="2"/>
        <v>651000</v>
      </c>
      <c r="Q17" s="4">
        <f>'Waste to Energy'!B26</f>
        <v>2696366.6240642685</v>
      </c>
    </row>
    <row r="18" spans="1:17" x14ac:dyDescent="0.25">
      <c r="A18" s="1">
        <v>2033</v>
      </c>
      <c r="B18" s="4">
        <f>B17*'IESS Annual Cap Costs'!B19/'IESS Annual Cap Costs'!B18</f>
        <v>1518625.1341296979</v>
      </c>
      <c r="C18" s="4">
        <f>'IESS Annual Cap Costs'!C19</f>
        <v>802501.3693627899</v>
      </c>
      <c r="D18" s="4">
        <f>D17*'IESS Annual Cap Costs'!D19/'IESS Annual Cap Costs'!D18</f>
        <v>1632590.1914019706</v>
      </c>
      <c r="E18" s="4">
        <f>E17*'IESS Annual Cap Costs'!E19/'IESS Annual Cap Costs'!E18</f>
        <v>1993870.4108001308</v>
      </c>
      <c r="F18" s="4">
        <v>0</v>
      </c>
      <c r="G18" s="4">
        <v>0</v>
      </c>
      <c r="H18" s="4">
        <f>H17*'IESS Annual Cap Costs'!H19/'IESS Annual Cap Costs'!H18</f>
        <v>2106349.7061344604</v>
      </c>
      <c r="I18" s="4">
        <f>I17*'IESS Annual Cap Costs'!I19/'IESS Annual Cap Costs'!I18</f>
        <v>796946.92977702012</v>
      </c>
      <c r="J18" s="4">
        <f>'IESS Annual Cap Costs'!J19</f>
        <v>5020996.8961110096</v>
      </c>
      <c r="K18" s="4">
        <f t="shared" si="0"/>
        <v>651000</v>
      </c>
      <c r="L18" s="4">
        <f t="shared" si="3"/>
        <v>651000</v>
      </c>
      <c r="M18" s="4">
        <f>B18*'Coal Cost Multipliers'!$B$33</f>
        <v>1759998.8759490047</v>
      </c>
      <c r="N18" s="4">
        <v>0</v>
      </c>
      <c r="O18" s="4">
        <f t="shared" si="1"/>
        <v>651000</v>
      </c>
      <c r="P18" s="4">
        <f t="shared" si="2"/>
        <v>651000</v>
      </c>
      <c r="Q18" s="4">
        <f>'Waste to Energy'!B27</f>
        <v>2678071.9371918961</v>
      </c>
    </row>
    <row r="19" spans="1:17" x14ac:dyDescent="0.25">
      <c r="A19" s="1">
        <v>2034</v>
      </c>
      <c r="B19" s="4">
        <f>B18*'IESS Annual Cap Costs'!B20/'IESS Annual Cap Costs'!B19</f>
        <v>1559738.3674506512</v>
      </c>
      <c r="C19" s="4">
        <f>'IESS Annual Cap Costs'!C20</f>
        <v>809533.37332742126</v>
      </c>
      <c r="D19" s="4">
        <f>D18*'IESS Annual Cap Costs'!D20/'IESS Annual Cap Costs'!D19</f>
        <v>1926858.4969080603</v>
      </c>
      <c r="E19" s="4">
        <f>E18*'IESS Annual Cap Costs'!E20/'IESS Annual Cap Costs'!E19</f>
        <v>2003338.4354301128</v>
      </c>
      <c r="F19" s="4">
        <v>0</v>
      </c>
      <c r="G19" s="4">
        <v>0</v>
      </c>
      <c r="H19" s="4">
        <f>H18*'IESS Annual Cap Costs'!H20/'IESS Annual Cap Costs'!H19</f>
        <v>2098171.5943685295</v>
      </c>
      <c r="I19" s="4">
        <f>I18*'IESS Annual Cap Costs'!I20/'IESS Annual Cap Costs'!I19</f>
        <v>796946.92977702012</v>
      </c>
      <c r="J19" s="4">
        <f>'IESS Annual Cap Costs'!J20</f>
        <v>5020996.8961110096</v>
      </c>
      <c r="K19" s="4">
        <f t="shared" si="0"/>
        <v>651000</v>
      </c>
      <c r="L19" s="4">
        <f t="shared" si="3"/>
        <v>651000</v>
      </c>
      <c r="M19" s="4">
        <f>B19*'Coal Cost Multipliers'!$B$33</f>
        <v>1807646.7403266577</v>
      </c>
      <c r="N19" s="4">
        <v>0</v>
      </c>
      <c r="O19" s="4">
        <f t="shared" si="1"/>
        <v>651000</v>
      </c>
      <c r="P19" s="4">
        <f t="shared" si="2"/>
        <v>651000</v>
      </c>
      <c r="Q19" s="4">
        <f>'Waste to Energy'!B28</f>
        <v>2659777.2503195181</v>
      </c>
    </row>
    <row r="20" spans="1:17" x14ac:dyDescent="0.25">
      <c r="A20" s="1">
        <v>2035</v>
      </c>
      <c r="B20" s="4">
        <f>B19*'IESS Annual Cap Costs'!B21/'IESS Annual Cap Costs'!B20</f>
        <v>1600851.6007716046</v>
      </c>
      <c r="C20" s="4">
        <f>'IESS Annual Cap Costs'!C21</f>
        <v>816565.37729205261</v>
      </c>
      <c r="D20" s="4">
        <f>D19*'IESS Annual Cap Costs'!D21/'IESS Annual Cap Costs'!D20</f>
        <v>2221126.80241415</v>
      </c>
      <c r="E20" s="4">
        <f>E19*'IESS Annual Cap Costs'!E21/'IESS Annual Cap Costs'!E20</f>
        <v>2012806.4600600947</v>
      </c>
      <c r="F20" s="4">
        <v>0</v>
      </c>
      <c r="G20" s="4">
        <v>0</v>
      </c>
      <c r="H20" s="4">
        <f>H19*'IESS Annual Cap Costs'!H21/'IESS Annual Cap Costs'!H20</f>
        <v>2089993.4826025986</v>
      </c>
      <c r="I20" s="4">
        <f>I19*'IESS Annual Cap Costs'!I21/'IESS Annual Cap Costs'!I20</f>
        <v>796946.92977702012</v>
      </c>
      <c r="J20" s="4">
        <f>'IESS Annual Cap Costs'!J21</f>
        <v>5020996.8961110096</v>
      </c>
      <c r="K20" s="4">
        <f t="shared" si="0"/>
        <v>651000</v>
      </c>
      <c r="L20" s="4">
        <f t="shared" si="3"/>
        <v>651000</v>
      </c>
      <c r="M20" s="4">
        <f>B20*'Coal Cost Multipliers'!$B$33</f>
        <v>1855294.6047043107</v>
      </c>
      <c r="N20" s="4">
        <v>0</v>
      </c>
      <c r="O20" s="4">
        <f t="shared" si="1"/>
        <v>651000</v>
      </c>
      <c r="P20" s="4">
        <f t="shared" si="2"/>
        <v>651000</v>
      </c>
      <c r="Q20" s="4">
        <f>'Waste to Energy'!B29</f>
        <v>2641482.5634471402</v>
      </c>
    </row>
    <row r="21" spans="1:17" x14ac:dyDescent="0.25">
      <c r="A21" s="1">
        <v>2036</v>
      </c>
      <c r="B21" s="4">
        <f>B20*'IESS Annual Cap Costs'!B22/'IESS Annual Cap Costs'!B21</f>
        <v>1641964.8340925581</v>
      </c>
      <c r="C21" s="4">
        <f>'IESS Annual Cap Costs'!C22</f>
        <v>823597.38125668396</v>
      </c>
      <c r="D21" s="4">
        <f>D20*'IESS Annual Cap Costs'!D22/'IESS Annual Cap Costs'!D21</f>
        <v>2515395.1079202401</v>
      </c>
      <c r="E21" s="4">
        <f>E20*'IESS Annual Cap Costs'!E22/'IESS Annual Cap Costs'!E21</f>
        <v>2022274.4846900767</v>
      </c>
      <c r="F21" s="4">
        <v>0</v>
      </c>
      <c r="G21" s="4">
        <v>0</v>
      </c>
      <c r="H21" s="4">
        <f>H20*'IESS Annual Cap Costs'!H22/'IESS Annual Cap Costs'!H21</f>
        <v>2081815.3708366677</v>
      </c>
      <c r="I21" s="4">
        <f>I20*'IESS Annual Cap Costs'!I22/'IESS Annual Cap Costs'!I21</f>
        <v>796946.92977702012</v>
      </c>
      <c r="J21" s="4">
        <f>'IESS Annual Cap Costs'!J22</f>
        <v>5020996.8961110096</v>
      </c>
      <c r="K21" s="4">
        <f t="shared" si="0"/>
        <v>651000</v>
      </c>
      <c r="L21" s="4">
        <f t="shared" si="3"/>
        <v>651000</v>
      </c>
      <c r="M21" s="4">
        <f>B21*'Coal Cost Multipliers'!$B$33</f>
        <v>1902942.4690819641</v>
      </c>
      <c r="N21" s="4">
        <v>0</v>
      </c>
      <c r="O21" s="4">
        <f t="shared" si="1"/>
        <v>651000</v>
      </c>
      <c r="P21" s="4">
        <f t="shared" si="2"/>
        <v>651000</v>
      </c>
      <c r="Q21" s="4">
        <f>'Waste to Energy'!B30</f>
        <v>2623187.8765747696</v>
      </c>
    </row>
    <row r="22" spans="1:17" x14ac:dyDescent="0.25">
      <c r="A22" s="1">
        <v>2037</v>
      </c>
      <c r="B22" s="4">
        <f>B21*'IESS Annual Cap Costs'!B23/'IESS Annual Cap Costs'!B22</f>
        <v>1683078.0674135119</v>
      </c>
      <c r="C22" s="4">
        <f>'IESS Annual Cap Costs'!C23</f>
        <v>830629.38522131531</v>
      </c>
      <c r="D22" s="4">
        <f>D21*'IESS Annual Cap Costs'!D23/'IESS Annual Cap Costs'!D22</f>
        <v>2809663.4134263298</v>
      </c>
      <c r="E22" s="4">
        <f>E21*'IESS Annual Cap Costs'!E23/'IESS Annual Cap Costs'!E22</f>
        <v>2031742.5093200589</v>
      </c>
      <c r="F22" s="4">
        <v>0</v>
      </c>
      <c r="G22" s="4">
        <v>0</v>
      </c>
      <c r="H22" s="4">
        <f>H21*'IESS Annual Cap Costs'!H23/'IESS Annual Cap Costs'!H22</f>
        <v>2073637.2590707366</v>
      </c>
      <c r="I22" s="4">
        <f>I21*'IESS Annual Cap Costs'!I23/'IESS Annual Cap Costs'!I22</f>
        <v>796946.92977702012</v>
      </c>
      <c r="J22" s="4">
        <f>'IESS Annual Cap Costs'!J23</f>
        <v>5020996.8961110096</v>
      </c>
      <c r="K22" s="4">
        <f t="shared" si="0"/>
        <v>651000</v>
      </c>
      <c r="L22" s="4">
        <f t="shared" si="3"/>
        <v>651000</v>
      </c>
      <c r="M22" s="4">
        <f>B22*'Coal Cost Multipliers'!$B$33</f>
        <v>1950590.3334596176</v>
      </c>
      <c r="N22" s="4">
        <v>0</v>
      </c>
      <c r="O22" s="4">
        <f t="shared" si="1"/>
        <v>651000</v>
      </c>
      <c r="P22" s="4">
        <f t="shared" si="2"/>
        <v>651000</v>
      </c>
      <c r="Q22" s="4">
        <f>'Waste to Energy'!B31</f>
        <v>2604893.1897023916</v>
      </c>
    </row>
    <row r="23" spans="1:17" x14ac:dyDescent="0.25">
      <c r="A23" s="1">
        <v>2038</v>
      </c>
      <c r="B23" s="4">
        <f>B22*'IESS Annual Cap Costs'!B24/'IESS Annual Cap Costs'!B23</f>
        <v>1725099.7657787916</v>
      </c>
      <c r="C23" s="4">
        <f>'IESS Annual Cap Costs'!C24</f>
        <v>837661.38918594655</v>
      </c>
      <c r="D23" s="4">
        <f>D22*'IESS Annual Cap Costs'!D24/'IESS Annual Cap Costs'!D23</f>
        <v>2702139.8235976407</v>
      </c>
      <c r="E23" s="4">
        <f>E22*'IESS Annual Cap Costs'!E24/'IESS Annual Cap Costs'!E23</f>
        <v>1978048.7361460177</v>
      </c>
      <c r="F23" s="4">
        <v>0</v>
      </c>
      <c r="G23" s="4">
        <v>0</v>
      </c>
      <c r="H23" s="4">
        <f>H22*'IESS Annual Cap Costs'!H24/'IESS Annual Cap Costs'!H23</f>
        <v>2067421.8941286295</v>
      </c>
      <c r="I23" s="4">
        <f>I22*'IESS Annual Cap Costs'!I24/'IESS Annual Cap Costs'!I23</f>
        <v>796946.92977702012</v>
      </c>
      <c r="J23" s="4">
        <f>'IESS Annual Cap Costs'!J24</f>
        <v>5020996.8961110096</v>
      </c>
      <c r="K23" s="4">
        <f t="shared" si="0"/>
        <v>651000</v>
      </c>
      <c r="L23" s="4">
        <f t="shared" si="3"/>
        <v>651000</v>
      </c>
      <c r="M23" s="4">
        <f>B23*'Coal Cost Multipliers'!$B$33</f>
        <v>1999291.0563873628</v>
      </c>
      <c r="N23" s="4">
        <v>0</v>
      </c>
      <c r="O23" s="4">
        <f t="shared" si="1"/>
        <v>651000</v>
      </c>
      <c r="P23" s="4">
        <f t="shared" si="2"/>
        <v>651000</v>
      </c>
      <c r="Q23" s="4">
        <f>'Waste to Energy'!B32</f>
        <v>2587401.8623333946</v>
      </c>
    </row>
    <row r="24" spans="1:17" x14ac:dyDescent="0.25">
      <c r="A24" s="1">
        <v>2039</v>
      </c>
      <c r="B24" s="4">
        <f>B23*'IESS Annual Cap Costs'!B25/'IESS Annual Cap Costs'!B24</f>
        <v>1767121.4641440713</v>
      </c>
      <c r="C24" s="4">
        <f>'IESS Annual Cap Costs'!C25</f>
        <v>844693.39315057779</v>
      </c>
      <c r="D24" s="4">
        <f>D23*'IESS Annual Cap Costs'!D25/'IESS Annual Cap Costs'!D24</f>
        <v>2594616.2337689521</v>
      </c>
      <c r="E24" s="4">
        <f>E23*'IESS Annual Cap Costs'!E25/'IESS Annual Cap Costs'!E24</f>
        <v>1924354.9629719767</v>
      </c>
      <c r="F24" s="4">
        <v>0</v>
      </c>
      <c r="G24" s="4">
        <v>0</v>
      </c>
      <c r="H24" s="4">
        <f>H23*'IESS Annual Cap Costs'!H25/'IESS Annual Cap Costs'!H24</f>
        <v>2061206.5291865221</v>
      </c>
      <c r="I24" s="4">
        <f>I23*'IESS Annual Cap Costs'!I25/'IESS Annual Cap Costs'!I24</f>
        <v>796946.92977702012</v>
      </c>
      <c r="J24" s="4">
        <f>'IESS Annual Cap Costs'!J25</f>
        <v>5020996.8961110096</v>
      </c>
      <c r="K24" s="4">
        <f t="shared" si="0"/>
        <v>651000</v>
      </c>
      <c r="L24" s="4">
        <f t="shared" si="3"/>
        <v>651000</v>
      </c>
      <c r="M24" s="4">
        <f>B24*'Coal Cost Multipliers'!$B$33</f>
        <v>2047991.7793151082</v>
      </c>
      <c r="N24" s="4">
        <v>0</v>
      </c>
      <c r="O24" s="4">
        <f t="shared" si="1"/>
        <v>651000</v>
      </c>
      <c r="P24" s="4">
        <f t="shared" si="2"/>
        <v>651000</v>
      </c>
      <c r="Q24" s="4">
        <f>'Waste to Energy'!B33</f>
        <v>2569910.5349643975</v>
      </c>
    </row>
    <row r="25" spans="1:17" x14ac:dyDescent="0.25">
      <c r="A25" s="1">
        <v>2040</v>
      </c>
      <c r="B25" s="4">
        <f>B24*'IESS Annual Cap Costs'!B26/'IESS Annual Cap Costs'!B25</f>
        <v>1809143.1625093508</v>
      </c>
      <c r="C25" s="4">
        <f>'IESS Annual Cap Costs'!C26</f>
        <v>851725.39711520902</v>
      </c>
      <c r="D25" s="4">
        <f>D24*'IESS Annual Cap Costs'!D26/'IESS Annual Cap Costs'!D25</f>
        <v>2487092.643940263</v>
      </c>
      <c r="E25" s="4">
        <f>E24*'IESS Annual Cap Costs'!E26/'IESS Annual Cap Costs'!E25</f>
        <v>1870661.1897979355</v>
      </c>
      <c r="F25" s="4">
        <v>0</v>
      </c>
      <c r="G25" s="4">
        <v>0</v>
      </c>
      <c r="H25" s="4">
        <f>H24*'IESS Annual Cap Costs'!H26/'IESS Annual Cap Costs'!H25</f>
        <v>2054991.164244415</v>
      </c>
      <c r="I25" s="4">
        <f>I24*'IESS Annual Cap Costs'!I26/'IESS Annual Cap Costs'!I25</f>
        <v>796946.92977702012</v>
      </c>
      <c r="J25" s="4">
        <f>'IESS Annual Cap Costs'!J26</f>
        <v>5020996.8961110096</v>
      </c>
      <c r="K25" s="4">
        <f t="shared" si="0"/>
        <v>651000</v>
      </c>
      <c r="L25" s="4">
        <f t="shared" si="3"/>
        <v>651000</v>
      </c>
      <c r="M25" s="4">
        <f>B25*'Coal Cost Multipliers'!$B$33</f>
        <v>2096692.5022428532</v>
      </c>
      <c r="N25" s="4">
        <v>0</v>
      </c>
      <c r="O25" s="4">
        <f t="shared" si="1"/>
        <v>651000</v>
      </c>
      <c r="P25" s="4">
        <f t="shared" si="2"/>
        <v>651000</v>
      </c>
      <c r="Q25" s="4">
        <f>'Waste to Energy'!B34</f>
        <v>2552419.2075954005</v>
      </c>
    </row>
    <row r="26" spans="1:17" x14ac:dyDescent="0.25">
      <c r="A26" s="1">
        <v>2041</v>
      </c>
      <c r="B26" s="4">
        <f>B25*'IESS Annual Cap Costs'!B27/'IESS Annual Cap Costs'!B26</f>
        <v>1851164.8608746303</v>
      </c>
      <c r="C26" s="4">
        <f>'IESS Annual Cap Costs'!C27</f>
        <v>858757.40107984026</v>
      </c>
      <c r="D26" s="4">
        <f>D25*'IESS Annual Cap Costs'!D27/'IESS Annual Cap Costs'!D26</f>
        <v>2379569.0541115743</v>
      </c>
      <c r="E26" s="4">
        <f>E25*'IESS Annual Cap Costs'!E27/'IESS Annual Cap Costs'!E26</f>
        <v>1816967.4166238944</v>
      </c>
      <c r="F26" s="4">
        <v>0</v>
      </c>
      <c r="G26" s="4">
        <v>0</v>
      </c>
      <c r="H26" s="4">
        <f>H25*'IESS Annual Cap Costs'!H27/'IESS Annual Cap Costs'!H26</f>
        <v>2048775.7993023079</v>
      </c>
      <c r="I26" s="4">
        <f>I25*'IESS Annual Cap Costs'!I27/'IESS Annual Cap Costs'!I26</f>
        <v>796946.92977702012</v>
      </c>
      <c r="J26" s="4">
        <f>'IESS Annual Cap Costs'!J27</f>
        <v>5020996.8961110096</v>
      </c>
      <c r="K26" s="4">
        <f t="shared" si="0"/>
        <v>651000</v>
      </c>
      <c r="L26" s="4">
        <f t="shared" si="3"/>
        <v>651000</v>
      </c>
      <c r="M26" s="4">
        <f>B26*'Coal Cost Multipliers'!$B$33</f>
        <v>2145393.2251705979</v>
      </c>
      <c r="N26" s="4">
        <v>0</v>
      </c>
      <c r="O26" s="4">
        <f t="shared" si="1"/>
        <v>651000</v>
      </c>
      <c r="P26" s="4">
        <f t="shared" si="2"/>
        <v>651000</v>
      </c>
      <c r="Q26" s="4">
        <f>'Waste to Energy'!B35</f>
        <v>2534927.8802264035</v>
      </c>
    </row>
    <row r="27" spans="1:17" x14ac:dyDescent="0.25">
      <c r="A27" s="1">
        <v>2042</v>
      </c>
      <c r="B27" s="4">
        <f>B26*'IESS Annual Cap Costs'!B28/'IESS Annual Cap Costs'!B27</f>
        <v>1893186.55923991</v>
      </c>
      <c r="C27" s="4">
        <f>'IESS Annual Cap Costs'!C28</f>
        <v>865789.40504447173</v>
      </c>
      <c r="D27" s="4">
        <f>D26*'IESS Annual Cap Costs'!D28/'IESS Annual Cap Costs'!D27</f>
        <v>2272045.4642828852</v>
      </c>
      <c r="E27" s="4">
        <f>E26*'IESS Annual Cap Costs'!E28/'IESS Annual Cap Costs'!E27</f>
        <v>1763273.6434498536</v>
      </c>
      <c r="F27" s="4">
        <v>0</v>
      </c>
      <c r="G27" s="4">
        <v>0</v>
      </c>
      <c r="H27" s="4">
        <f>H26*'IESS Annual Cap Costs'!H28/'IESS Annual Cap Costs'!H27</f>
        <v>2042560.4343602003</v>
      </c>
      <c r="I27" s="4">
        <f>I26*'IESS Annual Cap Costs'!I28/'IESS Annual Cap Costs'!I27</f>
        <v>796946.92977702012</v>
      </c>
      <c r="J27" s="4">
        <f>'IESS Annual Cap Costs'!J28</f>
        <v>5020996.8961110096</v>
      </c>
      <c r="K27" s="4">
        <f t="shared" si="0"/>
        <v>651000</v>
      </c>
      <c r="L27" s="4">
        <f t="shared" si="3"/>
        <v>651000</v>
      </c>
      <c r="M27" s="4">
        <f>B27*'Coal Cost Multipliers'!$B$33</f>
        <v>2194093.9480983433</v>
      </c>
      <c r="N27" s="4">
        <v>0</v>
      </c>
      <c r="O27" s="4">
        <f t="shared" si="1"/>
        <v>651000</v>
      </c>
      <c r="P27" s="4">
        <f t="shared" si="2"/>
        <v>651000</v>
      </c>
      <c r="Q27" s="4">
        <f>'Waste to Energy'!B36</f>
        <v>2517436.5528574036</v>
      </c>
    </row>
    <row r="28" spans="1:17" x14ac:dyDescent="0.25">
      <c r="A28" s="1">
        <v>2043</v>
      </c>
      <c r="B28" s="4">
        <f>B27*'IESS Annual Cap Costs'!B29/'IESS Annual Cap Costs'!B28</f>
        <v>1956386.7349720001</v>
      </c>
      <c r="C28" s="4">
        <f>'IESS Annual Cap Costs'!C29</f>
        <v>872821.40900910308</v>
      </c>
      <c r="D28" s="4">
        <f>D27*'IESS Annual Cap Costs'!D29/'IESS Annual Cap Costs'!D28</f>
        <v>2224582.1185382358</v>
      </c>
      <c r="E28" s="4">
        <f>E27*'IESS Annual Cap Costs'!E29/'IESS Annual Cap Costs'!E28</f>
        <v>1762558.6315525512</v>
      </c>
      <c r="F28" s="4">
        <v>0</v>
      </c>
      <c r="G28" s="4">
        <v>0</v>
      </c>
      <c r="H28" s="4">
        <f>H27*'IESS Annual Cap Costs'!H29/'IESS Annual Cap Costs'!H28</f>
        <v>2038085.3716018831</v>
      </c>
      <c r="I28" s="4">
        <f>I27*'IESS Annual Cap Costs'!I29/'IESS Annual Cap Costs'!I28</f>
        <v>796946.92977702012</v>
      </c>
      <c r="J28" s="4">
        <f>'IESS Annual Cap Costs'!J29</f>
        <v>5020996.8961110096</v>
      </c>
      <c r="K28" s="4">
        <f t="shared" si="0"/>
        <v>651000</v>
      </c>
      <c r="L28" s="4">
        <f t="shared" si="3"/>
        <v>651000</v>
      </c>
      <c r="M28" s="4">
        <f>B28*'Coal Cost Multipliers'!$B$33</f>
        <v>2267339.3038799753</v>
      </c>
      <c r="N28" s="4">
        <v>0</v>
      </c>
      <c r="O28" s="4">
        <f t="shared" si="1"/>
        <v>651000</v>
      </c>
      <c r="P28" s="4">
        <f t="shared" si="2"/>
        <v>651000</v>
      </c>
      <c r="Q28" s="4">
        <f>'Waste to Energy'!B37</f>
        <v>2500639.0359685943</v>
      </c>
    </row>
    <row r="29" spans="1:17" x14ac:dyDescent="0.25">
      <c r="A29" s="1">
        <v>2044</v>
      </c>
      <c r="B29" s="4">
        <f>B28*'IESS Annual Cap Costs'!B30/'IESS Annual Cap Costs'!B29</f>
        <v>2019586.9107040903</v>
      </c>
      <c r="C29" s="4">
        <f>'IESS Annual Cap Costs'!C30</f>
        <v>879853.41297373443</v>
      </c>
      <c r="D29" s="4">
        <f>D28*'IESS Annual Cap Costs'!D30/'IESS Annual Cap Costs'!D29</f>
        <v>2177118.7727935864</v>
      </c>
      <c r="E29" s="4">
        <f>E28*'IESS Annual Cap Costs'!E30/'IESS Annual Cap Costs'!E29</f>
        <v>1761843.6196552489</v>
      </c>
      <c r="F29" s="4">
        <v>0</v>
      </c>
      <c r="G29" s="4">
        <v>0</v>
      </c>
      <c r="H29" s="4">
        <f>H28*'IESS Annual Cap Costs'!H30/'IESS Annual Cap Costs'!H29</f>
        <v>2033610.3088435659</v>
      </c>
      <c r="I29" s="4">
        <f>I28*'IESS Annual Cap Costs'!I30/'IESS Annual Cap Costs'!I29</f>
        <v>796946.92977702012</v>
      </c>
      <c r="J29" s="4">
        <f>'IESS Annual Cap Costs'!J30</f>
        <v>5020996.8961110096</v>
      </c>
      <c r="K29" s="4">
        <f t="shared" si="0"/>
        <v>651000</v>
      </c>
      <c r="L29" s="4">
        <f t="shared" si="3"/>
        <v>651000</v>
      </c>
      <c r="M29" s="4">
        <f>B29*'Coal Cost Multipliers'!$B$33</f>
        <v>2340584.6596616074</v>
      </c>
      <c r="N29" s="4">
        <v>0</v>
      </c>
      <c r="O29" s="4">
        <f t="shared" si="1"/>
        <v>651000</v>
      </c>
      <c r="P29" s="4">
        <f t="shared" si="2"/>
        <v>651000</v>
      </c>
      <c r="Q29" s="4">
        <f>'Waste to Energy'!B38</f>
        <v>2483841.5190797895</v>
      </c>
    </row>
    <row r="30" spans="1:17" x14ac:dyDescent="0.25">
      <c r="A30" s="1">
        <v>2045</v>
      </c>
      <c r="B30" s="4">
        <f>B29*'IESS Annual Cap Costs'!B31/'IESS Annual Cap Costs'!B30</f>
        <v>2082787.0864361804</v>
      </c>
      <c r="C30" s="4">
        <f>'IESS Annual Cap Costs'!C31</f>
        <v>886885.41693836579</v>
      </c>
      <c r="D30" s="4">
        <f>D29*'IESS Annual Cap Costs'!D31/'IESS Annual Cap Costs'!D30</f>
        <v>2129655.4270489365</v>
      </c>
      <c r="E30" s="4">
        <f>E29*'IESS Annual Cap Costs'!E31/'IESS Annual Cap Costs'!E30</f>
        <v>1761128.6077579465</v>
      </c>
      <c r="F30" s="4">
        <v>0</v>
      </c>
      <c r="G30" s="4">
        <v>0</v>
      </c>
      <c r="H30" s="4">
        <f>H29*'IESS Annual Cap Costs'!H31/'IESS Annual Cap Costs'!H30</f>
        <v>2029135.2460852487</v>
      </c>
      <c r="I30" s="4">
        <f>I29*'IESS Annual Cap Costs'!I31/'IESS Annual Cap Costs'!I30</f>
        <v>796946.92977702012</v>
      </c>
      <c r="J30" s="4">
        <f>'IESS Annual Cap Costs'!J31</f>
        <v>5020996.8961110096</v>
      </c>
      <c r="K30" s="4">
        <f t="shared" si="0"/>
        <v>651000</v>
      </c>
      <c r="L30" s="4">
        <f t="shared" si="3"/>
        <v>651000</v>
      </c>
      <c r="M30" s="4">
        <f>B30*'Coal Cost Multipliers'!$B$33</f>
        <v>2413830.0154432389</v>
      </c>
      <c r="N30" s="4">
        <v>0</v>
      </c>
      <c r="O30" s="4">
        <f t="shared" si="1"/>
        <v>651000</v>
      </c>
      <c r="P30" s="4">
        <f t="shared" si="2"/>
        <v>651000</v>
      </c>
      <c r="Q30" s="4">
        <f>'Waste to Energy'!B39</f>
        <v>2467044.0021909773</v>
      </c>
    </row>
    <row r="31" spans="1:17" x14ac:dyDescent="0.25">
      <c r="A31" s="1">
        <v>2046</v>
      </c>
      <c r="B31" s="4">
        <f>B30*'IESS Annual Cap Costs'!B32/'IESS Annual Cap Costs'!B31</f>
        <v>2145987.2621682705</v>
      </c>
      <c r="C31" s="4">
        <f>'IESS Annual Cap Costs'!C32</f>
        <v>893917.42090299714</v>
      </c>
      <c r="D31" s="4">
        <f>D30*'IESS Annual Cap Costs'!D32/'IESS Annual Cap Costs'!D31</f>
        <v>2082192.0813042866</v>
      </c>
      <c r="E31" s="4">
        <f>E30*'IESS Annual Cap Costs'!E32/'IESS Annual Cap Costs'!E31</f>
        <v>1760413.5958606442</v>
      </c>
      <c r="F31" s="4">
        <v>0</v>
      </c>
      <c r="G31" s="4">
        <v>0</v>
      </c>
      <c r="H31" s="4">
        <f>H30*'IESS Annual Cap Costs'!H32/'IESS Annual Cap Costs'!H31</f>
        <v>2024660.1833269314</v>
      </c>
      <c r="I31" s="4">
        <f>I30*'IESS Annual Cap Costs'!I32/'IESS Annual Cap Costs'!I31</f>
        <v>796946.92977702012</v>
      </c>
      <c r="J31" s="4">
        <f>'IESS Annual Cap Costs'!J32</f>
        <v>5020996.8961110096</v>
      </c>
      <c r="K31" s="4">
        <f t="shared" si="0"/>
        <v>651000</v>
      </c>
      <c r="L31" s="4">
        <f t="shared" si="3"/>
        <v>651000</v>
      </c>
      <c r="M31" s="4">
        <f>B31*'Coal Cost Multipliers'!$B$33</f>
        <v>2487075.3712248709</v>
      </c>
      <c r="N31" s="4">
        <v>0</v>
      </c>
      <c r="O31" s="4">
        <f t="shared" si="1"/>
        <v>651000</v>
      </c>
      <c r="P31" s="4">
        <f t="shared" si="2"/>
        <v>651000</v>
      </c>
      <c r="Q31" s="4">
        <f>'Waste to Energy'!B40</f>
        <v>2450246.4853021726</v>
      </c>
    </row>
    <row r="32" spans="1:17" x14ac:dyDescent="0.25">
      <c r="A32" s="1">
        <v>2047</v>
      </c>
      <c r="B32" s="4">
        <f>B31*'IESS Annual Cap Costs'!B33/'IESS Annual Cap Costs'!B32</f>
        <v>2209187.4379003607</v>
      </c>
      <c r="C32" s="4">
        <f>'IESS Annual Cap Costs'!C33</f>
        <v>900949.42486762838</v>
      </c>
      <c r="D32" s="4">
        <f>D31*'IESS Annual Cap Costs'!D33/'IESS Annual Cap Costs'!D32</f>
        <v>2034728.7355596379</v>
      </c>
      <c r="E32" s="4">
        <f>E31*'IESS Annual Cap Costs'!E33/'IESS Annual Cap Costs'!E32</f>
        <v>1759698.5839633422</v>
      </c>
      <c r="F32" s="4">
        <v>0</v>
      </c>
      <c r="G32" s="4">
        <v>0</v>
      </c>
      <c r="H32" s="4">
        <f>H31*'IESS Annual Cap Costs'!H33/'IESS Annual Cap Costs'!H32</f>
        <v>2020185.1205686138</v>
      </c>
      <c r="I32" s="4">
        <f>I31*'IESS Annual Cap Costs'!I33/'IESS Annual Cap Costs'!I32</f>
        <v>796946.92977702012</v>
      </c>
      <c r="J32" s="4">
        <f>'IESS Annual Cap Costs'!J33</f>
        <v>5020996.8961110096</v>
      </c>
      <c r="K32" s="4">
        <f t="shared" si="0"/>
        <v>651000</v>
      </c>
      <c r="L32" s="4">
        <f t="shared" si="3"/>
        <v>651000</v>
      </c>
      <c r="M32" s="4">
        <f>B32*'Coal Cost Multipliers'!$B$33</f>
        <v>2560320.7270065029</v>
      </c>
      <c r="N32" s="4">
        <v>0</v>
      </c>
      <c r="O32" s="4">
        <f t="shared" si="1"/>
        <v>651000</v>
      </c>
      <c r="P32" s="4">
        <f t="shared" si="2"/>
        <v>651000</v>
      </c>
      <c r="Q32" s="4">
        <f>'Waste to Energy'!B41</f>
        <v>2433448.9684133651</v>
      </c>
    </row>
    <row r="33" spans="1:17" x14ac:dyDescent="0.25">
      <c r="A33" s="1">
        <v>2048</v>
      </c>
      <c r="B33" s="4">
        <f>B32*'IESS Annual Cap Costs'!B34/'IESS Annual Cap Costs'!B33</f>
        <v>2272387.6136324508</v>
      </c>
      <c r="C33" s="4">
        <f>'IESS Annual Cap Costs'!C34</f>
        <v>907981.42883225973</v>
      </c>
      <c r="D33" s="4">
        <f>D32*'IESS Annual Cap Costs'!D34/'IESS Annual Cap Costs'!D33</f>
        <v>1987265.3898149885</v>
      </c>
      <c r="E33" s="4">
        <f>E32*'IESS Annual Cap Costs'!E34/'IESS Annual Cap Costs'!E33</f>
        <v>1758983.5720660398</v>
      </c>
      <c r="F33" s="4">
        <v>0</v>
      </c>
      <c r="G33" s="4">
        <v>0</v>
      </c>
      <c r="H33" s="4">
        <f>H32*'IESS Annual Cap Costs'!H34/'IESS Annual Cap Costs'!H33</f>
        <v>2015710.0578102965</v>
      </c>
      <c r="I33" s="4">
        <f>I32*'IESS Annual Cap Costs'!I34/'IESS Annual Cap Costs'!I33</f>
        <v>796946.92977702012</v>
      </c>
      <c r="J33" s="4">
        <f>'IESS Annual Cap Costs'!J34</f>
        <v>5020996.8961110096</v>
      </c>
      <c r="K33" s="4">
        <f t="shared" si="0"/>
        <v>651000</v>
      </c>
      <c r="L33" s="4">
        <f t="shared" si="3"/>
        <v>651000</v>
      </c>
      <c r="M33" s="4">
        <f>B33*'Coal Cost Multipliers'!$B$33</f>
        <v>2633566.0827881349</v>
      </c>
      <c r="N33" s="4">
        <v>0</v>
      </c>
      <c r="O33" s="4">
        <f t="shared" si="1"/>
        <v>651000</v>
      </c>
      <c r="P33" s="4">
        <f t="shared" si="2"/>
        <v>651000</v>
      </c>
      <c r="Q33" s="4">
        <f>'Waste to Energy'!B42</f>
        <v>2416651.4515245557</v>
      </c>
    </row>
    <row r="34" spans="1:17" x14ac:dyDescent="0.25">
      <c r="A34" s="1">
        <v>2049</v>
      </c>
      <c r="B34" s="4">
        <f>B33*'IESS Annual Cap Costs'!B35/'IESS Annual Cap Costs'!B34</f>
        <v>2335587.7893645409</v>
      </c>
      <c r="C34" s="4">
        <f>'IESS Annual Cap Costs'!C35</f>
        <v>915013.43279689108</v>
      </c>
      <c r="D34" s="4">
        <f>D33*'IESS Annual Cap Costs'!D35/'IESS Annual Cap Costs'!D34</f>
        <v>1939802.0440703391</v>
      </c>
      <c r="E34" s="4">
        <f>E33*'IESS Annual Cap Costs'!E35/'IESS Annual Cap Costs'!E34</f>
        <v>1758268.5601687375</v>
      </c>
      <c r="F34" s="4">
        <v>0</v>
      </c>
      <c r="G34" s="4">
        <v>0</v>
      </c>
      <c r="H34" s="4">
        <f>H33*'IESS Annual Cap Costs'!H35/'IESS Annual Cap Costs'!H34</f>
        <v>2011234.9950519796</v>
      </c>
      <c r="I34" s="4">
        <f>I33*'IESS Annual Cap Costs'!I35/'IESS Annual Cap Costs'!I34</f>
        <v>796946.92977702012</v>
      </c>
      <c r="J34" s="4">
        <f>'IESS Annual Cap Costs'!J35</f>
        <v>5020996.8961110096</v>
      </c>
      <c r="K34" s="4">
        <f t="shared" si="0"/>
        <v>651000</v>
      </c>
      <c r="L34" s="4">
        <f t="shared" si="3"/>
        <v>651000</v>
      </c>
      <c r="M34" s="4">
        <f>B34*'Coal Cost Multipliers'!$B$33</f>
        <v>2706811.4385697669</v>
      </c>
      <c r="N34" s="4">
        <v>0</v>
      </c>
      <c r="O34" s="4">
        <f t="shared" si="1"/>
        <v>651000</v>
      </c>
      <c r="P34" s="4">
        <f t="shared" si="2"/>
        <v>651000</v>
      </c>
      <c r="Q34" s="4">
        <f>'Waste to Energy'!B43</f>
        <v>2399853.9346357509</v>
      </c>
    </row>
    <row r="35" spans="1:17" x14ac:dyDescent="0.25">
      <c r="A35" s="1">
        <v>2050</v>
      </c>
      <c r="B35" s="4">
        <f>B34*'IESS Annual Cap Costs'!B36/'IESS Annual Cap Costs'!B35</f>
        <v>2398787.9650966311</v>
      </c>
      <c r="C35" s="4">
        <f>'IESS Annual Cap Costs'!C36</f>
        <v>922045.43676152243</v>
      </c>
      <c r="D35" s="4">
        <f>D34*'IESS Annual Cap Costs'!D36/'IESS Annual Cap Costs'!D35</f>
        <v>1892338.6983256896</v>
      </c>
      <c r="E35" s="4">
        <f>E34*'IESS Annual Cap Costs'!E36/'IESS Annual Cap Costs'!E35</f>
        <v>1757553.5482714351</v>
      </c>
      <c r="F35" s="4">
        <v>0</v>
      </c>
      <c r="G35" s="4">
        <v>0</v>
      </c>
      <c r="H35" s="4">
        <f>H34*'IESS Annual Cap Costs'!H36/'IESS Annual Cap Costs'!H35</f>
        <v>2006759.9322936623</v>
      </c>
      <c r="I35" s="4">
        <f>I34*'IESS Annual Cap Costs'!I36/'IESS Annual Cap Costs'!I35</f>
        <v>796946.92977702012</v>
      </c>
      <c r="J35" s="4">
        <f>'IESS Annual Cap Costs'!J36</f>
        <v>5020996.8961110096</v>
      </c>
      <c r="K35" s="4">
        <f t="shared" si="0"/>
        <v>651000</v>
      </c>
      <c r="L35" s="4">
        <f t="shared" si="3"/>
        <v>651000</v>
      </c>
      <c r="M35" s="4">
        <f>B35*'Coal Cost Multipliers'!$B$33</f>
        <v>2780056.7943513985</v>
      </c>
      <c r="N35" s="4">
        <v>0</v>
      </c>
      <c r="O35" s="4">
        <f t="shared" si="1"/>
        <v>651000</v>
      </c>
      <c r="P35" s="4">
        <f t="shared" si="2"/>
        <v>651000</v>
      </c>
      <c r="Q35" s="4">
        <f>'Waste to Energy'!B44</f>
        <v>2383056.4177469388</v>
      </c>
    </row>
    <row r="36" spans="1:17" x14ac:dyDescent="0.25">
      <c r="A36" s="20"/>
      <c r="B36" s="12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</row>
    <row r="37" spans="1:17" x14ac:dyDescent="0.25">
      <c r="A37" s="20"/>
      <c r="B37" s="12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</row>
    <row r="38" spans="1:17" x14ac:dyDescent="0.25">
      <c r="A38" s="20"/>
      <c r="B38" s="12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</row>
    <row r="39" spans="1:17" x14ac:dyDescent="0.25">
      <c r="A39" s="20"/>
      <c r="B39" s="12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</row>
    <row r="40" spans="1:17" x14ac:dyDescent="0.25">
      <c r="A40" s="20"/>
      <c r="B40" s="12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</row>
    <row r="41" spans="1:17" x14ac:dyDescent="0.25">
      <c r="A41" s="20"/>
      <c r="B41" s="12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</row>
    <row r="42" spans="1:17" x14ac:dyDescent="0.25">
      <c r="A42" s="20"/>
      <c r="B42" s="12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</row>
    <row r="43" spans="1:17" x14ac:dyDescent="0.25">
      <c r="A43" s="20"/>
      <c r="B43" s="12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</row>
    <row r="44" spans="1:17" x14ac:dyDescent="0.25">
      <c r="A44" s="20"/>
      <c r="B44" s="12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</row>
    <row r="45" spans="1:17" x14ac:dyDescent="0.25">
      <c r="A45" s="20"/>
      <c r="B45" s="12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</row>
    <row r="46" spans="1:17" x14ac:dyDescent="0.25">
      <c r="A46" s="20"/>
      <c r="B46" s="12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  <row r="47" spans="1:17" x14ac:dyDescent="0.25">
      <c r="A47" s="20"/>
      <c r="B47" s="12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</row>
    <row r="48" spans="1:17" x14ac:dyDescent="0.25">
      <c r="B48" s="1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tabSelected="1" workbookViewId="0">
      <selection activeCell="B11" sqref="B11"/>
    </sheetView>
  </sheetViews>
  <sheetFormatPr defaultRowHeight="15" x14ac:dyDescent="0.25"/>
  <cols>
    <col min="1" max="1" width="33.28515625" customWidth="1"/>
    <col min="2" max="2" width="23.140625" customWidth="1"/>
    <col min="3" max="3" width="28.5703125" customWidth="1"/>
    <col min="4" max="4" width="23.140625" customWidth="1"/>
  </cols>
  <sheetData>
    <row r="1" spans="1:4" x14ac:dyDescent="0.25">
      <c r="A1" s="5" t="s">
        <v>74</v>
      </c>
      <c r="B1" s="17" t="s">
        <v>16</v>
      </c>
      <c r="C1" s="17" t="s">
        <v>75</v>
      </c>
      <c r="D1" s="17" t="s">
        <v>17</v>
      </c>
    </row>
    <row r="2" spans="1:4" x14ac:dyDescent="0.25">
      <c r="A2" s="20" t="s">
        <v>15</v>
      </c>
      <c r="B2" s="4">
        <f>Lazard!D19*10^3</f>
        <v>37897.5</v>
      </c>
      <c r="C2" s="20">
        <v>0</v>
      </c>
      <c r="D2" s="4">
        <f>B2</f>
        <v>37897.5</v>
      </c>
    </row>
    <row r="3" spans="1:4" x14ac:dyDescent="0.25">
      <c r="A3" s="20" t="s">
        <v>18</v>
      </c>
      <c r="B3" s="4">
        <f>Lazard!D20*10^3</f>
        <v>10230</v>
      </c>
      <c r="C3" s="20">
        <v>0</v>
      </c>
      <c r="D3" s="4">
        <f t="shared" ref="D3:D14" si="0">B3</f>
        <v>10230</v>
      </c>
    </row>
    <row r="4" spans="1:4" x14ac:dyDescent="0.25">
      <c r="A4" s="20" t="s">
        <v>20</v>
      </c>
      <c r="B4" s="4">
        <f>Lazard!D21*10^3</f>
        <v>100905</v>
      </c>
      <c r="C4" s="20">
        <v>0</v>
      </c>
      <c r="D4" s="4">
        <f t="shared" si="0"/>
        <v>100905</v>
      </c>
    </row>
    <row r="5" spans="1:4" x14ac:dyDescent="0.25">
      <c r="A5" s="20" t="s">
        <v>24</v>
      </c>
      <c r="B5" s="4">
        <f>B6</f>
        <v>26040.000000000004</v>
      </c>
      <c r="C5" s="20">
        <v>0</v>
      </c>
      <c r="D5" s="4">
        <f t="shared" si="0"/>
        <v>26040.000000000004</v>
      </c>
    </row>
    <row r="6" spans="1:4" x14ac:dyDescent="0.25">
      <c r="A6" s="20" t="s">
        <v>25</v>
      </c>
      <c r="B6" s="4">
        <f>Lazard!D23*10^3</f>
        <v>26040.000000000004</v>
      </c>
      <c r="C6" s="20">
        <v>0</v>
      </c>
      <c r="D6" s="4">
        <f t="shared" si="0"/>
        <v>26040.000000000004</v>
      </c>
    </row>
    <row r="7" spans="1:4" x14ac:dyDescent="0.25">
      <c r="A7" s="20" t="s">
        <v>29</v>
      </c>
      <c r="B7" s="4">
        <f>Lazard!D24*10^3</f>
        <v>8370.0000000000018</v>
      </c>
      <c r="C7" s="20">
        <v>0</v>
      </c>
      <c r="D7" s="4">
        <f t="shared" si="0"/>
        <v>8370.0000000000018</v>
      </c>
    </row>
    <row r="8" spans="1:4" x14ac:dyDescent="0.25">
      <c r="A8" s="20" t="s">
        <v>27</v>
      </c>
      <c r="B8" s="4">
        <f>Lazard!D25*10^3</f>
        <v>69750</v>
      </c>
      <c r="C8" s="20">
        <v>0</v>
      </c>
      <c r="D8" s="4">
        <f t="shared" si="0"/>
        <v>69750</v>
      </c>
    </row>
    <row r="9" spans="1:4" x14ac:dyDescent="0.25">
      <c r="A9" s="20" t="s">
        <v>21</v>
      </c>
      <c r="B9" s="4">
        <f>Lazard!D26*10^3</f>
        <v>46500</v>
      </c>
      <c r="C9" s="20">
        <v>0</v>
      </c>
      <c r="D9" s="4">
        <f t="shared" si="0"/>
        <v>46500</v>
      </c>
    </row>
    <row r="10" spans="1:4" x14ac:dyDescent="0.25">
      <c r="A10" s="20" t="s">
        <v>22</v>
      </c>
      <c r="B10" s="4">
        <f>B6</f>
        <v>26040.000000000004</v>
      </c>
      <c r="C10" s="20">
        <v>0</v>
      </c>
      <c r="D10" s="4">
        <f t="shared" si="0"/>
        <v>26040.000000000004</v>
      </c>
    </row>
    <row r="11" spans="1:4" x14ac:dyDescent="0.25">
      <c r="A11" s="20" t="s">
        <v>76</v>
      </c>
      <c r="B11" s="4">
        <f>Lazard!D28*10^3</f>
        <v>5115</v>
      </c>
      <c r="C11" s="20">
        <v>0</v>
      </c>
      <c r="D11" s="4">
        <f t="shared" si="0"/>
        <v>5115</v>
      </c>
    </row>
    <row r="12" spans="1:4" x14ac:dyDescent="0.25">
      <c r="A12" s="20" t="s">
        <v>19</v>
      </c>
      <c r="B12" s="4">
        <f>Lazard!D29*10^3</f>
        <v>5115</v>
      </c>
      <c r="C12" s="20">
        <v>0</v>
      </c>
      <c r="D12" s="4">
        <f t="shared" si="0"/>
        <v>5115</v>
      </c>
    </row>
    <row r="13" spans="1:4" x14ac:dyDescent="0.25">
      <c r="A13" s="20" t="s">
        <v>77</v>
      </c>
      <c r="B13" s="4">
        <f>B2*'Coal Cost Multipliers'!$B$35</f>
        <v>37897.5</v>
      </c>
      <c r="C13" s="4">
        <f>C2*'Coal Cost Multipliers'!$B$35</f>
        <v>0</v>
      </c>
      <c r="D13" s="4">
        <f>D2*'Coal Cost Multipliers'!$B$35</f>
        <v>37897.5</v>
      </c>
    </row>
    <row r="14" spans="1:4" x14ac:dyDescent="0.25">
      <c r="A14" s="20" t="s">
        <v>26</v>
      </c>
      <c r="B14" s="4">
        <f>Lazard!D31*10^3</f>
        <v>74400</v>
      </c>
      <c r="C14" s="20">
        <v>0</v>
      </c>
      <c r="D14" s="4">
        <f t="shared" si="0"/>
        <v>74400</v>
      </c>
    </row>
    <row r="15" spans="1:4" x14ac:dyDescent="0.25">
      <c r="A15" s="20" t="s">
        <v>197</v>
      </c>
      <c r="B15" s="4">
        <f>B11</f>
        <v>5115</v>
      </c>
      <c r="C15" s="4">
        <f t="shared" ref="C15:D15" si="1">C11</f>
        <v>0</v>
      </c>
      <c r="D15" s="4">
        <f t="shared" si="1"/>
        <v>5115</v>
      </c>
    </row>
    <row r="16" spans="1:4" x14ac:dyDescent="0.25">
      <c r="A16" s="20" t="s">
        <v>198</v>
      </c>
      <c r="B16" s="4">
        <f>B11</f>
        <v>5115</v>
      </c>
      <c r="C16" s="4">
        <f t="shared" ref="C16:D16" si="2">C11</f>
        <v>0</v>
      </c>
      <c r="D16" s="4">
        <f t="shared" si="2"/>
        <v>5115</v>
      </c>
    </row>
    <row r="17" spans="1:4" x14ac:dyDescent="0.25">
      <c r="A17" s="20" t="s">
        <v>199</v>
      </c>
      <c r="B17" s="4">
        <f>'Waste to Energy'!A8*'CCaMC-BCCpUC'!Q2</f>
        <v>179715.17253971149</v>
      </c>
      <c r="C17">
        <v>0</v>
      </c>
      <c r="D17" s="4">
        <f>B17</f>
        <v>179715.17253971149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D17"/>
  <sheetViews>
    <sheetView workbookViewId="0">
      <selection activeCell="B17" sqref="B17"/>
    </sheetView>
  </sheetViews>
  <sheetFormatPr defaultRowHeight="15" x14ac:dyDescent="0.25"/>
  <cols>
    <col min="1" max="1" width="33.28515625" style="20" customWidth="1"/>
    <col min="2" max="4" width="24" style="20" customWidth="1"/>
    <col min="5" max="16384" width="9.140625" style="20"/>
  </cols>
  <sheetData>
    <row r="1" spans="1:4" x14ac:dyDescent="0.25">
      <c r="A1" s="5" t="s">
        <v>78</v>
      </c>
      <c r="B1" s="17" t="s">
        <v>16</v>
      </c>
      <c r="C1" s="17" t="s">
        <v>75</v>
      </c>
      <c r="D1" s="17" t="s">
        <v>17</v>
      </c>
    </row>
    <row r="2" spans="1:4" x14ac:dyDescent="0.25">
      <c r="A2" s="20" t="s">
        <v>73</v>
      </c>
      <c r="B2" s="16">
        <f>Lazard!C19</f>
        <v>2.5575000000000001</v>
      </c>
      <c r="C2" s="20">
        <v>0</v>
      </c>
      <c r="D2" s="16">
        <f>B2</f>
        <v>2.5575000000000001</v>
      </c>
    </row>
    <row r="3" spans="1:4" x14ac:dyDescent="0.25">
      <c r="A3" s="20" t="s">
        <v>18</v>
      </c>
      <c r="B3" s="16">
        <f>Lazard!C20</f>
        <v>2.79</v>
      </c>
      <c r="C3" s="20">
        <v>0</v>
      </c>
      <c r="D3" s="16">
        <f t="shared" ref="D3:D14" si="0">B3</f>
        <v>2.79</v>
      </c>
    </row>
    <row r="4" spans="1:4" x14ac:dyDescent="0.25">
      <c r="A4" s="20" t="s">
        <v>20</v>
      </c>
      <c r="B4" s="16">
        <f>Lazard!C21</f>
        <v>3.2550000000000003</v>
      </c>
      <c r="C4" s="20">
        <v>0</v>
      </c>
      <c r="D4" s="16">
        <f t="shared" si="0"/>
        <v>3.2550000000000003</v>
      </c>
    </row>
    <row r="5" spans="1:4" x14ac:dyDescent="0.25">
      <c r="A5" s="20" t="s">
        <v>24</v>
      </c>
      <c r="B5" s="16">
        <f>Lazard!C22</f>
        <v>0</v>
      </c>
      <c r="C5" s="20">
        <v>0</v>
      </c>
      <c r="D5" s="16">
        <f t="shared" si="0"/>
        <v>0</v>
      </c>
    </row>
    <row r="6" spans="1:4" x14ac:dyDescent="0.25">
      <c r="A6" s="20" t="s">
        <v>25</v>
      </c>
      <c r="B6" s="16">
        <f>Lazard!C23</f>
        <v>0</v>
      </c>
      <c r="C6" s="20">
        <v>0</v>
      </c>
      <c r="D6" s="16">
        <f t="shared" si="0"/>
        <v>0</v>
      </c>
    </row>
    <row r="7" spans="1:4" x14ac:dyDescent="0.25">
      <c r="A7" s="20" t="s">
        <v>29</v>
      </c>
      <c r="B7" s="16">
        <f>Lazard!C24</f>
        <v>0</v>
      </c>
      <c r="C7" s="20">
        <v>0</v>
      </c>
      <c r="D7" s="16">
        <f t="shared" si="0"/>
        <v>0</v>
      </c>
    </row>
    <row r="8" spans="1:4" x14ac:dyDescent="0.25">
      <c r="A8" s="20" t="s">
        <v>27</v>
      </c>
      <c r="B8" s="16">
        <f>Lazard!C25</f>
        <v>0</v>
      </c>
      <c r="C8" s="20">
        <v>0</v>
      </c>
      <c r="D8" s="16">
        <f t="shared" si="0"/>
        <v>0</v>
      </c>
    </row>
    <row r="9" spans="1:4" x14ac:dyDescent="0.25">
      <c r="A9" s="20" t="s">
        <v>21</v>
      </c>
      <c r="B9" s="16">
        <f>Lazard!C26</f>
        <v>9.3000000000000007</v>
      </c>
      <c r="C9" s="20">
        <v>0</v>
      </c>
      <c r="D9" s="16">
        <f t="shared" si="0"/>
        <v>9.3000000000000007</v>
      </c>
    </row>
    <row r="10" spans="1:4" x14ac:dyDescent="0.25">
      <c r="A10" s="20" t="s">
        <v>22</v>
      </c>
      <c r="B10" s="16">
        <f>Lazard!C27</f>
        <v>22.32</v>
      </c>
      <c r="C10" s="20">
        <v>0</v>
      </c>
      <c r="D10" s="16">
        <f t="shared" si="0"/>
        <v>22.32</v>
      </c>
    </row>
    <row r="11" spans="1:4" x14ac:dyDescent="0.25">
      <c r="A11" s="20" t="s">
        <v>76</v>
      </c>
      <c r="B11" s="16">
        <f>Lazard!C28</f>
        <v>4.4175000000000004</v>
      </c>
      <c r="C11" s="20">
        <v>0</v>
      </c>
      <c r="D11" s="16">
        <f t="shared" si="0"/>
        <v>4.4175000000000004</v>
      </c>
    </row>
    <row r="12" spans="1:4" x14ac:dyDescent="0.25">
      <c r="A12" s="20" t="s">
        <v>19</v>
      </c>
      <c r="B12" s="16">
        <f>Lazard!C29</f>
        <v>4.4175000000000004</v>
      </c>
      <c r="C12" s="20">
        <v>0</v>
      </c>
      <c r="D12" s="16">
        <f t="shared" si="0"/>
        <v>4.4175000000000004</v>
      </c>
    </row>
    <row r="13" spans="1:4" x14ac:dyDescent="0.25">
      <c r="A13" s="20" t="s">
        <v>77</v>
      </c>
      <c r="B13" s="16">
        <f>B2*'Coal Cost Multipliers'!$B$34</f>
        <v>4.3327058823529416</v>
      </c>
      <c r="C13" s="16">
        <f>C2*'Coal Cost Multipliers'!$B$34</f>
        <v>0</v>
      </c>
      <c r="D13" s="16">
        <f>D2*'Coal Cost Multipliers'!$B$34</f>
        <v>4.3327058823529416</v>
      </c>
    </row>
    <row r="14" spans="1:4" x14ac:dyDescent="0.25">
      <c r="A14" s="20" t="s">
        <v>26</v>
      </c>
      <c r="B14" s="16">
        <f>Lazard!C31</f>
        <v>0</v>
      </c>
      <c r="C14" s="20">
        <v>0</v>
      </c>
      <c r="D14" s="16">
        <f t="shared" si="0"/>
        <v>0</v>
      </c>
    </row>
    <row r="15" spans="1:4" x14ac:dyDescent="0.25">
      <c r="A15" s="20" t="s">
        <v>197</v>
      </c>
      <c r="B15" s="16">
        <f>B11</f>
        <v>4.4175000000000004</v>
      </c>
      <c r="C15" s="16">
        <f t="shared" ref="C15:D15" si="1">C11</f>
        <v>0</v>
      </c>
      <c r="D15" s="16">
        <f t="shared" si="1"/>
        <v>4.4175000000000004</v>
      </c>
    </row>
    <row r="16" spans="1:4" x14ac:dyDescent="0.25">
      <c r="A16" s="20" t="s">
        <v>198</v>
      </c>
      <c r="B16" s="16">
        <f>B11</f>
        <v>4.4175000000000004</v>
      </c>
      <c r="C16" s="16">
        <f t="shared" ref="C16:D16" si="2">C11</f>
        <v>0</v>
      </c>
      <c r="D16" s="16">
        <f t="shared" si="2"/>
        <v>4.4175000000000004</v>
      </c>
    </row>
    <row r="17" spans="1:4" x14ac:dyDescent="0.25">
      <c r="A17" s="20" t="s">
        <v>199</v>
      </c>
      <c r="B17" s="16">
        <f>B9</f>
        <v>9.3000000000000007</v>
      </c>
      <c r="C17" s="16">
        <f t="shared" ref="C17:D17" si="3">C9</f>
        <v>0</v>
      </c>
      <c r="D17" s="16">
        <f t="shared" si="3"/>
        <v>9.3000000000000007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6" sqref="B6"/>
    </sheetView>
  </sheetViews>
  <sheetFormatPr defaultRowHeight="15" x14ac:dyDescent="0.25"/>
  <sheetData>
    <row r="1" spans="1:3" x14ac:dyDescent="0.25">
      <c r="A1" s="1" t="s">
        <v>93</v>
      </c>
      <c r="B1" s="20"/>
      <c r="C1" s="20"/>
    </row>
    <row r="2" spans="1:3" x14ac:dyDescent="0.25">
      <c r="A2" s="20"/>
      <c r="B2" s="20"/>
      <c r="C2" s="20"/>
    </row>
    <row r="3" spans="1:3" x14ac:dyDescent="0.25">
      <c r="A3" s="1" t="s">
        <v>94</v>
      </c>
      <c r="B3" s="20"/>
      <c r="C3" s="20"/>
    </row>
    <row r="4" spans="1:3" x14ac:dyDescent="0.25">
      <c r="A4" s="20">
        <v>2010</v>
      </c>
      <c r="B4" s="20">
        <v>44.81</v>
      </c>
      <c r="C4" s="20"/>
    </row>
    <row r="5" spans="1:3" x14ac:dyDescent="0.25">
      <c r="A5" s="20">
        <v>2011</v>
      </c>
      <c r="B5" s="20">
        <v>53.26</v>
      </c>
      <c r="C5" s="20"/>
    </row>
    <row r="6" spans="1:3" x14ac:dyDescent="0.25">
      <c r="A6" s="20">
        <v>2012</v>
      </c>
      <c r="B6" s="20">
        <v>54.77</v>
      </c>
      <c r="C6" s="20"/>
    </row>
    <row r="7" spans="1:3" x14ac:dyDescent="0.25">
      <c r="A7" s="20">
        <v>2013</v>
      </c>
      <c r="B7" s="20">
        <v>61.89</v>
      </c>
      <c r="C7" s="20"/>
    </row>
    <row r="8" spans="1:3" x14ac:dyDescent="0.25">
      <c r="A8" s="20">
        <v>2014</v>
      </c>
      <c r="B8" s="20">
        <v>63.33</v>
      </c>
      <c r="C8" s="20"/>
    </row>
    <row r="9" spans="1:3" x14ac:dyDescent="0.25">
      <c r="A9" s="20">
        <v>2015</v>
      </c>
      <c r="B9" s="20">
        <v>66.319999999999993</v>
      </c>
      <c r="C9" s="20"/>
    </row>
    <row r="10" spans="1:3" x14ac:dyDescent="0.25">
      <c r="A10" s="20">
        <v>2016</v>
      </c>
      <c r="B10" s="20">
        <v>67.95</v>
      </c>
      <c r="C10" s="20"/>
    </row>
    <row r="11" spans="1:3" x14ac:dyDescent="0.25">
      <c r="A11" s="20">
        <v>2017</v>
      </c>
      <c r="B11" s="20">
        <v>63.92</v>
      </c>
      <c r="C11" s="20"/>
    </row>
    <row r="12" spans="1:3" x14ac:dyDescent="0.25">
      <c r="A12">
        <v>2018</v>
      </c>
      <c r="B12">
        <v>73.58</v>
      </c>
      <c r="C12" s="20"/>
    </row>
    <row r="13" spans="1:3" x14ac:dyDescent="0.25">
      <c r="A13">
        <v>2019</v>
      </c>
      <c r="B13">
        <v>70.760000000000005</v>
      </c>
      <c r="C13" s="20"/>
    </row>
    <row r="14" spans="1:3" x14ac:dyDescent="0.25">
      <c r="A14" s="1" t="s">
        <v>95</v>
      </c>
      <c r="B14" s="20"/>
      <c r="C14" s="20"/>
    </row>
    <row r="15" spans="1:3" x14ac:dyDescent="0.25">
      <c r="A15" s="20">
        <v>100000</v>
      </c>
      <c r="B15" s="20"/>
      <c r="C15" s="20"/>
    </row>
    <row r="16" spans="1:3" x14ac:dyDescent="0.25">
      <c r="A16" s="20"/>
      <c r="B16" s="20"/>
      <c r="C16" s="20"/>
    </row>
    <row r="17" spans="1:3" x14ac:dyDescent="0.25">
      <c r="A17" s="20"/>
      <c r="B17" s="20"/>
      <c r="C17" s="20"/>
    </row>
    <row r="18" spans="1:3" x14ac:dyDescent="0.25">
      <c r="A18" s="1" t="s">
        <v>96</v>
      </c>
      <c r="B18" s="20"/>
      <c r="C18" s="20"/>
    </row>
    <row r="19" spans="1:3" x14ac:dyDescent="0.25">
      <c r="A19" s="20">
        <v>10000000</v>
      </c>
      <c r="B19" s="20"/>
      <c r="C19" s="20"/>
    </row>
    <row r="20" spans="1:3" x14ac:dyDescent="0.25">
      <c r="A20" s="20"/>
      <c r="B20" s="20"/>
      <c r="C20" s="20"/>
    </row>
    <row r="21" spans="1:3" x14ac:dyDescent="0.25">
      <c r="A21" s="20"/>
      <c r="B21" s="20"/>
      <c r="C21" s="20"/>
    </row>
    <row r="22" spans="1:3" x14ac:dyDescent="0.25">
      <c r="A22" s="1" t="s">
        <v>97</v>
      </c>
      <c r="B22" s="20"/>
      <c r="C22" s="20"/>
    </row>
    <row r="23" spans="1:3" x14ac:dyDescent="0.25">
      <c r="A23" s="20">
        <f>A19/A15</f>
        <v>100</v>
      </c>
      <c r="B23" s="20"/>
      <c r="C23" s="20"/>
    </row>
    <row r="24" spans="1:3" x14ac:dyDescent="0.25">
      <c r="A24" s="20"/>
      <c r="B24" s="20"/>
      <c r="C24" s="20"/>
    </row>
    <row r="25" spans="1:3" x14ac:dyDescent="0.25">
      <c r="A25" s="20"/>
      <c r="B25" s="20"/>
      <c r="C25" s="20"/>
    </row>
    <row r="26" spans="1:3" x14ac:dyDescent="0.25">
      <c r="A26" s="1" t="s">
        <v>98</v>
      </c>
      <c r="B26" s="20"/>
      <c r="C26" s="3" t="s">
        <v>99</v>
      </c>
    </row>
    <row r="27" spans="1:3" x14ac:dyDescent="0.25">
      <c r="A27" s="17" t="s">
        <v>30</v>
      </c>
      <c r="B27" s="17" t="s">
        <v>100</v>
      </c>
      <c r="C27" s="20" t="s">
        <v>101</v>
      </c>
    </row>
    <row r="28" spans="1:3" x14ac:dyDescent="0.25">
      <c r="A28" s="20">
        <v>2010</v>
      </c>
      <c r="B28" s="48">
        <v>9.4700000000000006E-2</v>
      </c>
      <c r="C28" s="18">
        <f>C29/(1+B29)</f>
        <v>0.84470208721577789</v>
      </c>
    </row>
    <row r="29" spans="1:3" x14ac:dyDescent="0.25">
      <c r="A29" s="20">
        <v>2011</v>
      </c>
      <c r="B29" s="48">
        <v>6.4899999999999999E-2</v>
      </c>
      <c r="C29" s="18">
        <f>C30/(1+B30)</f>
        <v>0.8995232526760818</v>
      </c>
    </row>
    <row r="30" spans="1:3" x14ac:dyDescent="0.25">
      <c r="A30" s="20">
        <v>2012</v>
      </c>
      <c r="B30" s="48">
        <v>0.11169999999999999</v>
      </c>
      <c r="C30" s="20">
        <v>1</v>
      </c>
    </row>
    <row r="31" spans="1:3" x14ac:dyDescent="0.25">
      <c r="A31" s="20">
        <v>2013</v>
      </c>
      <c r="B31" s="48">
        <v>9.1300000000000006E-2</v>
      </c>
      <c r="C31" s="18">
        <f>C30*(1+B31)</f>
        <v>1.0912999999999999</v>
      </c>
    </row>
    <row r="32" spans="1:3" x14ac:dyDescent="0.25">
      <c r="A32" s="20">
        <v>2014</v>
      </c>
      <c r="B32" s="48">
        <v>5.8599999999999999E-2</v>
      </c>
      <c r="C32" s="18">
        <f t="shared" ref="C32:C35" si="0">C31*(1+B32)</f>
        <v>1.1552501799999999</v>
      </c>
    </row>
    <row r="33" spans="1:3" x14ac:dyDescent="0.25">
      <c r="A33" s="20">
        <v>2015</v>
      </c>
      <c r="B33" s="48">
        <v>6.3200000000000006E-2</v>
      </c>
      <c r="C33" s="18">
        <f t="shared" si="0"/>
        <v>1.2282619913759998</v>
      </c>
    </row>
    <row r="34" spans="1:3" x14ac:dyDescent="0.25">
      <c r="A34" s="20">
        <v>2016</v>
      </c>
      <c r="B34" s="48">
        <v>2.23E-2</v>
      </c>
      <c r="C34" s="18">
        <f t="shared" si="0"/>
        <v>1.2556522337836846</v>
      </c>
    </row>
    <row r="35" spans="1:3" x14ac:dyDescent="0.25">
      <c r="A35" s="20">
        <v>2017</v>
      </c>
      <c r="B35" s="49">
        <v>0.04</v>
      </c>
      <c r="C35" s="18">
        <f t="shared" si="0"/>
        <v>1.3058783231350322</v>
      </c>
    </row>
    <row r="37" spans="1:3" x14ac:dyDescent="0.25">
      <c r="A37" s="1" t="s">
        <v>139</v>
      </c>
    </row>
    <row r="38" spans="1:3" x14ac:dyDescent="0.25">
      <c r="A38" s="63">
        <v>0.93</v>
      </c>
    </row>
  </sheetData>
  <hyperlinks>
    <hyperlink ref="C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A7" workbookViewId="0">
      <selection activeCell="C20" sqref="C20"/>
    </sheetView>
  </sheetViews>
  <sheetFormatPr defaultRowHeight="15" x14ac:dyDescent="0.25"/>
  <cols>
    <col min="1" max="1" width="20.85546875" bestFit="1" customWidth="1"/>
    <col min="2" max="2" width="27" bestFit="1" customWidth="1"/>
    <col min="3" max="3" width="11.7109375" bestFit="1" customWidth="1"/>
    <col min="4" max="8" width="9.5703125" bestFit="1" customWidth="1"/>
  </cols>
  <sheetData>
    <row r="1" spans="1:14" s="20" customFormat="1" x14ac:dyDescent="0.25">
      <c r="A1" s="50" t="s">
        <v>119</v>
      </c>
      <c r="B1" s="50"/>
      <c r="C1" s="50"/>
      <c r="D1" s="50"/>
      <c r="E1" s="50"/>
      <c r="F1" s="50"/>
      <c r="G1" s="50"/>
      <c r="H1" s="50"/>
      <c r="I1" s="50"/>
    </row>
    <row r="2" spans="1:14" x14ac:dyDescent="0.25">
      <c r="A2" t="s">
        <v>117</v>
      </c>
      <c r="B2" t="s">
        <v>118</v>
      </c>
      <c r="C2">
        <v>2017</v>
      </c>
      <c r="D2">
        <f>C2+5</f>
        <v>2022</v>
      </c>
      <c r="E2" s="20">
        <f t="shared" ref="E2:I2" si="0">D2+5</f>
        <v>2027</v>
      </c>
      <c r="F2" s="20">
        <f t="shared" si="0"/>
        <v>2032</v>
      </c>
      <c r="G2" s="20">
        <f t="shared" si="0"/>
        <v>2037</v>
      </c>
      <c r="H2" s="20">
        <f t="shared" si="0"/>
        <v>2042</v>
      </c>
      <c r="I2" s="20">
        <f t="shared" si="0"/>
        <v>2047</v>
      </c>
    </row>
    <row r="3" spans="1:14" x14ac:dyDescent="0.25">
      <c r="A3" t="s">
        <v>18</v>
      </c>
      <c r="C3">
        <v>3.7790714285714289E-2</v>
      </c>
      <c r="D3">
        <v>3.9716428571428576E-2</v>
      </c>
      <c r="E3">
        <v>4.1642142857142864E-2</v>
      </c>
      <c r="F3">
        <v>4.3567857142857144E-2</v>
      </c>
      <c r="G3">
        <v>4.5493571428571439E-2</v>
      </c>
      <c r="H3">
        <v>4.7419285714285719E-2</v>
      </c>
      <c r="I3">
        <v>4.9345000000000007E-2</v>
      </c>
    </row>
    <row r="4" spans="1:14" x14ac:dyDescent="0.25">
      <c r="A4" t="s">
        <v>73</v>
      </c>
      <c r="B4" t="s">
        <v>114</v>
      </c>
      <c r="C4">
        <v>4.9715169121125002E-2</v>
      </c>
      <c r="D4">
        <v>5.2033642962990803E-2</v>
      </c>
      <c r="E4">
        <v>5.4460239155648904E-2</v>
      </c>
      <c r="F4">
        <v>5.7000000000000002E-2</v>
      </c>
      <c r="G4">
        <v>5.9658202945350007E-2</v>
      </c>
      <c r="H4">
        <v>6.2440371555589007E-2</v>
      </c>
      <c r="I4">
        <v>6.535228698677871E-2</v>
      </c>
    </row>
    <row r="5" spans="1:14" x14ac:dyDescent="0.25">
      <c r="A5" t="s">
        <v>73</v>
      </c>
      <c r="B5" t="s">
        <v>115</v>
      </c>
      <c r="C5">
        <v>5.4948344818085602E-2</v>
      </c>
      <c r="D5">
        <v>5.7510868538042499E-2</v>
      </c>
      <c r="E5">
        <v>6.0192895908875103E-2</v>
      </c>
      <c r="F5">
        <v>6.3E-2</v>
      </c>
      <c r="G5">
        <v>6.5938013781702706E-2</v>
      </c>
      <c r="H5">
        <v>6.9013042245650913E-2</v>
      </c>
      <c r="I5">
        <v>7.2231475090650213E-2</v>
      </c>
    </row>
    <row r="6" spans="1:14" x14ac:dyDescent="0.25">
      <c r="A6" t="s">
        <v>73</v>
      </c>
      <c r="B6" t="s">
        <v>116</v>
      </c>
      <c r="C6">
        <v>6.3452255325646412E-2</v>
      </c>
      <c r="D6">
        <v>6.6411360097501412E-2</v>
      </c>
      <c r="E6">
        <v>6.9508463132867709E-2</v>
      </c>
      <c r="F6">
        <v>7.2750000000000009E-2</v>
      </c>
      <c r="G6">
        <v>7.6142706390775708E-2</v>
      </c>
      <c r="H6">
        <v>7.96936321170017E-2</v>
      </c>
      <c r="I6">
        <v>8.3410155759441301E-2</v>
      </c>
    </row>
    <row r="7" spans="1:14" x14ac:dyDescent="0.25">
      <c r="A7" t="s">
        <v>73</v>
      </c>
      <c r="B7" t="s">
        <v>113</v>
      </c>
      <c r="C7">
        <v>9.5459666182181213E-2</v>
      </c>
      <c r="D7">
        <v>9.991144102091111E-2</v>
      </c>
      <c r="E7">
        <v>0.10457082499978701</v>
      </c>
      <c r="F7">
        <v>0.1094475</v>
      </c>
      <c r="G7">
        <v>0.11455159941861802</v>
      </c>
      <c r="H7">
        <v>0.119893729225093</v>
      </c>
      <c r="I7">
        <v>0.125484989999745</v>
      </c>
    </row>
    <row r="8" spans="1:14" x14ac:dyDescent="0.25">
      <c r="A8" t="s">
        <v>20</v>
      </c>
      <c r="B8" t="s">
        <v>120</v>
      </c>
      <c r="C8" s="20">
        <v>8.1443750000000009E-2</v>
      </c>
      <c r="D8" s="20">
        <v>7.98875E-2</v>
      </c>
      <c r="E8" s="20">
        <v>7.8331250000000005E-2</v>
      </c>
      <c r="F8" s="20">
        <v>7.677500000000001E-2</v>
      </c>
      <c r="G8" s="20">
        <v>7.5218750000000001E-2</v>
      </c>
      <c r="H8" s="20">
        <v>7.3662500000000006E-2</v>
      </c>
      <c r="I8" s="20">
        <v>7.2106249999999997E-2</v>
      </c>
    </row>
    <row r="9" spans="1:14" x14ac:dyDescent="0.25">
      <c r="A9" t="s">
        <v>20</v>
      </c>
      <c r="B9" t="s">
        <v>121</v>
      </c>
      <c r="C9">
        <v>0.20606250000000001</v>
      </c>
      <c r="D9">
        <v>0.20212500000000003</v>
      </c>
      <c r="E9">
        <v>0.19818750000000002</v>
      </c>
      <c r="F9">
        <v>0.19425000000000003</v>
      </c>
      <c r="G9">
        <v>0.19031250000000002</v>
      </c>
      <c r="H9">
        <v>0.18637500000000001</v>
      </c>
      <c r="I9">
        <v>0.18243750000000003</v>
      </c>
    </row>
    <row r="10" spans="1:14" x14ac:dyDescent="0.25">
      <c r="A10" t="s">
        <v>24</v>
      </c>
      <c r="B10" t="s">
        <v>128</v>
      </c>
      <c r="C10" s="20">
        <f>0.000135214285714286*(10^3)</f>
        <v>0.13521428571428601</v>
      </c>
      <c r="D10" s="20">
        <f>0.000128428571428571*(10^3)</f>
        <v>0.128428571428571</v>
      </c>
      <c r="E10" s="20">
        <f>0.000121642857142857*(10^3)</f>
        <v>0.121642857142857</v>
      </c>
      <c r="F10" s="20">
        <f>0.000114857142857143*(10^3)</f>
        <v>0.114857142857143</v>
      </c>
      <c r="G10" s="20">
        <f>0.000108071428571429*(10^3)</f>
        <v>0.108071428571429</v>
      </c>
      <c r="H10" s="20">
        <f>0.000101285714285714*(10^3)</f>
        <v>0.10128571428571399</v>
      </c>
      <c r="I10" s="20">
        <f>0.0000945*(10^3)</f>
        <v>9.4500000000000001E-2</v>
      </c>
    </row>
    <row r="11" spans="1:14" x14ac:dyDescent="0.25">
      <c r="A11" t="s">
        <v>24</v>
      </c>
      <c r="B11" t="s">
        <v>129</v>
      </c>
      <c r="C11" s="20">
        <f>0.000065*(10^3)</f>
        <v>6.4999999999999988E-2</v>
      </c>
      <c r="D11" s="20">
        <f>0.000065*(10^3)</f>
        <v>6.4999999999999988E-2</v>
      </c>
      <c r="E11" s="20">
        <f>0.000065*(10^3)</f>
        <v>6.4999999999999988E-2</v>
      </c>
      <c r="F11" s="20">
        <f>0.000065*(10^3)</f>
        <v>6.4999999999999988E-2</v>
      </c>
      <c r="G11" s="20">
        <f>0.0000645*(10^3)</f>
        <v>6.4500000000000002E-2</v>
      </c>
      <c r="H11" s="20">
        <f>0.000064*(10^3)</f>
        <v>6.4000000000000001E-2</v>
      </c>
      <c r="I11" s="20">
        <f>0.0000635*(10^3)</f>
        <v>6.3500000000000001E-2</v>
      </c>
    </row>
    <row r="12" spans="1:14" x14ac:dyDescent="0.25">
      <c r="A12" t="s">
        <v>122</v>
      </c>
      <c r="B12" t="s">
        <v>123</v>
      </c>
      <c r="C12">
        <v>6.8159999999999984E-2</v>
      </c>
      <c r="D12">
        <v>6.4559999999999992E-2</v>
      </c>
      <c r="E12">
        <v>6.3199999999999992E-2</v>
      </c>
      <c r="F12">
        <v>6.2999999999999987E-2</v>
      </c>
      <c r="G12">
        <v>6.239999999999999E-2</v>
      </c>
      <c r="H12">
        <v>6.2299999999999987E-2</v>
      </c>
      <c r="I12">
        <v>6.2199999999999991E-2</v>
      </c>
    </row>
    <row r="13" spans="1:14" x14ac:dyDescent="0.25">
      <c r="A13" t="s">
        <v>27</v>
      </c>
      <c r="B13" t="s">
        <v>124</v>
      </c>
      <c r="C13" s="20">
        <v>0.12918000000000002</v>
      </c>
      <c r="D13" s="20">
        <v>0.13639680000000001</v>
      </c>
      <c r="E13" s="20">
        <v>0.14572838400000002</v>
      </c>
      <c r="F13" s="20">
        <v>0.15654512640000001</v>
      </c>
      <c r="G13" s="20">
        <v>0.15351787008000001</v>
      </c>
      <c r="H13" s="20">
        <v>0.15121715527679999</v>
      </c>
      <c r="I13" s="20">
        <v>0.149560640618496</v>
      </c>
      <c r="N13" t="s">
        <v>125</v>
      </c>
    </row>
    <row r="14" spans="1:14" x14ac:dyDescent="0.25">
      <c r="A14" t="s">
        <v>25</v>
      </c>
      <c r="C14" s="20">
        <f>0.0000595*(10^3)</f>
        <v>5.9500000000000004E-2</v>
      </c>
      <c r="D14" s="20">
        <f>0.0000595*(10^3)</f>
        <v>5.9500000000000004E-2</v>
      </c>
      <c r="E14" s="20">
        <f>0.000059*(10^3)</f>
        <v>5.8999999999999997E-2</v>
      </c>
      <c r="F14" s="20">
        <f>0.0000585*(10^3)</f>
        <v>5.8499999999999996E-2</v>
      </c>
      <c r="G14" s="20">
        <f>0.000058*(10^3)</f>
        <v>5.8000000000000003E-2</v>
      </c>
      <c r="H14" s="20">
        <f>0.000058*(10^3)</f>
        <v>5.8000000000000003E-2</v>
      </c>
      <c r="I14" s="20">
        <f>0.0000575*(10^3)</f>
        <v>5.7500000000000002E-2</v>
      </c>
    </row>
    <row r="15" spans="1:14" x14ac:dyDescent="0.25">
      <c r="A15" t="s">
        <v>26</v>
      </c>
      <c r="C15" s="20">
        <f>0.0001575*(10^3)</f>
        <v>0.1575</v>
      </c>
      <c r="D15" s="20">
        <f>0.0001475*(10^3)</f>
        <v>0.14750000000000002</v>
      </c>
      <c r="E15" s="20">
        <f>0.0001415*(10^3)</f>
        <v>0.14149999999999999</v>
      </c>
      <c r="F15" s="20">
        <f>0.000139*(10^3)</f>
        <v>0.13899999999999998</v>
      </c>
      <c r="G15" s="20">
        <f>0.0001375*(10^3)</f>
        <v>0.13750000000000001</v>
      </c>
      <c r="H15" s="20">
        <f>0.0001365*(10^3)</f>
        <v>0.13650000000000001</v>
      </c>
      <c r="I15" s="20">
        <f>0.000136*(10^3)</f>
        <v>0.13600000000000001</v>
      </c>
    </row>
    <row r="16" spans="1:14" x14ac:dyDescent="0.25">
      <c r="A16" t="s">
        <v>21</v>
      </c>
      <c r="C16">
        <v>4.4999999999999998E-2</v>
      </c>
      <c r="D16">
        <v>4.4999999999999998E-2</v>
      </c>
      <c r="E16">
        <v>4.4999999999999998E-2</v>
      </c>
      <c r="F16">
        <v>4.4999999999999998E-2</v>
      </c>
      <c r="G16">
        <v>4.4999999999999998E-2</v>
      </c>
      <c r="H16">
        <v>4.4999999999999998E-2</v>
      </c>
      <c r="I16">
        <v>4.4999999999999998E-2</v>
      </c>
    </row>
    <row r="18" spans="1:9" x14ac:dyDescent="0.25">
      <c r="A18" s="50" t="s">
        <v>126</v>
      </c>
      <c r="B18" s="50"/>
      <c r="C18" s="50"/>
      <c r="D18" s="50"/>
      <c r="E18" s="50"/>
      <c r="F18" s="50"/>
      <c r="G18" s="50"/>
      <c r="H18" s="50"/>
      <c r="I18" s="50"/>
    </row>
    <row r="19" spans="1:9" x14ac:dyDescent="0.25">
      <c r="A19" s="20" t="s">
        <v>117</v>
      </c>
      <c r="B19" s="20" t="s">
        <v>118</v>
      </c>
      <c r="C19" s="20">
        <v>2017</v>
      </c>
      <c r="D19" s="20">
        <f>C19+5</f>
        <v>2022</v>
      </c>
      <c r="E19" s="20">
        <f t="shared" ref="E19:I19" si="1">D19+5</f>
        <v>2027</v>
      </c>
      <c r="F19" s="20">
        <f t="shared" si="1"/>
        <v>2032</v>
      </c>
      <c r="G19" s="20">
        <f t="shared" si="1"/>
        <v>2037</v>
      </c>
      <c r="H19" s="20">
        <f t="shared" si="1"/>
        <v>2042</v>
      </c>
      <c r="I19" s="20">
        <f t="shared" si="1"/>
        <v>2047</v>
      </c>
    </row>
    <row r="20" spans="1:9" x14ac:dyDescent="0.25">
      <c r="A20" s="20" t="s">
        <v>18</v>
      </c>
      <c r="B20" s="20"/>
      <c r="C20" s="4">
        <f>C3/'Conversion Factors'!$B$6*10^12/10^3</f>
        <v>689989.30592868885</v>
      </c>
      <c r="D20" s="4">
        <f>D3/'Conversion Factors'!$B$6*10^12/10^3</f>
        <v>725149.32575184549</v>
      </c>
      <c r="E20" s="4">
        <f>E3/'Conversion Factors'!$B$6*10^12/10^3</f>
        <v>760309.34557500202</v>
      </c>
      <c r="F20" s="4">
        <f>F3/'Conversion Factors'!$B$6*10^12/10^3</f>
        <v>795469.36539815855</v>
      </c>
      <c r="G20" s="4">
        <f>G3/'Conversion Factors'!$B$6*10^12/10^3</f>
        <v>830629.38522131531</v>
      </c>
      <c r="H20" s="4">
        <f>H3/'Conversion Factors'!$B$6*10^12/10^3</f>
        <v>865789.40504447173</v>
      </c>
      <c r="I20" s="4">
        <f>I3/'Conversion Factors'!$B$6*10^12/10^3</f>
        <v>900949.42486762838</v>
      </c>
    </row>
    <row r="21" spans="1:9" x14ac:dyDescent="0.25">
      <c r="A21" s="20" t="s">
        <v>73</v>
      </c>
      <c r="B21" s="20" t="s">
        <v>114</v>
      </c>
      <c r="C21" s="4">
        <f>C4/'Conversion Factors'!$B$6*10^12/10^3</f>
        <v>907708.03580655472</v>
      </c>
      <c r="D21" s="4">
        <f>D4/'Conversion Factors'!$B$6*10^12/10^3</f>
        <v>950039.12658372836</v>
      </c>
      <c r="E21" s="4">
        <f>E4/'Conversion Factors'!$B$6*10^12/10^3</f>
        <v>994344.33367991436</v>
      </c>
      <c r="F21" s="4">
        <f>F4/'Conversion Factors'!$B$6*10^12/10^3</f>
        <v>1040715.7202848275</v>
      </c>
      <c r="G21" s="4">
        <f>G4/'Conversion Factors'!$B$6*10^12/10^3</f>
        <v>1089249.6429678658</v>
      </c>
      <c r="H21" s="4">
        <f>H4/'Conversion Factors'!$B$6*10^12/10^3</f>
        <v>1140046.9519004747</v>
      </c>
      <c r="I21" s="4">
        <f>I4/'Conversion Factors'!$B$6*10^12/10^3</f>
        <v>1193213.2004158974</v>
      </c>
    </row>
    <row r="22" spans="1:9" x14ac:dyDescent="0.25">
      <c r="A22" s="20" t="s">
        <v>73</v>
      </c>
      <c r="B22" s="20" t="s">
        <v>115</v>
      </c>
      <c r="C22" s="4">
        <f>C5/'Conversion Factors'!$B$6*10^12/10^3</f>
        <v>1003256.2501019828</v>
      </c>
      <c r="D22" s="4">
        <f>D5/'Conversion Factors'!$B$6*10^12/10^3</f>
        <v>1050043.2451714897</v>
      </c>
      <c r="E22" s="4">
        <f>E5/'Conversion Factors'!$B$6*10^12/10^3</f>
        <v>1099012.1582777998</v>
      </c>
      <c r="F22" s="4">
        <f>F5/'Conversion Factors'!$B$6*10^12/10^3</f>
        <v>1150264.743472704</v>
      </c>
      <c r="G22" s="4">
        <f>G5/'Conversion Factors'!$B$6*10^12/10^3</f>
        <v>1203907.500122379</v>
      </c>
      <c r="H22" s="4">
        <f>H5/'Conversion Factors'!$B$6*10^12/10^3</f>
        <v>1260051.8942057863</v>
      </c>
      <c r="I22" s="4">
        <f>I5/'Conversion Factors'!$B$6*10^12/10^3</f>
        <v>1318814.5899333616</v>
      </c>
    </row>
    <row r="23" spans="1:9" x14ac:dyDescent="0.25">
      <c r="A23" s="20" t="s">
        <v>73</v>
      </c>
      <c r="B23" s="20" t="s">
        <v>116</v>
      </c>
      <c r="C23" s="4">
        <f>C6/'Conversion Factors'!$B$6*10^12/10^3</f>
        <v>1158522.0983320505</v>
      </c>
      <c r="D23" s="4">
        <f>D6/'Conversion Factors'!$B$6*10^12/10^3</f>
        <v>1212549.9378766005</v>
      </c>
      <c r="E23" s="4">
        <f>E6/'Conversion Factors'!$B$6*10^12/10^3</f>
        <v>1269097.3732493646</v>
      </c>
      <c r="F23" s="4">
        <f>F6/'Conversion Factors'!$B$6*10^12/10^3</f>
        <v>1328281.9061530035</v>
      </c>
      <c r="G23" s="4">
        <f>G6/'Conversion Factors'!$B$6*10^12/10^3</f>
        <v>1390226.5179984607</v>
      </c>
      <c r="H23" s="4">
        <f>H6/'Conversion Factors'!$B$6*10^12/10^3</f>
        <v>1455059.9254519208</v>
      </c>
      <c r="I23" s="4">
        <f>I6/'Conversion Factors'!$B$6*10^12/10^3</f>
        <v>1522916.8478992386</v>
      </c>
    </row>
    <row r="24" spans="1:9" x14ac:dyDescent="0.25">
      <c r="A24" s="20" t="s">
        <v>73</v>
      </c>
      <c r="B24" s="20" t="s">
        <v>113</v>
      </c>
      <c r="C24" s="4">
        <f>C7/'Conversion Factors'!$B$6*10^12/10^3</f>
        <v>1742918.8640164544</v>
      </c>
      <c r="D24" s="4">
        <f>D7/'Conversion Factors'!$B$6*10^12/10^3</f>
        <v>1824200.1281889922</v>
      </c>
      <c r="E24" s="4">
        <f>E7/'Conversion Factors'!$B$6*10^12/10^3</f>
        <v>1909271.9554461751</v>
      </c>
      <c r="F24" s="4">
        <f>F7/'Conversion Factors'!$B$6*10^12/10^3</f>
        <v>1998311.1192258536</v>
      </c>
      <c r="G24" s="4">
        <f>G7/'Conversion Factors'!$B$6*10^12/10^3</f>
        <v>2091502.6368197557</v>
      </c>
      <c r="H24" s="4">
        <f>H7/'Conversion Factors'!$B$6*10^12/10^3</f>
        <v>2189040.1538267848</v>
      </c>
      <c r="I24" s="4">
        <f>I7/'Conversion Factors'!$B$6*10^12/10^3</f>
        <v>2291126.346535421</v>
      </c>
    </row>
    <row r="25" spans="1:9" x14ac:dyDescent="0.25">
      <c r="A25" s="20" t="s">
        <v>20</v>
      </c>
      <c r="B25" s="20" t="s">
        <v>120</v>
      </c>
      <c r="C25" s="4">
        <f>C8/'Conversion Factors'!$B$6*10^12/10^3</f>
        <v>1487013.8762096041</v>
      </c>
      <c r="D25" s="4">
        <f>D8/'Conversion Factors'!$B$6*10^12/10^3</f>
        <v>1458599.5983202483</v>
      </c>
      <c r="E25" s="4">
        <f>E8/'Conversion Factors'!$B$6*10^12/10^3</f>
        <v>1430185.3204308928</v>
      </c>
      <c r="F25" s="4">
        <f>F8/'Conversion Factors'!$B$6*10^12/10^3</f>
        <v>1401771.0425415372</v>
      </c>
      <c r="G25" s="4">
        <f>G8/'Conversion Factors'!$B$6*10^12/10^3</f>
        <v>1373356.7646521816</v>
      </c>
      <c r="H25" s="4">
        <f>H8/'Conversion Factors'!$B$6*10^12/10^3</f>
        <v>1344942.4867628263</v>
      </c>
      <c r="I25" s="4">
        <f>I8/'Conversion Factors'!$B$6*10^12/10^3</f>
        <v>1316528.2088734708</v>
      </c>
    </row>
    <row r="26" spans="1:9" x14ac:dyDescent="0.25">
      <c r="A26" s="20" t="s">
        <v>20</v>
      </c>
      <c r="B26" s="20" t="s">
        <v>121</v>
      </c>
      <c r="C26" s="4">
        <f>C9/'Conversion Factors'!$B$6*10^12/10^3</f>
        <v>3762324.2651086361</v>
      </c>
      <c r="D26" s="4">
        <f>D9/'Conversion Factors'!$B$6*10^12/10^3</f>
        <v>3690432.7186415927</v>
      </c>
      <c r="E26" s="4">
        <f>E9/'Conversion Factors'!$B$6*10^12/10^3</f>
        <v>3618541.1721745483</v>
      </c>
      <c r="F26" s="4">
        <f>F9/'Conversion Factors'!$B$6*10^12/10^3</f>
        <v>3546649.6257075048</v>
      </c>
      <c r="G26" s="4">
        <f>G9/'Conversion Factors'!$B$6*10^12/10^3</f>
        <v>3474758.0792404604</v>
      </c>
      <c r="H26" s="4">
        <f>H9/'Conversion Factors'!$B$6*10^12/10^3</f>
        <v>3402866.532773416</v>
      </c>
      <c r="I26" s="4">
        <f>I9/'Conversion Factors'!$B$6*10^12/10^3</f>
        <v>3330974.9863063726</v>
      </c>
    </row>
    <row r="27" spans="1:9" x14ac:dyDescent="0.25">
      <c r="A27" s="20" t="s">
        <v>24</v>
      </c>
      <c r="B27" s="20" t="s">
        <v>128</v>
      </c>
      <c r="C27" s="4">
        <f>C10/'Conversion Factors'!$B$6*10^12/10^3</f>
        <v>2468765.4868410807</v>
      </c>
      <c r="D27" s="4">
        <f>D10/'Conversion Factors'!$B$6*10^12/10^3</f>
        <v>2344870.7582357312</v>
      </c>
      <c r="E27" s="4">
        <f>E10/'Conversion Factors'!$B$6*10^12/10^3</f>
        <v>2220976.0296303998</v>
      </c>
      <c r="F27" s="4">
        <f>F10/'Conversion Factors'!$B$6*10^12/10^3</f>
        <v>2097081.3010250684</v>
      </c>
      <c r="G27" s="4">
        <f>G10/'Conversion Factors'!$B$6*10^12/10^3</f>
        <v>1973186.572419737</v>
      </c>
      <c r="H27" s="4">
        <f>H10/'Conversion Factors'!$B$6*10^12/10^3</f>
        <v>1849291.843814387</v>
      </c>
      <c r="I27" s="4">
        <f>I10/'Conversion Factors'!$B$6*10^12/10^3</f>
        <v>1725397.1152090558</v>
      </c>
    </row>
    <row r="28" spans="1:9" x14ac:dyDescent="0.25">
      <c r="A28" s="20" t="s">
        <v>24</v>
      </c>
      <c r="B28" s="20" t="s">
        <v>129</v>
      </c>
      <c r="C28" s="4">
        <f>C11/'Conversion Factors'!$B$6*10^12/10^3</f>
        <v>1186781.0845353294</v>
      </c>
      <c r="D28" s="4">
        <f>D11/'Conversion Factors'!$B$6*10^12/10^3</f>
        <v>1186781.0845353294</v>
      </c>
      <c r="E28" s="4">
        <f>E11/'Conversion Factors'!$B$6*10^12/10^3</f>
        <v>1186781.0845353294</v>
      </c>
      <c r="F28" s="4">
        <f>F11/'Conversion Factors'!$B$6*10^12/10^3</f>
        <v>1186781.0845353294</v>
      </c>
      <c r="G28" s="4">
        <f>G11/'Conversion Factors'!$B$6*10^12/10^3</f>
        <v>1177651.9992696731</v>
      </c>
      <c r="H28" s="4">
        <f>H11/'Conversion Factors'!$B$6*10^12/10^3</f>
        <v>1168522.9140040167</v>
      </c>
      <c r="I28" s="4">
        <f>I11/'Conversion Factors'!$B$6*10^12/10^3</f>
        <v>1159393.8287383604</v>
      </c>
    </row>
    <row r="29" spans="1:9" x14ac:dyDescent="0.25">
      <c r="A29" s="20" t="s">
        <v>122</v>
      </c>
      <c r="B29" s="20" t="s">
        <v>123</v>
      </c>
      <c r="C29" s="4">
        <f>C12/'Conversion Factors'!$B$6*10^12/10^3</f>
        <v>1244476.9034142776</v>
      </c>
      <c r="D29" s="4">
        <f>D12/'Conversion Factors'!$B$6*10^12/10^3</f>
        <v>1178747.4895015517</v>
      </c>
      <c r="E29" s="4">
        <f>E12/'Conversion Factors'!$B$6*10^12/10^3</f>
        <v>1153916.3775789663</v>
      </c>
      <c r="F29" s="4">
        <f>F12/'Conversion Factors'!$B$6*10^12/10^3</f>
        <v>1150264.7434727037</v>
      </c>
      <c r="G29" s="4">
        <f>G12/'Conversion Factors'!$B$6*10^12/10^3</f>
        <v>1139309.8411539162</v>
      </c>
      <c r="H29" s="4">
        <f>H12/'Conversion Factors'!$B$6*10^12/10^3</f>
        <v>1137484.0241007847</v>
      </c>
      <c r="I29" s="4">
        <f>I12/'Conversion Factors'!$B$6*10^12/10^3</f>
        <v>1135658.2070476536</v>
      </c>
    </row>
    <row r="30" spans="1:9" x14ac:dyDescent="0.25">
      <c r="A30" s="20" t="s">
        <v>27</v>
      </c>
      <c r="B30" s="20" t="s">
        <v>124</v>
      </c>
      <c r="C30" s="4">
        <f>C13/'Conversion Factors'!$B$6*10^12/10^3</f>
        <v>2358590.4692349825</v>
      </c>
      <c r="D30" s="4">
        <f>D13/'Conversion Factors'!$B$6*10^12/10^3</f>
        <v>2490356.0343253608</v>
      </c>
      <c r="E30" s="4">
        <f>E13/'Conversion Factors'!$B$6*10^12/10^3</f>
        <v>2660733.6863246309</v>
      </c>
      <c r="F30" s="4">
        <f>F13/'Conversion Factors'!$B$6*10^12/10^3</f>
        <v>2858227.6136571118</v>
      </c>
      <c r="G30" s="4">
        <f>G13/'Conversion Factors'!$B$6*10^12/10^3</f>
        <v>2802955.4515245571</v>
      </c>
      <c r="H30" s="4">
        <f>H13/'Conversion Factors'!$B$6*10^12/10^3</f>
        <v>2760948.6083038161</v>
      </c>
      <c r="I30" s="4">
        <f>I13/'Conversion Factors'!$B$6*10^12/10^3</f>
        <v>2730703.6811848823</v>
      </c>
    </row>
    <row r="31" spans="1:9" x14ac:dyDescent="0.25">
      <c r="A31" s="20" t="s">
        <v>25</v>
      </c>
      <c r="B31" s="20"/>
      <c r="C31" s="4">
        <f>C14/'Conversion Factors'!$B$6*10^12/10^3</f>
        <v>1086361.1466131094</v>
      </c>
      <c r="D31" s="4">
        <f>D14/'Conversion Factors'!$B$6*10^12/10^3</f>
        <v>1086361.1466131094</v>
      </c>
      <c r="E31" s="4">
        <f>E14/'Conversion Factors'!$B$6*10^12/10^3</f>
        <v>1077232.0613474529</v>
      </c>
      <c r="F31" s="4">
        <f>F14/'Conversion Factors'!$B$6*10^12/10^3</f>
        <v>1068102.9760817965</v>
      </c>
      <c r="G31" s="4">
        <f>G14/'Conversion Factors'!$B$6*10^12/10^3</f>
        <v>1058973.8908161402</v>
      </c>
      <c r="H31" s="4">
        <f>H14/'Conversion Factors'!$B$6*10^12/10^3</f>
        <v>1058973.8908161402</v>
      </c>
      <c r="I31" s="4">
        <f>I14/'Conversion Factors'!$B$6*10^12/10^3</f>
        <v>1049844.8055504838</v>
      </c>
    </row>
    <row r="32" spans="1:9" x14ac:dyDescent="0.25">
      <c r="A32" s="20" t="s">
        <v>26</v>
      </c>
      <c r="B32" s="20"/>
      <c r="C32" s="4">
        <f>C15/'Conversion Factors'!$B$6*10^12/10^3</f>
        <v>2875661.8586817603</v>
      </c>
      <c r="D32" s="4">
        <f>D15/'Conversion Factors'!$B$6*10^12/10^3</f>
        <v>2693080.1533686323</v>
      </c>
      <c r="E32" s="4">
        <f>E15/'Conversion Factors'!$B$6*10^12/10^3</f>
        <v>2583531.1301807556</v>
      </c>
      <c r="F32" s="4">
        <f>F15/'Conversion Factors'!$B$6*10^12/10^3</f>
        <v>2537885.7038524733</v>
      </c>
      <c r="G32" s="4">
        <f>G15/'Conversion Factors'!$B$6*10^12/10^3</f>
        <v>2510498.4480555048</v>
      </c>
      <c r="H32" s="4">
        <f>H15/'Conversion Factors'!$B$6*10^12/10^3</f>
        <v>2492240.2775241924</v>
      </c>
      <c r="I32" s="4">
        <f>I15/'Conversion Factors'!$B$6*10^12/10^3</f>
        <v>2483111.1922585354</v>
      </c>
    </row>
    <row r="33" spans="1:9" x14ac:dyDescent="0.25">
      <c r="A33" s="20" t="s">
        <v>21</v>
      </c>
      <c r="B33" s="20"/>
      <c r="C33" s="4">
        <f>C16/'Conversion Factors'!$B$6*10^12/10^3</f>
        <v>821617.67390907416</v>
      </c>
      <c r="D33" s="4">
        <f>D16/'Conversion Factors'!$B$6*10^12/10^3</f>
        <v>821617.67390907416</v>
      </c>
      <c r="E33" s="4">
        <f>E16/'Conversion Factors'!$B$6*10^12/10^3</f>
        <v>821617.67390907416</v>
      </c>
      <c r="F33" s="4">
        <f>F16/'Conversion Factors'!$B$6*10^12/10^3</f>
        <v>821617.67390907416</v>
      </c>
      <c r="G33" s="4">
        <f>G16/'Conversion Factors'!$B$6*10^12/10^3</f>
        <v>821617.67390907416</v>
      </c>
      <c r="H33" s="4">
        <f>H16/'Conversion Factors'!$B$6*10^12/10^3</f>
        <v>821617.67390907416</v>
      </c>
      <c r="I33" s="4">
        <f>I16/'Conversion Factors'!$B$6*10^12/10^3</f>
        <v>821617.67390907416</v>
      </c>
    </row>
    <row r="35" spans="1:9" x14ac:dyDescent="0.25">
      <c r="A35" s="51" t="s">
        <v>127</v>
      </c>
      <c r="B35" s="51"/>
      <c r="C35" s="51"/>
      <c r="D35" s="51"/>
      <c r="E35" s="51"/>
      <c r="F35" s="51"/>
      <c r="G35" s="51"/>
      <c r="H35" s="51"/>
      <c r="I35" s="51"/>
    </row>
    <row r="36" spans="1:9" x14ac:dyDescent="0.25">
      <c r="A36" s="20" t="s">
        <v>117</v>
      </c>
      <c r="B36" s="20" t="s">
        <v>118</v>
      </c>
      <c r="C36" s="20">
        <v>2017</v>
      </c>
      <c r="D36" s="20">
        <f>C36+5</f>
        <v>2022</v>
      </c>
      <c r="E36" s="20">
        <f t="shared" ref="E36:I36" si="2">D36+5</f>
        <v>2027</v>
      </c>
      <c r="F36" s="20">
        <f t="shared" si="2"/>
        <v>2032</v>
      </c>
      <c r="G36" s="20">
        <f t="shared" si="2"/>
        <v>2037</v>
      </c>
      <c r="H36" s="20">
        <f t="shared" si="2"/>
        <v>2042</v>
      </c>
      <c r="I36" s="20">
        <f t="shared" si="2"/>
        <v>2047</v>
      </c>
    </row>
    <row r="37" spans="1:9" x14ac:dyDescent="0.25">
      <c r="A37" s="20" t="s">
        <v>73</v>
      </c>
      <c r="B37" s="20" t="s">
        <v>114</v>
      </c>
      <c r="C37" s="16">
        <v>5.2694700000000001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</row>
    <row r="38" spans="1:9" x14ac:dyDescent="0.25">
      <c r="A38" s="20" t="s">
        <v>73</v>
      </c>
      <c r="B38" s="20" t="s">
        <v>115</v>
      </c>
      <c r="C38" s="16">
        <v>5.2694700000000001</v>
      </c>
      <c r="D38" s="16">
        <v>11.223305300940533</v>
      </c>
      <c r="E38" s="16">
        <v>8.3639776393072864</v>
      </c>
      <c r="F38" s="16">
        <v>3.9041751522583534</v>
      </c>
      <c r="G38" s="16">
        <v>2.003787829112035</v>
      </c>
      <c r="H38" s="16">
        <v>1.106129559254851</v>
      </c>
      <c r="I38" s="16">
        <v>0.45366202535004463</v>
      </c>
    </row>
    <row r="39" spans="1:9" x14ac:dyDescent="0.25">
      <c r="A39" s="20" t="s">
        <v>73</v>
      </c>
      <c r="B39" s="20" t="s">
        <v>116</v>
      </c>
      <c r="C39" s="16">
        <v>0</v>
      </c>
      <c r="D39" s="16">
        <v>0.59070027899687017</v>
      </c>
      <c r="E39" s="16">
        <v>0.92933084881192074</v>
      </c>
      <c r="F39" s="16">
        <v>0.78083503045167069</v>
      </c>
      <c r="G39" s="16">
        <v>1.2022726974672213</v>
      </c>
      <c r="H39" s="16">
        <v>1.4748394123398016</v>
      </c>
      <c r="I39" s="16">
        <v>1.814648101400179</v>
      </c>
    </row>
    <row r="40" spans="1:9" x14ac:dyDescent="0.25">
      <c r="A40" s="20" t="s">
        <v>73</v>
      </c>
      <c r="B40" s="20" t="s">
        <v>113</v>
      </c>
      <c r="C40" s="16">
        <v>0</v>
      </c>
      <c r="D40" s="16">
        <v>0</v>
      </c>
      <c r="E40" s="16">
        <v>0</v>
      </c>
      <c r="F40" s="16">
        <v>0.52055668696778046</v>
      </c>
      <c r="G40" s="16">
        <v>0.80151513164481425</v>
      </c>
      <c r="H40" s="16">
        <v>1.106129559254851</v>
      </c>
      <c r="I40" s="16">
        <v>2.2683101267502237</v>
      </c>
    </row>
    <row r="41" spans="1:9" x14ac:dyDescent="0.25">
      <c r="A41" s="20" t="s">
        <v>20</v>
      </c>
      <c r="B41" s="20" t="s">
        <v>120</v>
      </c>
      <c r="C41" s="16">
        <v>0.56000000000000016</v>
      </c>
      <c r="D41" s="16">
        <v>0.41999999999999982</v>
      </c>
      <c r="E41" s="16">
        <v>0.34400000000000008</v>
      </c>
      <c r="F41" s="16">
        <v>0.4840000000000001</v>
      </c>
      <c r="G41" s="16">
        <v>0.24399999999999994</v>
      </c>
      <c r="H41" s="16">
        <v>0.5239999999999998</v>
      </c>
      <c r="I41" s="16">
        <v>0.32400000000000001</v>
      </c>
    </row>
    <row r="42" spans="1:9" x14ac:dyDescent="0.25">
      <c r="A42" s="20" t="s">
        <v>20</v>
      </c>
      <c r="B42" s="20" t="s">
        <v>121</v>
      </c>
      <c r="C42" s="16">
        <v>0.4</v>
      </c>
      <c r="D42" s="16">
        <v>0</v>
      </c>
      <c r="E42" s="16">
        <v>0.2</v>
      </c>
      <c r="F42" s="16">
        <v>0</v>
      </c>
      <c r="G42" s="16">
        <v>0.72000000000000008</v>
      </c>
      <c r="H42" s="16">
        <v>0.52999999999999992</v>
      </c>
      <c r="I42" s="16">
        <v>0.21999999999999992</v>
      </c>
    </row>
    <row r="43" spans="1:9" x14ac:dyDescent="0.25">
      <c r="A43" s="20" t="s">
        <v>24</v>
      </c>
      <c r="B43" s="20" t="s">
        <v>128</v>
      </c>
      <c r="C43" s="16">
        <v>8</v>
      </c>
      <c r="D43" s="16">
        <v>12</v>
      </c>
      <c r="E43" s="16">
        <v>2</v>
      </c>
      <c r="F43" s="16">
        <v>3</v>
      </c>
      <c r="G43" s="16">
        <v>3</v>
      </c>
      <c r="H43" s="16">
        <v>3</v>
      </c>
      <c r="I43" s="16">
        <v>3</v>
      </c>
    </row>
    <row r="44" spans="1:9" x14ac:dyDescent="0.25">
      <c r="A44" s="20" t="s">
        <v>24</v>
      </c>
      <c r="B44" s="20" t="s">
        <v>129</v>
      </c>
      <c r="C44" s="16">
        <v>2.1</v>
      </c>
      <c r="D44" s="16">
        <v>3.5</v>
      </c>
      <c r="E44" s="16">
        <v>2.5</v>
      </c>
      <c r="F44" s="16">
        <v>2</v>
      </c>
      <c r="G44" s="16">
        <v>1</v>
      </c>
      <c r="H44" s="16">
        <v>2.5</v>
      </c>
      <c r="I44" s="16">
        <v>1.5</v>
      </c>
    </row>
    <row r="46" spans="1:9" x14ac:dyDescent="0.25">
      <c r="A46" s="51" t="s">
        <v>130</v>
      </c>
      <c r="B46" s="51"/>
      <c r="C46" s="51"/>
      <c r="D46" s="51"/>
      <c r="E46" s="51"/>
      <c r="F46" s="51"/>
      <c r="G46" s="51"/>
      <c r="H46" s="51"/>
      <c r="I46" s="20"/>
    </row>
    <row r="47" spans="1:9" x14ac:dyDescent="0.25">
      <c r="A47" t="s">
        <v>103</v>
      </c>
      <c r="B47">
        <v>2017</v>
      </c>
      <c r="C47" s="4">
        <v>2022</v>
      </c>
      <c r="D47" s="20">
        <v>2027</v>
      </c>
      <c r="E47" s="4">
        <v>2032</v>
      </c>
      <c r="F47" s="20">
        <v>2037</v>
      </c>
      <c r="G47" s="4">
        <v>2042</v>
      </c>
      <c r="H47" s="20">
        <v>2047</v>
      </c>
      <c r="I47" s="4"/>
    </row>
    <row r="48" spans="1:9" x14ac:dyDescent="0.25">
      <c r="A48" s="20" t="s">
        <v>15</v>
      </c>
      <c r="B48" s="4">
        <f>SUMPRODUCT(C37:C40,C21:C24)/SUM(C37:C40)</f>
        <v>955482.14295426896</v>
      </c>
      <c r="C48" s="4">
        <f t="shared" ref="C48:H48" si="3">SUMPRODUCT(D37:D40,D21:D24)/SUM(D37:D40)</f>
        <v>1058168.5798067451</v>
      </c>
      <c r="D48" s="4">
        <f t="shared" si="3"/>
        <v>1116020.6797749563</v>
      </c>
      <c r="E48" s="4">
        <f t="shared" si="3"/>
        <v>1261771.9554500636</v>
      </c>
      <c r="F48" s="4">
        <f t="shared" si="3"/>
        <v>1437322.232824679</v>
      </c>
      <c r="G48" s="4">
        <f t="shared" si="3"/>
        <v>1616751.5845905396</v>
      </c>
      <c r="H48" s="4">
        <f t="shared" si="3"/>
        <v>1886611.371420742</v>
      </c>
    </row>
    <row r="49" spans="1:8" x14ac:dyDescent="0.25">
      <c r="A49" s="20" t="s">
        <v>18</v>
      </c>
      <c r="B49" s="4">
        <f>C20</f>
        <v>689989.30592868885</v>
      </c>
      <c r="C49" s="4">
        <f t="shared" ref="C49:H49" si="4">D20</f>
        <v>725149.32575184549</v>
      </c>
      <c r="D49" s="4">
        <f t="shared" si="4"/>
        <v>760309.34557500202</v>
      </c>
      <c r="E49" s="4">
        <f t="shared" si="4"/>
        <v>795469.36539815855</v>
      </c>
      <c r="F49" s="4">
        <f t="shared" si="4"/>
        <v>830629.38522131531</v>
      </c>
      <c r="G49" s="4">
        <f t="shared" si="4"/>
        <v>865789.40504447173</v>
      </c>
      <c r="H49" s="4">
        <f t="shared" si="4"/>
        <v>900949.42486762838</v>
      </c>
    </row>
    <row r="50" spans="1:8" x14ac:dyDescent="0.25">
      <c r="A50" s="20" t="s">
        <v>20</v>
      </c>
      <c r="B50" s="4">
        <f>SUMPRODUCT(C41:C42,C25:C26)/SUM(C41:C42)</f>
        <v>2435059.8715842008</v>
      </c>
      <c r="C50" s="4">
        <f t="shared" ref="C50:H50" si="5">SUMPRODUCT(D41:D42,D25:D26)/SUM(D41:D42)</f>
        <v>1458599.5983202483</v>
      </c>
      <c r="D50" s="4">
        <f t="shared" si="5"/>
        <v>2234727.9129837072</v>
      </c>
      <c r="E50" s="4">
        <f t="shared" si="5"/>
        <v>1401771.0425415372</v>
      </c>
      <c r="F50" s="4">
        <f t="shared" si="5"/>
        <v>2942868.1199463322</v>
      </c>
      <c r="G50" s="4">
        <f t="shared" si="5"/>
        <v>2379761.9785897834</v>
      </c>
      <c r="H50" s="4">
        <f t="shared" si="5"/>
        <v>2131194.1850411883</v>
      </c>
    </row>
    <row r="51" spans="1:8" x14ac:dyDescent="0.25">
      <c r="A51" s="20" t="s">
        <v>24</v>
      </c>
      <c r="B51" s="4">
        <f>SUMPRODUCT(C43:C44,C27:C28)/SUM(C43:C44)</f>
        <v>2202214.2744804788</v>
      </c>
      <c r="C51" s="4">
        <f t="shared" ref="C51:H51" si="6">SUMPRODUCT(D43:D44,D27:D28)/SUM(D43:D44)</f>
        <v>2083366.6383678985</v>
      </c>
      <c r="D51" s="4">
        <f t="shared" si="6"/>
        <v>1646423.2823553607</v>
      </c>
      <c r="E51" s="4">
        <f t="shared" si="6"/>
        <v>1732961.2144291729</v>
      </c>
      <c r="F51" s="4">
        <f t="shared" si="6"/>
        <v>1774302.9291322213</v>
      </c>
      <c r="G51" s="4">
        <f t="shared" si="6"/>
        <v>1539851.4211733097</v>
      </c>
      <c r="H51" s="4">
        <f t="shared" si="6"/>
        <v>1536729.3530521572</v>
      </c>
    </row>
    <row r="52" spans="1:8" x14ac:dyDescent="0.25">
      <c r="A52" s="20" t="s">
        <v>25</v>
      </c>
      <c r="B52" s="4">
        <f>C31</f>
        <v>1086361.1466131094</v>
      </c>
      <c r="C52" s="4">
        <f t="shared" ref="C52:H52" si="7">D31</f>
        <v>1086361.1466131094</v>
      </c>
      <c r="D52" s="4">
        <f t="shared" si="7"/>
        <v>1077232.0613474529</v>
      </c>
      <c r="E52" s="4">
        <f t="shared" si="7"/>
        <v>1068102.9760817965</v>
      </c>
      <c r="F52" s="4">
        <f t="shared" si="7"/>
        <v>1058973.8908161402</v>
      </c>
      <c r="G52" s="4">
        <f t="shared" si="7"/>
        <v>1058973.8908161402</v>
      </c>
      <c r="H52" s="4">
        <f t="shared" si="7"/>
        <v>1049844.8055504838</v>
      </c>
    </row>
    <row r="53" spans="1:8" x14ac:dyDescent="0.25">
      <c r="A53" s="20" t="s">
        <v>29</v>
      </c>
      <c r="B53" s="4">
        <f>C29</f>
        <v>1244476.9034142776</v>
      </c>
      <c r="C53" s="4">
        <f t="shared" ref="C53:H53" si="8">D29</f>
        <v>1178747.4895015517</v>
      </c>
      <c r="D53" s="4">
        <f t="shared" si="8"/>
        <v>1153916.3775789663</v>
      </c>
      <c r="E53" s="4">
        <f t="shared" si="8"/>
        <v>1150264.7434727037</v>
      </c>
      <c r="F53" s="4">
        <f t="shared" si="8"/>
        <v>1139309.8411539162</v>
      </c>
      <c r="G53" s="4">
        <f t="shared" si="8"/>
        <v>1137484.0241007847</v>
      </c>
      <c r="H53" s="4">
        <f t="shared" si="8"/>
        <v>1135658.2070476536</v>
      </c>
    </row>
    <row r="54" spans="1:8" x14ac:dyDescent="0.25">
      <c r="A54" s="20" t="s">
        <v>27</v>
      </c>
      <c r="B54" s="4">
        <f>C30</f>
        <v>2358590.4692349825</v>
      </c>
      <c r="C54" s="4">
        <f t="shared" ref="C54:H54" si="9">D30</f>
        <v>2490356.0343253608</v>
      </c>
      <c r="D54" s="4">
        <f t="shared" si="9"/>
        <v>2660733.6863246309</v>
      </c>
      <c r="E54" s="4">
        <f t="shared" si="9"/>
        <v>2858227.6136571118</v>
      </c>
      <c r="F54" s="4">
        <f t="shared" si="9"/>
        <v>2802955.4515245571</v>
      </c>
      <c r="G54" s="4">
        <f t="shared" si="9"/>
        <v>2760948.6083038161</v>
      </c>
      <c r="H54" s="4">
        <f t="shared" si="9"/>
        <v>2730703.6811848823</v>
      </c>
    </row>
    <row r="55" spans="1:8" x14ac:dyDescent="0.25">
      <c r="A55" s="20" t="s">
        <v>21</v>
      </c>
      <c r="B55" s="4">
        <f>C33</f>
        <v>821617.67390907416</v>
      </c>
      <c r="C55" s="4">
        <f t="shared" ref="C55:H55" si="10">D33</f>
        <v>821617.67390907416</v>
      </c>
      <c r="D55" s="4">
        <f t="shared" si="10"/>
        <v>821617.67390907416</v>
      </c>
      <c r="E55" s="4">
        <f t="shared" si="10"/>
        <v>821617.67390907416</v>
      </c>
      <c r="F55" s="4">
        <f t="shared" si="10"/>
        <v>821617.67390907416</v>
      </c>
      <c r="G55" s="4">
        <f t="shared" si="10"/>
        <v>821617.67390907416</v>
      </c>
      <c r="H55" s="4">
        <f t="shared" si="10"/>
        <v>821617.67390907416</v>
      </c>
    </row>
    <row r="56" spans="1:8" x14ac:dyDescent="0.25">
      <c r="A56" s="20" t="s">
        <v>22</v>
      </c>
      <c r="C56" s="20"/>
      <c r="D56" s="20"/>
      <c r="E56" s="20"/>
      <c r="F56" s="20"/>
      <c r="G56" s="20"/>
      <c r="H56" s="20"/>
    </row>
    <row r="57" spans="1:8" x14ac:dyDescent="0.25">
      <c r="A57" s="20" t="s">
        <v>76</v>
      </c>
      <c r="C57" s="20"/>
      <c r="D57" s="20"/>
      <c r="E57" s="20"/>
      <c r="F57" s="20"/>
      <c r="G57" s="20"/>
      <c r="H57" s="20"/>
    </row>
    <row r="58" spans="1:8" x14ac:dyDescent="0.25">
      <c r="A58" s="20" t="s">
        <v>19</v>
      </c>
      <c r="C58" s="20"/>
      <c r="D58" s="20"/>
      <c r="E58" s="20"/>
      <c r="F58" s="20"/>
      <c r="G58" s="20"/>
      <c r="H58" s="20"/>
    </row>
    <row r="59" spans="1:8" x14ac:dyDescent="0.25">
      <c r="A59" s="20" t="s">
        <v>77</v>
      </c>
      <c r="C59" s="20"/>
      <c r="D59" s="20"/>
      <c r="E59" s="20"/>
      <c r="F59" s="20"/>
      <c r="G59" s="20"/>
      <c r="H59" s="20"/>
    </row>
    <row r="60" spans="1:8" x14ac:dyDescent="0.25">
      <c r="A60" s="20" t="s">
        <v>26</v>
      </c>
      <c r="B60" s="4">
        <f>C32</f>
        <v>2875661.8586817603</v>
      </c>
      <c r="C60" s="4">
        <f t="shared" ref="C60:H60" si="11">D32</f>
        <v>2693080.1533686323</v>
      </c>
      <c r="D60" s="4">
        <f t="shared" si="11"/>
        <v>2583531.1301807556</v>
      </c>
      <c r="E60" s="4">
        <f t="shared" si="11"/>
        <v>2537885.7038524733</v>
      </c>
      <c r="F60" s="4">
        <f t="shared" si="11"/>
        <v>2510498.4480555048</v>
      </c>
      <c r="G60" s="4">
        <f t="shared" si="11"/>
        <v>2492240.2775241924</v>
      </c>
      <c r="H60" s="4">
        <f t="shared" si="11"/>
        <v>2483111.1922585354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2" sqref="A2"/>
    </sheetView>
  </sheetViews>
  <sheetFormatPr defaultRowHeight="15" x14ac:dyDescent="0.25"/>
  <cols>
    <col min="1" max="1" width="11.42578125" customWidth="1"/>
  </cols>
  <sheetData>
    <row r="1" spans="1:2" x14ac:dyDescent="0.25">
      <c r="A1">
        <v>27.5</v>
      </c>
      <c r="B1" t="s">
        <v>131</v>
      </c>
    </row>
    <row r="2" spans="1:2" x14ac:dyDescent="0.25">
      <c r="A2" s="4">
        <f>A1*'Conversion Factors'!A19/'Conversion Factors'!B6</f>
        <v>5020996.8961110096</v>
      </c>
      <c r="B2" t="s">
        <v>132</v>
      </c>
    </row>
    <row r="7" spans="1:2" x14ac:dyDescent="0.25">
      <c r="A7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H18" sqref="H18"/>
    </sheetView>
  </sheetViews>
  <sheetFormatPr defaultRowHeight="15" x14ac:dyDescent="0.25"/>
  <cols>
    <col min="1" max="1" width="31.28515625" bestFit="1" customWidth="1"/>
    <col min="2" max="2" width="20.140625" bestFit="1" customWidth="1"/>
    <col min="3" max="3" width="22.85546875" bestFit="1" customWidth="1"/>
    <col min="4" max="4" width="20.140625" bestFit="1" customWidth="1"/>
  </cols>
  <sheetData>
    <row r="1" spans="1:5" x14ac:dyDescent="0.25">
      <c r="A1" s="88" t="s">
        <v>103</v>
      </c>
      <c r="B1" s="86" t="s">
        <v>137</v>
      </c>
      <c r="C1" s="86"/>
      <c r="D1" s="87"/>
    </row>
    <row r="2" spans="1:5" x14ac:dyDescent="0.25">
      <c r="A2" s="89"/>
      <c r="B2" s="52" t="s">
        <v>135</v>
      </c>
      <c r="C2" s="52" t="s">
        <v>78</v>
      </c>
      <c r="D2" s="53" t="s">
        <v>136</v>
      </c>
    </row>
    <row r="3" spans="1:5" x14ac:dyDescent="0.25">
      <c r="A3" s="54" t="s">
        <v>15</v>
      </c>
      <c r="B3" s="55"/>
      <c r="C3" s="56">
        <v>2.75</v>
      </c>
      <c r="D3" s="57">
        <v>40.75</v>
      </c>
    </row>
    <row r="4" spans="1:5" x14ac:dyDescent="0.25">
      <c r="A4" s="54" t="s">
        <v>18</v>
      </c>
      <c r="B4" s="55"/>
      <c r="C4" s="56">
        <v>3</v>
      </c>
      <c r="D4" s="57">
        <v>11</v>
      </c>
    </row>
    <row r="5" spans="1:5" x14ac:dyDescent="0.25">
      <c r="A5" s="54" t="s">
        <v>20</v>
      </c>
      <c r="B5" s="55"/>
      <c r="C5" s="56">
        <v>3.5</v>
      </c>
      <c r="D5" s="57">
        <v>108.5</v>
      </c>
    </row>
    <row r="6" spans="1:5" x14ac:dyDescent="0.25">
      <c r="A6" s="54" t="s">
        <v>24</v>
      </c>
      <c r="B6" s="55"/>
      <c r="C6" s="56"/>
      <c r="D6" s="57"/>
    </row>
    <row r="7" spans="1:5" x14ac:dyDescent="0.25">
      <c r="A7" s="54" t="s">
        <v>25</v>
      </c>
      <c r="B7" s="55"/>
      <c r="C7" s="62">
        <v>0</v>
      </c>
      <c r="D7" s="57">
        <v>28</v>
      </c>
    </row>
    <row r="8" spans="1:5" x14ac:dyDescent="0.25">
      <c r="A8" s="54" t="s">
        <v>29</v>
      </c>
      <c r="B8" s="55"/>
      <c r="C8" s="62">
        <v>0</v>
      </c>
      <c r="D8" s="57">
        <v>9</v>
      </c>
    </row>
    <row r="9" spans="1:5" x14ac:dyDescent="0.25">
      <c r="A9" s="54" t="s">
        <v>27</v>
      </c>
      <c r="B9" s="55"/>
      <c r="C9" s="62">
        <v>0</v>
      </c>
      <c r="D9" s="57">
        <v>75</v>
      </c>
    </row>
    <row r="10" spans="1:5" x14ac:dyDescent="0.25">
      <c r="A10" s="54" t="s">
        <v>21</v>
      </c>
      <c r="B10" s="55"/>
      <c r="C10" s="56">
        <v>10</v>
      </c>
      <c r="D10" s="57">
        <v>50</v>
      </c>
      <c r="E10" t="s">
        <v>179</v>
      </c>
    </row>
    <row r="11" spans="1:5" x14ac:dyDescent="0.25">
      <c r="A11" s="54" t="s">
        <v>22</v>
      </c>
      <c r="B11" s="55"/>
      <c r="C11" s="62">
        <v>24</v>
      </c>
      <c r="D11" s="57">
        <v>0</v>
      </c>
    </row>
    <row r="12" spans="1:5" x14ac:dyDescent="0.25">
      <c r="A12" s="54" t="s">
        <v>76</v>
      </c>
      <c r="B12" s="56">
        <f>B13</f>
        <v>700</v>
      </c>
      <c r="C12" s="56">
        <f t="shared" ref="C12:D12" si="0">C13</f>
        <v>4.75</v>
      </c>
      <c r="D12" s="57">
        <f t="shared" si="0"/>
        <v>5.5</v>
      </c>
      <c r="E12" t="s">
        <v>178</v>
      </c>
    </row>
    <row r="13" spans="1:5" x14ac:dyDescent="0.25">
      <c r="A13" s="54" t="s">
        <v>19</v>
      </c>
      <c r="B13" s="56">
        <v>700</v>
      </c>
      <c r="C13" s="56">
        <v>4.75</v>
      </c>
      <c r="D13" s="57">
        <v>5.5</v>
      </c>
    </row>
    <row r="14" spans="1:5" x14ac:dyDescent="0.25">
      <c r="A14" s="54" t="s">
        <v>77</v>
      </c>
      <c r="B14" s="55"/>
      <c r="C14" s="56">
        <f>C3</f>
        <v>2.75</v>
      </c>
      <c r="D14" s="57">
        <f>D3</f>
        <v>40.75</v>
      </c>
      <c r="E14" t="s">
        <v>180</v>
      </c>
    </row>
    <row r="15" spans="1:5" ht="15.75" thickBot="1" x14ac:dyDescent="0.3">
      <c r="A15" s="58" t="s">
        <v>26</v>
      </c>
      <c r="B15" s="59"/>
      <c r="C15" s="60">
        <v>0</v>
      </c>
      <c r="D15" s="61">
        <v>80</v>
      </c>
    </row>
    <row r="16" spans="1:5" ht="15.75" thickBot="1" x14ac:dyDescent="0.3"/>
    <row r="17" spans="1:4" x14ac:dyDescent="0.25">
      <c r="A17" s="88" t="s">
        <v>103</v>
      </c>
      <c r="B17" s="86" t="s">
        <v>138</v>
      </c>
      <c r="C17" s="86"/>
      <c r="D17" s="87"/>
    </row>
    <row r="18" spans="1:4" x14ac:dyDescent="0.25">
      <c r="A18" s="89"/>
      <c r="B18" s="52" t="s">
        <v>135</v>
      </c>
      <c r="C18" s="52" t="s">
        <v>78</v>
      </c>
      <c r="D18" s="53" t="s">
        <v>136</v>
      </c>
    </row>
    <row r="19" spans="1:4" x14ac:dyDescent="0.25">
      <c r="A19" s="54" t="s">
        <v>15</v>
      </c>
      <c r="B19" s="64"/>
      <c r="C19" s="65">
        <f>C3*'Conversion Factors'!$A$38</f>
        <v>2.5575000000000001</v>
      </c>
      <c r="D19" s="66">
        <f>D3*'Conversion Factors'!$A$38</f>
        <v>37.897500000000001</v>
      </c>
    </row>
    <row r="20" spans="1:4" x14ac:dyDescent="0.25">
      <c r="A20" s="54" t="s">
        <v>18</v>
      </c>
      <c r="B20" s="64"/>
      <c r="C20" s="65">
        <f>C4*'Conversion Factors'!$A$38</f>
        <v>2.79</v>
      </c>
      <c r="D20" s="66">
        <f>D4*'Conversion Factors'!$A$38</f>
        <v>10.23</v>
      </c>
    </row>
    <row r="21" spans="1:4" x14ac:dyDescent="0.25">
      <c r="A21" s="54" t="s">
        <v>20</v>
      </c>
      <c r="B21" s="64"/>
      <c r="C21" s="65">
        <f>C5*'Conversion Factors'!$A$38</f>
        <v>3.2550000000000003</v>
      </c>
      <c r="D21" s="66">
        <f>D5*'Conversion Factors'!$A$38</f>
        <v>100.905</v>
      </c>
    </row>
    <row r="22" spans="1:4" x14ac:dyDescent="0.25">
      <c r="A22" s="54" t="s">
        <v>24</v>
      </c>
      <c r="B22" s="64"/>
      <c r="C22" s="65">
        <f>C6*'Conversion Factors'!$A$38</f>
        <v>0</v>
      </c>
      <c r="D22" s="66">
        <f>D6*'Conversion Factors'!$A$38</f>
        <v>0</v>
      </c>
    </row>
    <row r="23" spans="1:4" x14ac:dyDescent="0.25">
      <c r="A23" s="54" t="s">
        <v>25</v>
      </c>
      <c r="B23" s="64"/>
      <c r="C23" s="65">
        <f>C7*'Conversion Factors'!$A$38</f>
        <v>0</v>
      </c>
      <c r="D23" s="66">
        <f>D7*'Conversion Factors'!$A$38</f>
        <v>26.040000000000003</v>
      </c>
    </row>
    <row r="24" spans="1:4" x14ac:dyDescent="0.25">
      <c r="A24" s="54" t="s">
        <v>29</v>
      </c>
      <c r="B24" s="64"/>
      <c r="C24" s="65">
        <f>C8*'Conversion Factors'!$A$38</f>
        <v>0</v>
      </c>
      <c r="D24" s="66">
        <f>D8*'Conversion Factors'!$A$38</f>
        <v>8.370000000000001</v>
      </c>
    </row>
    <row r="25" spans="1:4" x14ac:dyDescent="0.25">
      <c r="A25" s="54" t="s">
        <v>27</v>
      </c>
      <c r="B25" s="64"/>
      <c r="C25" s="65">
        <f>C9*'Conversion Factors'!$A$38</f>
        <v>0</v>
      </c>
      <c r="D25" s="66">
        <f>D9*'Conversion Factors'!$A$38</f>
        <v>69.75</v>
      </c>
    </row>
    <row r="26" spans="1:4" x14ac:dyDescent="0.25">
      <c r="A26" s="54" t="s">
        <v>21</v>
      </c>
      <c r="B26" s="64"/>
      <c r="C26" s="65">
        <f>C10*'Conversion Factors'!$A$38</f>
        <v>9.3000000000000007</v>
      </c>
      <c r="D26" s="66">
        <f>D10*'Conversion Factors'!$A$38</f>
        <v>46.5</v>
      </c>
    </row>
    <row r="27" spans="1:4" x14ac:dyDescent="0.25">
      <c r="A27" s="54" t="s">
        <v>22</v>
      </c>
      <c r="B27" s="64"/>
      <c r="C27" s="65">
        <f>C11*'Conversion Factors'!$A$38</f>
        <v>22.32</v>
      </c>
      <c r="D27" s="66">
        <f>D11*'Conversion Factors'!$A$38</f>
        <v>0</v>
      </c>
    </row>
    <row r="28" spans="1:4" x14ac:dyDescent="0.25">
      <c r="A28" s="54" t="s">
        <v>76</v>
      </c>
      <c r="B28" s="65">
        <f>B12*'Conversion Factors'!$A$38</f>
        <v>651</v>
      </c>
      <c r="C28" s="65">
        <f>C12*'Conversion Factors'!$A$38</f>
        <v>4.4175000000000004</v>
      </c>
      <c r="D28" s="66">
        <f>D12*'Conversion Factors'!$A$38</f>
        <v>5.1150000000000002</v>
      </c>
    </row>
    <row r="29" spans="1:4" x14ac:dyDescent="0.25">
      <c r="A29" s="54" t="s">
        <v>19</v>
      </c>
      <c r="B29" s="65">
        <f>B13*'Conversion Factors'!$A$38</f>
        <v>651</v>
      </c>
      <c r="C29" s="65">
        <f>C13*'Conversion Factors'!$A$38</f>
        <v>4.4175000000000004</v>
      </c>
      <c r="D29" s="66">
        <f>D13*'Conversion Factors'!$A$38</f>
        <v>5.1150000000000002</v>
      </c>
    </row>
    <row r="30" spans="1:4" x14ac:dyDescent="0.25">
      <c r="A30" s="54" t="s">
        <v>77</v>
      </c>
      <c r="B30" s="64"/>
      <c r="C30" s="65">
        <f>C14*'Conversion Factors'!$A$38</f>
        <v>2.5575000000000001</v>
      </c>
      <c r="D30" s="66">
        <f>D14*'Conversion Factors'!$A$38</f>
        <v>37.897500000000001</v>
      </c>
    </row>
    <row r="31" spans="1:4" ht="15.75" thickBot="1" x14ac:dyDescent="0.3">
      <c r="A31" s="58" t="s">
        <v>26</v>
      </c>
      <c r="B31" s="67"/>
      <c r="C31" s="68">
        <f>C15*'Conversion Factors'!$A$38</f>
        <v>0</v>
      </c>
      <c r="D31" s="69">
        <f>D15*'Conversion Factors'!$A$38</f>
        <v>74.400000000000006</v>
      </c>
    </row>
  </sheetData>
  <mergeCells count="4">
    <mergeCell ref="B1:D1"/>
    <mergeCell ref="A1:A2"/>
    <mergeCell ref="A17:A18"/>
    <mergeCell ref="B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10" sqref="B10"/>
    </sheetView>
  </sheetViews>
  <sheetFormatPr defaultRowHeight="15" x14ac:dyDescent="0.25"/>
  <cols>
    <col min="1" max="1" width="20.5703125" customWidth="1"/>
  </cols>
  <sheetData>
    <row r="1" spans="1:8" x14ac:dyDescent="0.25">
      <c r="A1" s="51" t="s">
        <v>130</v>
      </c>
      <c r="B1" s="51"/>
      <c r="C1" s="51"/>
      <c r="D1" s="51"/>
      <c r="E1" s="51"/>
      <c r="F1" s="51"/>
      <c r="G1" s="51"/>
      <c r="H1" s="51"/>
    </row>
    <row r="2" spans="1:8" x14ac:dyDescent="0.25">
      <c r="A2" s="20" t="s">
        <v>103</v>
      </c>
      <c r="B2" s="20">
        <v>2017</v>
      </c>
      <c r="C2" s="4">
        <v>2022</v>
      </c>
      <c r="D2" s="20">
        <v>2027</v>
      </c>
      <c r="E2" s="4">
        <v>2032</v>
      </c>
      <c r="F2" s="20">
        <v>2037</v>
      </c>
      <c r="G2" s="4">
        <v>2042</v>
      </c>
      <c r="H2" s="20">
        <v>2047</v>
      </c>
    </row>
    <row r="3" spans="1:8" x14ac:dyDescent="0.25">
      <c r="A3" s="20" t="s">
        <v>15</v>
      </c>
      <c r="B3" s="4">
        <f>IESS!B48</f>
        <v>955482.14295426896</v>
      </c>
      <c r="C3" s="4">
        <f>IESS!C48</f>
        <v>1058168.5798067451</v>
      </c>
      <c r="D3" s="4">
        <f>IESS!D48</f>
        <v>1116020.6797749563</v>
      </c>
      <c r="E3" s="4">
        <f>IESS!E48</f>
        <v>1261771.9554500636</v>
      </c>
      <c r="F3" s="4">
        <f>IESS!F48</f>
        <v>1437322.232824679</v>
      </c>
      <c r="G3" s="4">
        <f>IESS!G48</f>
        <v>1616751.5845905396</v>
      </c>
      <c r="H3" s="4">
        <f>IESS!H48</f>
        <v>1886611.371420742</v>
      </c>
    </row>
    <row r="4" spans="1:8" x14ac:dyDescent="0.25">
      <c r="A4" s="20" t="s">
        <v>18</v>
      </c>
      <c r="B4" s="4">
        <f>IESS!B49</f>
        <v>689989.30592868885</v>
      </c>
      <c r="C4" s="4">
        <f>IESS!C49</f>
        <v>725149.32575184549</v>
      </c>
      <c r="D4" s="4">
        <f>IESS!D49</f>
        <v>760309.34557500202</v>
      </c>
      <c r="E4" s="4">
        <f>IESS!E49</f>
        <v>795469.36539815855</v>
      </c>
      <c r="F4" s="4">
        <f>IESS!F49</f>
        <v>830629.38522131531</v>
      </c>
      <c r="G4" s="4">
        <f>IESS!G49</f>
        <v>865789.40504447173</v>
      </c>
      <c r="H4" s="4">
        <f>IESS!H49</f>
        <v>900949.42486762838</v>
      </c>
    </row>
    <row r="5" spans="1:8" x14ac:dyDescent="0.25">
      <c r="A5" s="20" t="s">
        <v>20</v>
      </c>
      <c r="B5" s="4">
        <f>IESS!B50</f>
        <v>2435059.8715842008</v>
      </c>
      <c r="C5" s="4">
        <f>IESS!C50</f>
        <v>1458599.5983202483</v>
      </c>
      <c r="D5" s="4">
        <f>IESS!D50</f>
        <v>2234727.9129837072</v>
      </c>
      <c r="E5" s="4">
        <f>IESS!E50</f>
        <v>1401771.0425415372</v>
      </c>
      <c r="F5" s="4">
        <f>IESS!F50</f>
        <v>2942868.1199463322</v>
      </c>
      <c r="G5" s="4">
        <f>IESS!G50</f>
        <v>2379761.9785897834</v>
      </c>
      <c r="H5" s="4">
        <f>IESS!H50</f>
        <v>2131194.1850411883</v>
      </c>
    </row>
    <row r="6" spans="1:8" x14ac:dyDescent="0.25">
      <c r="A6" s="20" t="s">
        <v>24</v>
      </c>
      <c r="B6" s="4">
        <f>IESS!B51</f>
        <v>2202214.2744804788</v>
      </c>
      <c r="C6" s="4">
        <f>IESS!C51</f>
        <v>2083366.6383678985</v>
      </c>
      <c r="D6" s="4">
        <f>IESS!D51</f>
        <v>1646423.2823553607</v>
      </c>
      <c r="E6" s="4">
        <f>IESS!E51</f>
        <v>1732961.2144291729</v>
      </c>
      <c r="F6" s="4">
        <f>IESS!F51</f>
        <v>1774302.9291322213</v>
      </c>
      <c r="G6" s="4">
        <f>IESS!G51</f>
        <v>1539851.4211733097</v>
      </c>
      <c r="H6" s="4">
        <f>IESS!H51</f>
        <v>1536729.3530521572</v>
      </c>
    </row>
    <row r="7" spans="1:8" x14ac:dyDescent="0.25">
      <c r="A7" s="20" t="s">
        <v>25</v>
      </c>
      <c r="B7" s="4">
        <f>IESS!B52</f>
        <v>1086361.1466131094</v>
      </c>
      <c r="C7" s="4">
        <f>IESS!C52</f>
        <v>1086361.1466131094</v>
      </c>
      <c r="D7" s="4">
        <f>IESS!D52</f>
        <v>1077232.0613474529</v>
      </c>
      <c r="E7" s="4">
        <f>IESS!E52</f>
        <v>1068102.9760817965</v>
      </c>
      <c r="F7" s="4">
        <f>IESS!F52</f>
        <v>1058973.8908161402</v>
      </c>
      <c r="G7" s="4">
        <f>IESS!G52</f>
        <v>1058973.8908161402</v>
      </c>
      <c r="H7" s="4">
        <f>IESS!H52</f>
        <v>1049844.8055504838</v>
      </c>
    </row>
    <row r="8" spans="1:8" x14ac:dyDescent="0.25">
      <c r="A8" s="20" t="s">
        <v>29</v>
      </c>
      <c r="B8" s="4">
        <f>IESS!B53</f>
        <v>1244476.9034142776</v>
      </c>
      <c r="C8" s="4">
        <f>IESS!C53</f>
        <v>1178747.4895015517</v>
      </c>
      <c r="D8" s="4">
        <f>IESS!D53</f>
        <v>1153916.3775789663</v>
      </c>
      <c r="E8" s="4">
        <f>IESS!E53</f>
        <v>1150264.7434727037</v>
      </c>
      <c r="F8" s="4">
        <f>IESS!F53</f>
        <v>1139309.8411539162</v>
      </c>
      <c r="G8" s="4">
        <f>IESS!G53</f>
        <v>1137484.0241007847</v>
      </c>
      <c r="H8" s="4">
        <f>IESS!H53</f>
        <v>1135658.2070476536</v>
      </c>
    </row>
    <row r="9" spans="1:8" x14ac:dyDescent="0.25">
      <c r="A9" s="20" t="s">
        <v>27</v>
      </c>
      <c r="B9" s="4">
        <f>IESS!B54</f>
        <v>2358590.4692349825</v>
      </c>
      <c r="C9" s="4">
        <f>IESS!C54</f>
        <v>2490356.0343253608</v>
      </c>
      <c r="D9" s="4">
        <f>IESS!D54</f>
        <v>2660733.6863246309</v>
      </c>
      <c r="E9" s="4">
        <f>IESS!E54</f>
        <v>2858227.6136571118</v>
      </c>
      <c r="F9" s="4">
        <f>IESS!F54</f>
        <v>2802955.4515245571</v>
      </c>
      <c r="G9" s="4">
        <f>IESS!G54</f>
        <v>2760948.6083038161</v>
      </c>
      <c r="H9" s="4">
        <f>IESS!H54</f>
        <v>2730703.6811848823</v>
      </c>
    </row>
    <row r="10" spans="1:8" x14ac:dyDescent="0.25">
      <c r="A10" s="20" t="s">
        <v>21</v>
      </c>
      <c r="B10" s="4">
        <f>IESS!B55</f>
        <v>821617.67390907416</v>
      </c>
      <c r="C10" s="4">
        <f>IESS!C55</f>
        <v>821617.67390907416</v>
      </c>
      <c r="D10" s="4">
        <f>IESS!D55</f>
        <v>821617.67390907416</v>
      </c>
      <c r="E10" s="4">
        <f>IESS!E55</f>
        <v>821617.67390907416</v>
      </c>
      <c r="F10" s="4">
        <f>IESS!F55</f>
        <v>821617.67390907416</v>
      </c>
      <c r="G10" s="4">
        <f>IESS!G55</f>
        <v>821617.67390907416</v>
      </c>
      <c r="H10" s="4">
        <f>IESS!H55</f>
        <v>821617.67390907416</v>
      </c>
    </row>
    <row r="11" spans="1:8" x14ac:dyDescent="0.25">
      <c r="A11" s="20" t="s">
        <v>22</v>
      </c>
      <c r="B11" s="4">
        <f>Geothermal!$A$2</f>
        <v>5020996.8961110096</v>
      </c>
      <c r="C11" s="4">
        <f>Geothermal!$A$2</f>
        <v>5020996.8961110096</v>
      </c>
      <c r="D11" s="4">
        <f>Geothermal!$A$2</f>
        <v>5020996.8961110096</v>
      </c>
      <c r="E11" s="4">
        <f>Geothermal!$A$2</f>
        <v>5020996.8961110096</v>
      </c>
      <c r="F11" s="4">
        <f>Geothermal!$A$2</f>
        <v>5020996.8961110096</v>
      </c>
      <c r="G11" s="4">
        <f>Geothermal!$A$2</f>
        <v>5020996.8961110096</v>
      </c>
      <c r="H11" s="4">
        <f>Geothermal!$A$2</f>
        <v>5020996.8961110096</v>
      </c>
    </row>
    <row r="12" spans="1:8" x14ac:dyDescent="0.25">
      <c r="A12" s="20" t="s">
        <v>76</v>
      </c>
      <c r="B12" s="4"/>
      <c r="C12" s="4"/>
      <c r="D12" s="4"/>
      <c r="E12" s="4"/>
      <c r="F12" s="4"/>
      <c r="G12" s="4"/>
      <c r="H12" s="4"/>
    </row>
    <row r="13" spans="1:8" x14ac:dyDescent="0.25">
      <c r="A13" s="20" t="s">
        <v>19</v>
      </c>
      <c r="B13" s="4"/>
      <c r="C13" s="4"/>
      <c r="D13" s="4"/>
      <c r="E13" s="4"/>
      <c r="F13" s="4"/>
      <c r="G13" s="4"/>
      <c r="H13" s="4"/>
    </row>
    <row r="14" spans="1:8" x14ac:dyDescent="0.25">
      <c r="A14" s="20" t="s">
        <v>77</v>
      </c>
      <c r="B14" s="4"/>
      <c r="C14" s="4"/>
      <c r="D14" s="4"/>
      <c r="E14" s="4"/>
      <c r="F14" s="4"/>
      <c r="G14" s="4"/>
      <c r="H14" s="4"/>
    </row>
    <row r="15" spans="1:8" x14ac:dyDescent="0.25">
      <c r="A15" s="20" t="s">
        <v>26</v>
      </c>
      <c r="B15" s="4">
        <f>IESS!B60</f>
        <v>2875661.8586817603</v>
      </c>
      <c r="C15" s="4">
        <f>IESS!C60</f>
        <v>2693080.1533686323</v>
      </c>
      <c r="D15" s="4">
        <f>IESS!D60</f>
        <v>2583531.1301807556</v>
      </c>
      <c r="E15" s="4">
        <f>IESS!E60</f>
        <v>2537885.7038524733</v>
      </c>
      <c r="F15" s="4">
        <f>IESS!F60</f>
        <v>2510498.4480555048</v>
      </c>
      <c r="G15" s="4">
        <f>IESS!G60</f>
        <v>2492240.2775241924</v>
      </c>
      <c r="H15" s="4">
        <f>IESS!H60</f>
        <v>2483111.1922585354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2" sqref="F2"/>
    </sheetView>
  </sheetViews>
  <sheetFormatPr defaultRowHeight="15" x14ac:dyDescent="0.25"/>
  <cols>
    <col min="1" max="1" width="12.85546875" bestFit="1" customWidth="1"/>
    <col min="2" max="2" width="11.42578125" customWidth="1"/>
    <col min="3" max="3" width="9.7109375" bestFit="1" customWidth="1"/>
    <col min="4" max="4" width="18.7109375" bestFit="1" customWidth="1"/>
    <col min="5" max="5" width="18.28515625" bestFit="1" customWidth="1"/>
    <col min="6" max="6" width="12" bestFit="1" customWidth="1"/>
    <col min="7" max="7" width="16" bestFit="1" customWidth="1"/>
    <col min="8" max="8" width="12" bestFit="1" customWidth="1"/>
  </cols>
  <sheetData>
    <row r="1" spans="1:9" x14ac:dyDescent="0.25">
      <c r="A1" t="s">
        <v>103</v>
      </c>
      <c r="B1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</row>
    <row r="2" spans="1:9" x14ac:dyDescent="0.25">
      <c r="A2" t="s">
        <v>92</v>
      </c>
      <c r="B2" t="s">
        <v>112</v>
      </c>
      <c r="C2">
        <v>12</v>
      </c>
      <c r="D2" t="s">
        <v>111</v>
      </c>
      <c r="E2">
        <v>2016</v>
      </c>
      <c r="F2" s="4">
        <f>C2*'Conversion Factors'!A19/'Conversion Factors'!C34/'Conversion Factors'!B6</f>
        <v>1744894.3304591603</v>
      </c>
      <c r="G2" s="20" t="s">
        <v>102</v>
      </c>
      <c r="H2" s="20" t="s">
        <v>42</v>
      </c>
      <c r="I2" t="s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5" x14ac:dyDescent="0.25"/>
  <cols>
    <col min="1" max="2" width="20.7109375" style="43" customWidth="1"/>
    <col min="3" max="3" width="21" style="43" customWidth="1"/>
    <col min="4" max="8" width="20.7109375" style="43" customWidth="1"/>
  </cols>
  <sheetData>
    <row r="1" spans="1:8" x14ac:dyDescent="0.25">
      <c r="A1" s="22"/>
      <c r="B1" s="22"/>
      <c r="C1" s="23" t="s">
        <v>31</v>
      </c>
      <c r="D1" s="23" t="s">
        <v>31</v>
      </c>
      <c r="E1" s="23" t="s">
        <v>31</v>
      </c>
      <c r="F1" s="23" t="s">
        <v>32</v>
      </c>
      <c r="G1" s="23" t="s">
        <v>32</v>
      </c>
      <c r="H1" s="23" t="s">
        <v>32</v>
      </c>
    </row>
    <row r="2" spans="1:8" ht="45" x14ac:dyDescent="0.25">
      <c r="A2" s="24" t="s">
        <v>33</v>
      </c>
      <c r="B2" s="92" t="s">
        <v>34</v>
      </c>
      <c r="C2" s="94" t="s">
        <v>35</v>
      </c>
      <c r="D2" s="94" t="s">
        <v>36</v>
      </c>
      <c r="E2" s="94" t="s">
        <v>37</v>
      </c>
      <c r="F2" s="96" t="s">
        <v>38</v>
      </c>
      <c r="G2" s="96" t="s">
        <v>39</v>
      </c>
      <c r="H2" s="90" t="s">
        <v>40</v>
      </c>
    </row>
    <row r="3" spans="1:8" ht="30" x14ac:dyDescent="0.25">
      <c r="A3" s="23" t="s">
        <v>41</v>
      </c>
      <c r="B3" s="93"/>
      <c r="C3" s="95"/>
      <c r="D3" s="95"/>
      <c r="E3" s="95"/>
      <c r="F3" s="97"/>
      <c r="G3" s="97"/>
      <c r="H3" s="91"/>
    </row>
    <row r="4" spans="1:8" x14ac:dyDescent="0.25">
      <c r="A4" s="23" t="s">
        <v>42</v>
      </c>
      <c r="B4" s="25">
        <v>1000</v>
      </c>
      <c r="C4" s="22"/>
      <c r="D4" s="22"/>
      <c r="E4" s="22"/>
      <c r="F4" s="22"/>
      <c r="G4" s="22"/>
      <c r="H4" s="22"/>
    </row>
    <row r="5" spans="1:8" ht="28.5" x14ac:dyDescent="0.25">
      <c r="A5" s="26" t="s">
        <v>43</v>
      </c>
      <c r="B5" s="25">
        <v>1000</v>
      </c>
      <c r="C5" s="27">
        <v>2217840</v>
      </c>
      <c r="D5" s="27">
        <v>2461143</v>
      </c>
      <c r="E5" s="27">
        <v>2090180</v>
      </c>
      <c r="F5" s="27">
        <v>2800491</v>
      </c>
      <c r="G5" s="27">
        <v>3433006</v>
      </c>
      <c r="H5" s="27">
        <v>2848907</v>
      </c>
    </row>
    <row r="6" spans="1:8" ht="28.5" x14ac:dyDescent="0.25">
      <c r="A6" s="28" t="s">
        <v>44</v>
      </c>
      <c r="B6" s="28" t="s">
        <v>45</v>
      </c>
      <c r="C6" s="29">
        <v>3641</v>
      </c>
      <c r="D6" s="29">
        <v>4076</v>
      </c>
      <c r="E6" s="29">
        <v>3393</v>
      </c>
      <c r="F6" s="29">
        <v>4589</v>
      </c>
      <c r="G6" s="29">
        <v>5763</v>
      </c>
      <c r="H6" s="29">
        <v>4652</v>
      </c>
    </row>
    <row r="7" spans="1:8" x14ac:dyDescent="0.25">
      <c r="A7" s="30" t="s">
        <v>46</v>
      </c>
      <c r="B7" s="31"/>
      <c r="C7" s="31"/>
      <c r="D7" s="31"/>
      <c r="E7" s="31"/>
      <c r="F7" s="31"/>
      <c r="G7" s="31"/>
      <c r="H7" s="31"/>
    </row>
    <row r="8" spans="1:8" ht="28.5" x14ac:dyDescent="0.25">
      <c r="A8" s="32" t="s">
        <v>47</v>
      </c>
      <c r="B8" s="33">
        <v>1000</v>
      </c>
      <c r="C8" s="34">
        <v>2217840</v>
      </c>
      <c r="D8" s="34">
        <v>2461143</v>
      </c>
      <c r="E8" s="34">
        <v>2090180</v>
      </c>
      <c r="F8" s="34">
        <v>2800491</v>
      </c>
      <c r="G8" s="34">
        <v>3433006</v>
      </c>
      <c r="H8" s="34">
        <v>2848907</v>
      </c>
    </row>
    <row r="9" spans="1:8" x14ac:dyDescent="0.25">
      <c r="A9" s="35" t="s">
        <v>48</v>
      </c>
      <c r="B9" s="31"/>
      <c r="C9" s="31"/>
      <c r="D9" s="31"/>
      <c r="E9" s="31"/>
      <c r="F9" s="31"/>
      <c r="G9" s="31"/>
      <c r="H9" s="31"/>
    </row>
    <row r="10" spans="1:8" x14ac:dyDescent="0.25">
      <c r="A10" s="32" t="s">
        <v>49</v>
      </c>
      <c r="B10" s="33">
        <v>1000</v>
      </c>
      <c r="C10" s="36">
        <v>16571</v>
      </c>
      <c r="D10" s="34">
        <v>16571</v>
      </c>
      <c r="E10" s="34">
        <v>16571</v>
      </c>
      <c r="F10" s="36">
        <v>29871</v>
      </c>
      <c r="G10" s="36">
        <v>34299</v>
      </c>
      <c r="H10" s="36">
        <v>30210</v>
      </c>
    </row>
    <row r="11" spans="1:8" ht="30" x14ac:dyDescent="0.25">
      <c r="A11" s="35" t="s">
        <v>50</v>
      </c>
      <c r="B11" s="31"/>
      <c r="C11" s="31"/>
      <c r="D11" s="31"/>
      <c r="E11" s="31"/>
      <c r="F11" s="31"/>
      <c r="G11" s="31"/>
      <c r="H11" s="31"/>
    </row>
    <row r="12" spans="1:8" x14ac:dyDescent="0.25">
      <c r="A12" s="32" t="s">
        <v>51</v>
      </c>
      <c r="B12" s="33">
        <v>1000</v>
      </c>
      <c r="C12" s="36">
        <v>2455</v>
      </c>
      <c r="D12" s="36">
        <v>1276</v>
      </c>
      <c r="E12" s="37">
        <v>0</v>
      </c>
      <c r="F12" s="37">
        <v>0</v>
      </c>
      <c r="G12" s="37">
        <v>0</v>
      </c>
      <c r="H12" s="37">
        <v>0</v>
      </c>
    </row>
    <row r="13" spans="1:8" ht="42.75" x14ac:dyDescent="0.25">
      <c r="A13" s="32" t="s">
        <v>52</v>
      </c>
      <c r="B13" s="33">
        <v>1000</v>
      </c>
      <c r="C13" s="37">
        <v>0</v>
      </c>
      <c r="D13" s="37">
        <v>0</v>
      </c>
      <c r="E13" s="36">
        <v>1174</v>
      </c>
      <c r="F13" s="36">
        <v>1593</v>
      </c>
      <c r="G13" s="36">
        <v>1415</v>
      </c>
      <c r="H13" s="36">
        <v>1340</v>
      </c>
    </row>
    <row r="14" spans="1:8" x14ac:dyDescent="0.25">
      <c r="A14" s="32" t="s">
        <v>53</v>
      </c>
      <c r="B14" s="33">
        <v>1000</v>
      </c>
      <c r="C14" s="37">
        <v>0</v>
      </c>
      <c r="D14" s="36">
        <v>1751</v>
      </c>
      <c r="E14" s="36">
        <v>1593</v>
      </c>
      <c r="F14" s="37">
        <v>296</v>
      </c>
      <c r="G14" s="36">
        <v>1068</v>
      </c>
      <c r="H14" s="37">
        <v>296</v>
      </c>
    </row>
    <row r="15" spans="1:8" x14ac:dyDescent="0.25">
      <c r="A15" s="32" t="s">
        <v>54</v>
      </c>
      <c r="B15" s="33">
        <v>1000</v>
      </c>
      <c r="C15" s="37">
        <v>440</v>
      </c>
      <c r="D15" s="37">
        <v>440</v>
      </c>
      <c r="E15" s="37">
        <v>440</v>
      </c>
      <c r="F15" s="37">
        <v>451</v>
      </c>
      <c r="G15" s="37">
        <v>407</v>
      </c>
      <c r="H15" s="37">
        <v>440</v>
      </c>
    </row>
    <row r="16" spans="1:8" ht="28.5" x14ac:dyDescent="0.25">
      <c r="A16" s="32" t="s">
        <v>55</v>
      </c>
      <c r="B16" s="33">
        <v>1000</v>
      </c>
      <c r="C16" s="37">
        <v>721</v>
      </c>
      <c r="D16" s="36">
        <v>2740</v>
      </c>
      <c r="E16" s="37">
        <v>473</v>
      </c>
      <c r="F16" s="37">
        <v>0</v>
      </c>
      <c r="G16" s="37">
        <v>0</v>
      </c>
      <c r="H16" s="37">
        <v>0</v>
      </c>
    </row>
    <row r="17" spans="1:8" ht="28.5" x14ac:dyDescent="0.25">
      <c r="A17" s="32" t="s">
        <v>56</v>
      </c>
      <c r="B17" s="33">
        <v>1000</v>
      </c>
      <c r="C17" s="36">
        <v>2877</v>
      </c>
      <c r="D17" s="34">
        <v>10954</v>
      </c>
      <c r="E17" s="36">
        <v>1884</v>
      </c>
      <c r="F17" s="37">
        <v>0</v>
      </c>
      <c r="G17" s="37">
        <v>0</v>
      </c>
      <c r="H17" s="37">
        <v>0</v>
      </c>
    </row>
    <row r="18" spans="1:8" ht="28.5" x14ac:dyDescent="0.25">
      <c r="A18" s="32" t="s">
        <v>57</v>
      </c>
      <c r="B18" s="33">
        <v>1000</v>
      </c>
      <c r="C18" s="36">
        <v>5051</v>
      </c>
      <c r="D18" s="36">
        <v>2635</v>
      </c>
      <c r="E18" s="37">
        <v>617</v>
      </c>
      <c r="F18" s="37">
        <v>0</v>
      </c>
      <c r="G18" s="37">
        <v>0</v>
      </c>
      <c r="H18" s="37">
        <v>0</v>
      </c>
    </row>
    <row r="19" spans="1:8" x14ac:dyDescent="0.25">
      <c r="A19" s="32" t="s">
        <v>58</v>
      </c>
      <c r="B19" s="33">
        <v>1000</v>
      </c>
      <c r="C19" s="37">
        <v>0</v>
      </c>
      <c r="D19" s="37">
        <v>16</v>
      </c>
      <c r="E19" s="37">
        <v>14</v>
      </c>
      <c r="F19" s="37">
        <v>24</v>
      </c>
      <c r="G19" s="37">
        <v>85</v>
      </c>
      <c r="H19" s="37">
        <v>24</v>
      </c>
    </row>
    <row r="20" spans="1:8" x14ac:dyDescent="0.25">
      <c r="A20" s="32" t="s">
        <v>59</v>
      </c>
      <c r="B20" s="33">
        <v>1000</v>
      </c>
      <c r="C20" s="37">
        <v>577</v>
      </c>
      <c r="D20" s="37">
        <v>609</v>
      </c>
      <c r="E20" s="37">
        <v>587</v>
      </c>
      <c r="F20" s="37">
        <v>186</v>
      </c>
      <c r="G20" s="37">
        <v>186</v>
      </c>
      <c r="H20" s="37">
        <v>186</v>
      </c>
    </row>
    <row r="21" spans="1:8" ht="28.5" x14ac:dyDescent="0.25">
      <c r="A21" s="32" t="s">
        <v>60</v>
      </c>
      <c r="B21" s="33">
        <v>1000</v>
      </c>
      <c r="C21" s="36">
        <v>1153</v>
      </c>
      <c r="D21" s="36">
        <v>1153</v>
      </c>
      <c r="E21" s="36">
        <v>1153</v>
      </c>
      <c r="F21" s="37">
        <v>399</v>
      </c>
      <c r="G21" s="37">
        <v>399</v>
      </c>
      <c r="H21" s="37">
        <v>399</v>
      </c>
    </row>
    <row r="22" spans="1:8" x14ac:dyDescent="0.25">
      <c r="A22" s="32" t="s">
        <v>61</v>
      </c>
      <c r="B22" s="33">
        <v>1000</v>
      </c>
      <c r="C22" s="37">
        <v>367</v>
      </c>
      <c r="D22" s="37">
        <v>415</v>
      </c>
      <c r="E22" s="37">
        <v>378</v>
      </c>
      <c r="F22" s="37">
        <v>33</v>
      </c>
      <c r="G22" s="37">
        <v>61</v>
      </c>
      <c r="H22" s="37">
        <v>42</v>
      </c>
    </row>
    <row r="23" spans="1:8" x14ac:dyDescent="0.25">
      <c r="A23" s="32" t="s">
        <v>62</v>
      </c>
      <c r="B23" s="33">
        <v>1000</v>
      </c>
      <c r="C23" s="36">
        <v>1080</v>
      </c>
      <c r="D23" s="37">
        <v>913</v>
      </c>
      <c r="E23" s="37">
        <v>880</v>
      </c>
      <c r="F23" s="37">
        <v>191</v>
      </c>
      <c r="G23" s="37">
        <v>189</v>
      </c>
      <c r="H23" s="37">
        <v>184</v>
      </c>
    </row>
    <row r="24" spans="1:8" x14ac:dyDescent="0.25">
      <c r="A24" s="32" t="s">
        <v>63</v>
      </c>
      <c r="B24" s="33">
        <v>1000</v>
      </c>
      <c r="C24" s="36">
        <v>3241</v>
      </c>
      <c r="D24" s="36">
        <v>3422</v>
      </c>
      <c r="E24" s="36">
        <v>3301</v>
      </c>
      <c r="F24" s="37">
        <v>431</v>
      </c>
      <c r="G24" s="37">
        <v>425</v>
      </c>
      <c r="H24" s="37">
        <v>414</v>
      </c>
    </row>
    <row r="25" spans="1:8" x14ac:dyDescent="0.25">
      <c r="A25" s="32" t="s">
        <v>64</v>
      </c>
      <c r="B25" s="33">
        <v>1000</v>
      </c>
      <c r="C25" s="36">
        <v>2401</v>
      </c>
      <c r="D25" s="36">
        <v>2380</v>
      </c>
      <c r="E25" s="36">
        <v>2428</v>
      </c>
      <c r="F25" s="36">
        <v>2272</v>
      </c>
      <c r="G25" s="36">
        <v>2218</v>
      </c>
      <c r="H25" s="36">
        <v>2280</v>
      </c>
    </row>
    <row r="26" spans="1:8" x14ac:dyDescent="0.25">
      <c r="A26" s="32" t="s">
        <v>65</v>
      </c>
      <c r="B26" s="33">
        <v>1000</v>
      </c>
      <c r="C26" s="38" t="s">
        <v>66</v>
      </c>
      <c r="D26" s="38" t="s">
        <v>66</v>
      </c>
      <c r="E26" s="38" t="s">
        <v>66</v>
      </c>
      <c r="F26" s="37">
        <v>555</v>
      </c>
      <c r="G26" s="37">
        <v>272</v>
      </c>
      <c r="H26" s="37">
        <v>65</v>
      </c>
    </row>
    <row r="27" spans="1:8" x14ac:dyDescent="0.25">
      <c r="A27" s="32" t="s">
        <v>67</v>
      </c>
      <c r="B27" s="33">
        <v>1000</v>
      </c>
      <c r="C27" s="36">
        <v>20364</v>
      </c>
      <c r="D27" s="34">
        <v>28705</v>
      </c>
      <c r="E27" s="34">
        <v>14924</v>
      </c>
      <c r="F27" s="36">
        <v>6430</v>
      </c>
      <c r="G27" s="36">
        <v>6725</v>
      </c>
      <c r="H27" s="36">
        <v>5668</v>
      </c>
    </row>
    <row r="28" spans="1:8" x14ac:dyDescent="0.25">
      <c r="A28" s="39" t="s">
        <v>68</v>
      </c>
      <c r="B28" s="39" t="s">
        <v>69</v>
      </c>
      <c r="C28" s="40">
        <v>3.73</v>
      </c>
      <c r="D28" s="40">
        <v>5.76</v>
      </c>
      <c r="E28" s="40">
        <v>3.07</v>
      </c>
      <c r="F28" s="40">
        <v>1.42</v>
      </c>
      <c r="G28" s="40">
        <v>1.52</v>
      </c>
      <c r="H28" s="40">
        <v>1.24</v>
      </c>
    </row>
    <row r="29" spans="1:8" ht="28.5" x14ac:dyDescent="0.25">
      <c r="A29" s="28" t="s">
        <v>70</v>
      </c>
      <c r="B29" s="41">
        <v>1000</v>
      </c>
      <c r="C29" s="29">
        <v>36935</v>
      </c>
      <c r="D29" s="42">
        <v>45276</v>
      </c>
      <c r="E29" s="42">
        <v>31495</v>
      </c>
      <c r="F29" s="29">
        <v>36301</v>
      </c>
      <c r="G29" s="29">
        <v>41023</v>
      </c>
      <c r="H29" s="29">
        <v>35878</v>
      </c>
    </row>
    <row r="30" spans="1:8" ht="28.5" x14ac:dyDescent="0.25">
      <c r="A30" s="39" t="s">
        <v>70</v>
      </c>
      <c r="B30" s="39" t="s">
        <v>69</v>
      </c>
      <c r="C30" s="40">
        <v>7.69</v>
      </c>
      <c r="D30" s="40">
        <v>9.51</v>
      </c>
      <c r="E30" s="40">
        <v>6.48</v>
      </c>
      <c r="F30" s="40">
        <v>7.99</v>
      </c>
      <c r="G30" s="40">
        <v>9.25</v>
      </c>
      <c r="H30" s="40">
        <v>7.87</v>
      </c>
    </row>
    <row r="32" spans="1:8" x14ac:dyDescent="0.25">
      <c r="B32" s="43" t="s">
        <v>71</v>
      </c>
    </row>
    <row r="33" spans="1:4" x14ac:dyDescent="0.25">
      <c r="A33" s="44" t="s">
        <v>72</v>
      </c>
      <c r="B33" s="45">
        <f>D6/AVERAGE(C6,E6)</f>
        <v>1.1589422803525733</v>
      </c>
      <c r="C33" s="45"/>
      <c r="D33" s="45"/>
    </row>
    <row r="34" spans="1:4" x14ac:dyDescent="0.25">
      <c r="A34" s="44" t="s">
        <v>68</v>
      </c>
      <c r="B34" s="45">
        <f>D28/(AVERAGE(C28,E28))</f>
        <v>1.6941176470588235</v>
      </c>
      <c r="C34" s="45"/>
      <c r="D34" s="45"/>
    </row>
    <row r="35" spans="1:4" x14ac:dyDescent="0.25">
      <c r="A35" s="44" t="s">
        <v>49</v>
      </c>
      <c r="B35" s="45">
        <f>D10/AVERAGE(E10,C10)</f>
        <v>1</v>
      </c>
      <c r="C35" s="45"/>
      <c r="D35" s="45"/>
    </row>
  </sheetData>
  <mergeCells count="7">
    <mergeCell ref="H2:H3"/>
    <mergeCell ref="B2:B3"/>
    <mergeCell ref="C2:C3"/>
    <mergeCell ref="D2:D3"/>
    <mergeCell ref="E2:E3"/>
    <mergeCell ref="F2:F3"/>
    <mergeCell ref="G2:G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A10" workbookViewId="0">
      <selection activeCell="C21" sqref="C21"/>
    </sheetView>
  </sheetViews>
  <sheetFormatPr defaultRowHeight="15" x14ac:dyDescent="0.25"/>
  <cols>
    <col min="2" max="2" width="12.7109375" customWidth="1"/>
    <col min="13" max="13" width="7.5703125" customWidth="1"/>
  </cols>
  <sheetData>
    <row r="1" spans="1:13" x14ac:dyDescent="0.25">
      <c r="A1" s="70" t="s">
        <v>140</v>
      </c>
      <c r="B1" s="71"/>
      <c r="C1" s="71"/>
      <c r="D1" s="71"/>
      <c r="E1" s="71"/>
      <c r="F1" s="71"/>
      <c r="G1" s="71"/>
    </row>
    <row r="2" spans="1:13" x14ac:dyDescent="0.25">
      <c r="A2" s="70" t="s">
        <v>182</v>
      </c>
      <c r="B2" s="71"/>
      <c r="C2" s="71"/>
      <c r="D2" s="71"/>
      <c r="E2" s="71"/>
      <c r="F2" s="71"/>
      <c r="G2" s="71"/>
    </row>
    <row r="3" spans="1:13" ht="15" customHeight="1" x14ac:dyDescent="0.25">
      <c r="A3" s="98" t="s">
        <v>141</v>
      </c>
      <c r="B3" s="98" t="s">
        <v>142</v>
      </c>
      <c r="C3" s="82" t="s">
        <v>143</v>
      </c>
      <c r="D3" s="79"/>
      <c r="E3" s="79"/>
      <c r="F3" s="79"/>
      <c r="G3" s="79"/>
      <c r="H3" s="79"/>
      <c r="I3" s="79"/>
      <c r="J3" s="79"/>
      <c r="K3" s="79"/>
      <c r="L3" s="79"/>
      <c r="M3" s="79"/>
    </row>
    <row r="4" spans="1:13" x14ac:dyDescent="0.25">
      <c r="A4" s="98"/>
      <c r="B4" s="98"/>
      <c r="C4" s="78">
        <v>2017</v>
      </c>
      <c r="D4" s="78">
        <v>2018</v>
      </c>
      <c r="E4" s="78">
        <v>2019</v>
      </c>
      <c r="F4" s="78">
        <v>2020</v>
      </c>
      <c r="G4" s="78">
        <v>2021</v>
      </c>
      <c r="H4" s="78">
        <v>2022</v>
      </c>
      <c r="I4" s="78">
        <v>2023</v>
      </c>
      <c r="J4" s="78">
        <v>2024</v>
      </c>
      <c r="K4" s="78">
        <v>2025</v>
      </c>
      <c r="L4" s="78">
        <v>2026</v>
      </c>
      <c r="M4" s="80">
        <v>2027</v>
      </c>
    </row>
    <row r="5" spans="1:13" x14ac:dyDescent="0.25">
      <c r="A5" s="72">
        <v>1</v>
      </c>
      <c r="B5" s="73" t="s">
        <v>144</v>
      </c>
      <c r="C5" s="74">
        <v>6.5</v>
      </c>
      <c r="D5" s="75">
        <v>6.76</v>
      </c>
      <c r="E5" s="75">
        <v>7.03</v>
      </c>
      <c r="F5" s="75">
        <v>7.31</v>
      </c>
      <c r="G5" s="75">
        <v>7.6</v>
      </c>
      <c r="H5" s="74">
        <v>7.9</v>
      </c>
      <c r="I5" s="74">
        <v>8.1999999999999993</v>
      </c>
      <c r="J5" s="74">
        <v>8.5</v>
      </c>
      <c r="K5" s="74">
        <v>8.9</v>
      </c>
      <c r="L5" s="75">
        <v>9.25</v>
      </c>
      <c r="M5" s="81">
        <f>(($L5-$C5)/COUNT($D$4:$L$4))+L5</f>
        <v>9.5555555555555554</v>
      </c>
    </row>
    <row r="6" spans="1:13" x14ac:dyDescent="0.25">
      <c r="A6" s="72">
        <v>2</v>
      </c>
      <c r="B6" s="73" t="s">
        <v>145</v>
      </c>
      <c r="C6" s="72">
        <v>10</v>
      </c>
      <c r="D6" s="74">
        <v>10.4</v>
      </c>
      <c r="E6" s="74">
        <v>10.8</v>
      </c>
      <c r="F6" s="74">
        <v>11.2</v>
      </c>
      <c r="G6" s="74">
        <v>11.7</v>
      </c>
      <c r="H6" s="74">
        <v>12.2</v>
      </c>
      <c r="I6" s="74">
        <v>12.7</v>
      </c>
      <c r="J6" s="74">
        <v>13.2</v>
      </c>
      <c r="K6" s="74">
        <v>13.7</v>
      </c>
      <c r="L6" s="74">
        <v>14.2</v>
      </c>
      <c r="M6" s="81">
        <f t="shared" ref="M6:M12" si="0">(($L6-$C6)/COUNT($D$4:$L$4))+L6</f>
        <v>14.666666666666666</v>
      </c>
    </row>
    <row r="7" spans="1:13" x14ac:dyDescent="0.25">
      <c r="A7" s="72">
        <v>3</v>
      </c>
      <c r="B7" s="73" t="s">
        <v>146</v>
      </c>
      <c r="C7" s="74">
        <v>5.5</v>
      </c>
      <c r="D7" s="74">
        <v>5.5</v>
      </c>
      <c r="E7" s="74">
        <v>5.5</v>
      </c>
      <c r="F7" s="74">
        <v>5.5</v>
      </c>
      <c r="G7" s="74">
        <v>5.5</v>
      </c>
      <c r="H7" s="74">
        <v>5.5</v>
      </c>
      <c r="I7" s="74">
        <v>5.5</v>
      </c>
      <c r="J7" s="74">
        <v>5.5</v>
      </c>
      <c r="K7" s="74">
        <v>5.5</v>
      </c>
      <c r="L7" s="74">
        <v>5.5</v>
      </c>
      <c r="M7" s="81">
        <f t="shared" si="0"/>
        <v>5.5</v>
      </c>
    </row>
    <row r="8" spans="1:13" x14ac:dyDescent="0.25">
      <c r="A8" s="72">
        <v>4</v>
      </c>
      <c r="B8" s="73" t="s">
        <v>147</v>
      </c>
      <c r="C8" s="72">
        <v>6</v>
      </c>
      <c r="D8" s="72">
        <v>6</v>
      </c>
      <c r="E8" s="72">
        <v>6</v>
      </c>
      <c r="F8" s="72">
        <v>6</v>
      </c>
      <c r="G8" s="72">
        <v>6</v>
      </c>
      <c r="H8" s="72">
        <v>6</v>
      </c>
      <c r="I8" s="72">
        <v>6</v>
      </c>
      <c r="J8" s="72">
        <v>6</v>
      </c>
      <c r="K8" s="72">
        <v>6</v>
      </c>
      <c r="L8" s="72">
        <v>6</v>
      </c>
      <c r="M8" s="81">
        <f t="shared" si="0"/>
        <v>6</v>
      </c>
    </row>
    <row r="9" spans="1:13" x14ac:dyDescent="0.25">
      <c r="A9" s="72">
        <v>5</v>
      </c>
      <c r="B9" s="73" t="s">
        <v>148</v>
      </c>
      <c r="C9" s="74">
        <v>5.7</v>
      </c>
      <c r="D9" s="74">
        <v>5.7</v>
      </c>
      <c r="E9" s="74">
        <v>5.7</v>
      </c>
      <c r="F9" s="74">
        <v>5.7</v>
      </c>
      <c r="G9" s="74">
        <v>5.7</v>
      </c>
      <c r="H9" s="74">
        <v>5.7</v>
      </c>
      <c r="I9" s="74">
        <v>5.7</v>
      </c>
      <c r="J9" s="74">
        <v>5.7</v>
      </c>
      <c r="K9" s="74">
        <v>5.7</v>
      </c>
      <c r="L9" s="74">
        <v>5.7</v>
      </c>
      <c r="M9" s="81">
        <f t="shared" si="0"/>
        <v>5.7</v>
      </c>
    </row>
    <row r="10" spans="1:13" x14ac:dyDescent="0.25">
      <c r="A10" s="72">
        <v>6</v>
      </c>
      <c r="B10" s="73" t="s">
        <v>149</v>
      </c>
      <c r="C10" s="74">
        <v>6.5</v>
      </c>
      <c r="D10" s="75">
        <v>6.76</v>
      </c>
      <c r="E10" s="75">
        <v>7.03</v>
      </c>
      <c r="F10" s="75">
        <v>7.31</v>
      </c>
      <c r="G10" s="75">
        <v>7.6</v>
      </c>
      <c r="H10" s="74">
        <v>7.9</v>
      </c>
      <c r="I10" s="74">
        <v>8.1999999999999993</v>
      </c>
      <c r="J10" s="74">
        <v>8.5</v>
      </c>
      <c r="K10" s="74">
        <v>8.9</v>
      </c>
      <c r="L10" s="75">
        <v>9.25</v>
      </c>
      <c r="M10" s="81">
        <f t="shared" si="0"/>
        <v>9.5555555555555554</v>
      </c>
    </row>
    <row r="11" spans="1:13" ht="25.5" x14ac:dyDescent="0.25">
      <c r="A11" s="72">
        <v>7</v>
      </c>
      <c r="B11" s="76" t="s">
        <v>150</v>
      </c>
      <c r="C11" s="72">
        <v>10</v>
      </c>
      <c r="D11" s="74">
        <v>10.4</v>
      </c>
      <c r="E11" s="74">
        <v>10.8</v>
      </c>
      <c r="F11" s="74">
        <v>11.2</v>
      </c>
      <c r="G11" s="74">
        <v>11.7</v>
      </c>
      <c r="H11" s="74">
        <v>12.2</v>
      </c>
      <c r="I11" s="74">
        <v>12.7</v>
      </c>
      <c r="J11" s="74">
        <v>13.2</v>
      </c>
      <c r="K11" s="74">
        <v>13.7</v>
      </c>
      <c r="L11" s="74">
        <v>14.2</v>
      </c>
      <c r="M11" s="81">
        <f t="shared" si="0"/>
        <v>14.666666666666666</v>
      </c>
    </row>
    <row r="12" spans="1:13" ht="25.5" x14ac:dyDescent="0.25">
      <c r="A12" s="72">
        <v>8</v>
      </c>
      <c r="B12" s="76" t="s">
        <v>151</v>
      </c>
      <c r="C12" s="77"/>
      <c r="D12" s="77"/>
      <c r="E12" s="77"/>
      <c r="F12" s="77"/>
      <c r="G12" s="77"/>
      <c r="H12" s="74">
        <v>20</v>
      </c>
      <c r="I12" s="74">
        <v>20.8</v>
      </c>
      <c r="J12" s="74">
        <v>21.6</v>
      </c>
      <c r="K12" s="74">
        <v>22.5</v>
      </c>
      <c r="L12" s="74">
        <v>23.4</v>
      </c>
      <c r="M12" s="81">
        <f t="shared" si="0"/>
        <v>26</v>
      </c>
    </row>
    <row r="13" spans="1:13" ht="15" customHeight="1" x14ac:dyDescent="0.25"/>
    <row r="14" spans="1:13" x14ac:dyDescent="0.25">
      <c r="A14" s="70" t="s">
        <v>140</v>
      </c>
      <c r="B14" s="71"/>
      <c r="C14" s="71"/>
      <c r="D14" s="71"/>
      <c r="E14" s="71"/>
      <c r="F14" s="71"/>
      <c r="G14" s="71"/>
      <c r="H14" s="20"/>
      <c r="I14" s="20"/>
      <c r="J14" s="20"/>
      <c r="K14" s="20"/>
      <c r="L14" s="20"/>
      <c r="M14" s="20"/>
    </row>
    <row r="15" spans="1:13" x14ac:dyDescent="0.25">
      <c r="A15" s="70" t="s">
        <v>182</v>
      </c>
      <c r="B15" s="71"/>
      <c r="C15" s="71"/>
      <c r="D15" s="71"/>
      <c r="E15" s="71"/>
      <c r="F15" s="71"/>
      <c r="G15" s="71"/>
      <c r="H15" s="20"/>
      <c r="I15" s="20"/>
      <c r="J15" s="20"/>
      <c r="K15" s="20"/>
      <c r="L15" s="20"/>
      <c r="M15" s="20"/>
    </row>
    <row r="16" spans="1:13" x14ac:dyDescent="0.25">
      <c r="A16" s="98" t="s">
        <v>141</v>
      </c>
      <c r="B16" s="98" t="s">
        <v>142</v>
      </c>
      <c r="C16" s="82" t="s">
        <v>152</v>
      </c>
      <c r="D16" s="79"/>
      <c r="E16" s="79"/>
      <c r="F16" s="79"/>
      <c r="G16" s="79"/>
      <c r="H16" s="79"/>
      <c r="I16" s="79"/>
      <c r="J16" s="79"/>
      <c r="K16" s="79"/>
      <c r="L16" s="79"/>
      <c r="M16" s="79"/>
    </row>
    <row r="17" spans="1:13" x14ac:dyDescent="0.25">
      <c r="A17" s="98"/>
      <c r="B17" s="98"/>
      <c r="C17" s="78">
        <v>2017</v>
      </c>
      <c r="D17" s="78">
        <v>2018</v>
      </c>
      <c r="E17" s="78">
        <v>2019</v>
      </c>
      <c r="F17" s="78">
        <v>2020</v>
      </c>
      <c r="G17" s="78">
        <v>2021</v>
      </c>
      <c r="H17" s="78">
        <v>2022</v>
      </c>
      <c r="I17" s="78">
        <v>2023</v>
      </c>
      <c r="J17" s="78">
        <v>2024</v>
      </c>
      <c r="K17" s="78">
        <v>2025</v>
      </c>
      <c r="L17" s="78">
        <v>2026</v>
      </c>
      <c r="M17" s="80">
        <v>2027</v>
      </c>
    </row>
    <row r="18" spans="1:13" x14ac:dyDescent="0.25">
      <c r="A18" s="72">
        <v>1</v>
      </c>
      <c r="B18" s="73" t="s">
        <v>153</v>
      </c>
      <c r="C18" s="72">
        <f>C5/'Conversion Factors'!$C$35*'Conversion Factors'!$A$19/'Conversion Factors'!$B$6</f>
        <v>908799.13044747908</v>
      </c>
      <c r="D18" s="72">
        <f>D5/'Conversion Factors'!$C$35*'Conversion Factors'!$A$19/'Conversion Factors'!$B$6</f>
        <v>945151.09566537838</v>
      </c>
      <c r="E18" s="72">
        <f>E5/'Conversion Factors'!$C$35*'Conversion Factors'!$A$19/'Conversion Factors'!$B$6</f>
        <v>982901.21339165827</v>
      </c>
      <c r="F18" s="72">
        <f>F5/'Conversion Factors'!$C$35*'Conversion Factors'!$A$19/'Conversion Factors'!$B$6</f>
        <v>1022049.483626319</v>
      </c>
      <c r="G18" s="72">
        <f>G5/'Conversion Factors'!$C$35*'Conversion Factors'!$A$19/'Conversion Factors'!$B$6</f>
        <v>1062595.9063693604</v>
      </c>
      <c r="H18" s="72">
        <f>H5/'Conversion Factors'!$C$35*'Conversion Factors'!$A$19/'Conversion Factors'!$B$6</f>
        <v>1104540.4816207823</v>
      </c>
      <c r="I18" s="72">
        <f>I5/'Conversion Factors'!$C$35*'Conversion Factors'!$A$19/'Conversion Factors'!$B$6</f>
        <v>1146485.0568722044</v>
      </c>
      <c r="J18" s="72">
        <f>J5/'Conversion Factors'!$C$35*'Conversion Factors'!$A$19/'Conversion Factors'!$B$6</f>
        <v>1188429.6321236268</v>
      </c>
      <c r="K18" s="72">
        <f>K5/'Conversion Factors'!$C$35*'Conversion Factors'!$A$19/'Conversion Factors'!$B$6</f>
        <v>1244355.7324588562</v>
      </c>
      <c r="L18" s="72">
        <f>L5/'Conversion Factors'!$C$35*'Conversion Factors'!$A$19/'Conversion Factors'!$B$6</f>
        <v>1293291.0702521817</v>
      </c>
      <c r="M18" s="72">
        <f>M5/'Conversion Factors'!$C$35*'Conversion Factors'!$A$19/'Conversion Factors'!$B$6</f>
        <v>1336012.3968971488</v>
      </c>
    </row>
    <row r="19" spans="1:13" x14ac:dyDescent="0.25">
      <c r="A19" s="72">
        <v>2</v>
      </c>
      <c r="B19" s="73" t="s">
        <v>145</v>
      </c>
      <c r="C19" s="72">
        <f>C6/'Conversion Factors'!$C$35*'Conversion Factors'!$A$19/'Conversion Factors'!$B$6</f>
        <v>1398152.5083807372</v>
      </c>
      <c r="D19" s="72">
        <f>D6/'Conversion Factors'!$C$35*'Conversion Factors'!$A$19/'Conversion Factors'!$B$6</f>
        <v>1454078.6087159668</v>
      </c>
      <c r="E19" s="72">
        <f>E6/'Conversion Factors'!$C$35*'Conversion Factors'!$A$19/'Conversion Factors'!$B$6</f>
        <v>1510004.7090511965</v>
      </c>
      <c r="F19" s="72">
        <f>F6/'Conversion Factors'!$C$35*'Conversion Factors'!$A$19/'Conversion Factors'!$B$6</f>
        <v>1565930.8093864257</v>
      </c>
      <c r="G19" s="72">
        <f>G6/'Conversion Factors'!$C$35*'Conversion Factors'!$A$19/'Conversion Factors'!$B$6</f>
        <v>1635838.4348054626</v>
      </c>
      <c r="H19" s="72">
        <f>H6/'Conversion Factors'!$C$35*'Conversion Factors'!$A$19/'Conversion Factors'!$B$6</f>
        <v>1705746.0602244993</v>
      </c>
      <c r="I19" s="72">
        <f>I6/'Conversion Factors'!$C$35*'Conversion Factors'!$A$19/'Conversion Factors'!$B$6</f>
        <v>1775653.6856435363</v>
      </c>
      <c r="J19" s="72">
        <f>J6/'Conversion Factors'!$C$35*'Conversion Factors'!$A$19/'Conversion Factors'!$B$6</f>
        <v>1845561.3110625728</v>
      </c>
      <c r="K19" s="72">
        <f>K6/'Conversion Factors'!$C$35*'Conversion Factors'!$A$19/'Conversion Factors'!$B$6</f>
        <v>1915468.9364816097</v>
      </c>
      <c r="L19" s="72">
        <f>L6/'Conversion Factors'!$C$35*'Conversion Factors'!$A$19/'Conversion Factors'!$B$6</f>
        <v>1985376.5619006469</v>
      </c>
      <c r="M19" s="72">
        <f>M6/'Conversion Factors'!$C$35*'Conversion Factors'!$A$19/'Conversion Factors'!$B$6</f>
        <v>2050623.6789584146</v>
      </c>
    </row>
    <row r="20" spans="1:13" x14ac:dyDescent="0.25">
      <c r="A20" s="72">
        <v>3</v>
      </c>
      <c r="B20" s="73" t="s">
        <v>146</v>
      </c>
      <c r="C20" s="72">
        <f>C7/'Conversion Factors'!$C$35*'Conversion Factors'!$A$19/'Conversion Factors'!$B$6</f>
        <v>768983.87960940553</v>
      </c>
      <c r="D20" s="72">
        <f>D7/'Conversion Factors'!$C$35*'Conversion Factors'!$A$19/'Conversion Factors'!$B$6</f>
        <v>768983.87960940553</v>
      </c>
      <c r="E20" s="72">
        <f>E7/'Conversion Factors'!$C$35*'Conversion Factors'!$A$19/'Conversion Factors'!$B$6</f>
        <v>768983.87960940553</v>
      </c>
      <c r="F20" s="72">
        <f>F7/'Conversion Factors'!$C$35*'Conversion Factors'!$A$19/'Conversion Factors'!$B$6</f>
        <v>768983.87960940553</v>
      </c>
      <c r="G20" s="72">
        <f>G7/'Conversion Factors'!$C$35*'Conversion Factors'!$A$19/'Conversion Factors'!$B$6</f>
        <v>768983.87960940553</v>
      </c>
      <c r="H20" s="72">
        <f>H7/'Conversion Factors'!$C$35*'Conversion Factors'!$A$19/'Conversion Factors'!$B$6</f>
        <v>768983.87960940553</v>
      </c>
      <c r="I20" s="72">
        <f>I7/'Conversion Factors'!$C$35*'Conversion Factors'!$A$19/'Conversion Factors'!$B$6</f>
        <v>768983.87960940553</v>
      </c>
      <c r="J20" s="72">
        <f>J7/'Conversion Factors'!$C$35*'Conversion Factors'!$A$19/'Conversion Factors'!$B$6</f>
        <v>768983.87960940553</v>
      </c>
      <c r="K20" s="72">
        <f>K7/'Conversion Factors'!$C$35*'Conversion Factors'!$A$19/'Conversion Factors'!$B$6</f>
        <v>768983.87960940553</v>
      </c>
      <c r="L20" s="72">
        <f>L7/'Conversion Factors'!$C$35*'Conversion Factors'!$A$19/'Conversion Factors'!$B$6</f>
        <v>768983.87960940553</v>
      </c>
      <c r="M20" s="72">
        <f>M7/'Conversion Factors'!$C$35*'Conversion Factors'!$A$19/'Conversion Factors'!$B$6</f>
        <v>768983.87960940553</v>
      </c>
    </row>
    <row r="21" spans="1:13" x14ac:dyDescent="0.25">
      <c r="A21" s="72">
        <v>4</v>
      </c>
      <c r="B21" s="73" t="s">
        <v>147</v>
      </c>
      <c r="C21" s="72">
        <f>C8/'Conversion Factors'!$C$35*'Conversion Factors'!$A$19/'Conversion Factors'!$B$6</f>
        <v>838891.50502844236</v>
      </c>
      <c r="D21" s="72">
        <f>D8/'Conversion Factors'!$C$35*'Conversion Factors'!$A$19/'Conversion Factors'!$B$6</f>
        <v>838891.50502844236</v>
      </c>
      <c r="E21" s="72">
        <f>E8/'Conversion Factors'!$C$35*'Conversion Factors'!$A$19/'Conversion Factors'!$B$6</f>
        <v>838891.50502844236</v>
      </c>
      <c r="F21" s="72">
        <f>F8/'Conversion Factors'!$C$35*'Conversion Factors'!$A$19/'Conversion Factors'!$B$6</f>
        <v>838891.50502844236</v>
      </c>
      <c r="G21" s="72">
        <f>G8/'Conversion Factors'!$C$35*'Conversion Factors'!$A$19/'Conversion Factors'!$B$6</f>
        <v>838891.50502844236</v>
      </c>
      <c r="H21" s="72">
        <f>H8/'Conversion Factors'!$C$35*'Conversion Factors'!$A$19/'Conversion Factors'!$B$6</f>
        <v>838891.50502844236</v>
      </c>
      <c r="I21" s="72">
        <f>I8/'Conversion Factors'!$C$35*'Conversion Factors'!$A$19/'Conversion Factors'!$B$6</f>
        <v>838891.50502844236</v>
      </c>
      <c r="J21" s="72">
        <f>J8/'Conversion Factors'!$C$35*'Conversion Factors'!$A$19/'Conversion Factors'!$B$6</f>
        <v>838891.50502844236</v>
      </c>
      <c r="K21" s="72">
        <f>K8/'Conversion Factors'!$C$35*'Conversion Factors'!$A$19/'Conversion Factors'!$B$6</f>
        <v>838891.50502844236</v>
      </c>
      <c r="L21" s="72">
        <f>L8/'Conversion Factors'!$C$35*'Conversion Factors'!$A$19/'Conversion Factors'!$B$6</f>
        <v>838891.50502844236</v>
      </c>
      <c r="M21" s="72">
        <f>M8/'Conversion Factors'!$C$35*'Conversion Factors'!$A$19/'Conversion Factors'!$B$6</f>
        <v>838891.50502844236</v>
      </c>
    </row>
    <row r="22" spans="1:13" x14ac:dyDescent="0.25">
      <c r="A22" s="72">
        <v>5</v>
      </c>
      <c r="B22" s="73" t="s">
        <v>148</v>
      </c>
      <c r="C22" s="72">
        <f>C9/'Conversion Factors'!$C$35*'Conversion Factors'!$A$19/'Conversion Factors'!$B$6</f>
        <v>796946.92977702012</v>
      </c>
      <c r="D22" s="72">
        <f>D9/'Conversion Factors'!$C$35*'Conversion Factors'!$A$19/'Conversion Factors'!$B$6</f>
        <v>796946.92977702012</v>
      </c>
      <c r="E22" s="72">
        <f>E9/'Conversion Factors'!$C$35*'Conversion Factors'!$A$19/'Conversion Factors'!$B$6</f>
        <v>796946.92977702012</v>
      </c>
      <c r="F22" s="72">
        <f>F9/'Conversion Factors'!$C$35*'Conversion Factors'!$A$19/'Conversion Factors'!$B$6</f>
        <v>796946.92977702012</v>
      </c>
      <c r="G22" s="72">
        <f>G9/'Conversion Factors'!$C$35*'Conversion Factors'!$A$19/'Conversion Factors'!$B$6</f>
        <v>796946.92977702012</v>
      </c>
      <c r="H22" s="72">
        <f>H9/'Conversion Factors'!$C$35*'Conversion Factors'!$A$19/'Conversion Factors'!$B$6</f>
        <v>796946.92977702012</v>
      </c>
      <c r="I22" s="72">
        <f>I9/'Conversion Factors'!$C$35*'Conversion Factors'!$A$19/'Conversion Factors'!$B$6</f>
        <v>796946.92977702012</v>
      </c>
      <c r="J22" s="72">
        <f>J9/'Conversion Factors'!$C$35*'Conversion Factors'!$A$19/'Conversion Factors'!$B$6</f>
        <v>796946.92977702012</v>
      </c>
      <c r="K22" s="72">
        <f>K9/'Conversion Factors'!$C$35*'Conversion Factors'!$A$19/'Conversion Factors'!$B$6</f>
        <v>796946.92977702012</v>
      </c>
      <c r="L22" s="72">
        <f>L9/'Conversion Factors'!$C$35*'Conversion Factors'!$A$19/'Conversion Factors'!$B$6</f>
        <v>796946.92977702012</v>
      </c>
      <c r="M22" s="72">
        <f>M9/'Conversion Factors'!$C$35*'Conversion Factors'!$A$19/'Conversion Factors'!$B$6</f>
        <v>796946.92977702012</v>
      </c>
    </row>
    <row r="23" spans="1:13" x14ac:dyDescent="0.25">
      <c r="A23" s="72">
        <v>6</v>
      </c>
      <c r="B23" s="73" t="s">
        <v>154</v>
      </c>
      <c r="C23" s="72">
        <f>C10/'Conversion Factors'!$C$35*'Conversion Factors'!$A$19/'Conversion Factors'!$B$6</f>
        <v>908799.13044747908</v>
      </c>
      <c r="D23" s="72">
        <f>D10/'Conversion Factors'!$C$35*'Conversion Factors'!$A$19/'Conversion Factors'!$B$6</f>
        <v>945151.09566537838</v>
      </c>
      <c r="E23" s="72">
        <f>E10/'Conversion Factors'!$C$35*'Conversion Factors'!$A$19/'Conversion Factors'!$B$6</f>
        <v>982901.21339165827</v>
      </c>
      <c r="F23" s="72">
        <f>F10/'Conversion Factors'!$C$35*'Conversion Factors'!$A$19/'Conversion Factors'!$B$6</f>
        <v>1022049.483626319</v>
      </c>
      <c r="G23" s="72">
        <f>G10/'Conversion Factors'!$C$35*'Conversion Factors'!$A$19/'Conversion Factors'!$B$6</f>
        <v>1062595.9063693604</v>
      </c>
      <c r="H23" s="72">
        <f>H10/'Conversion Factors'!$C$35*'Conversion Factors'!$A$19/'Conversion Factors'!$B$6</f>
        <v>1104540.4816207823</v>
      </c>
      <c r="I23" s="72">
        <f>I10/'Conversion Factors'!$C$35*'Conversion Factors'!$A$19/'Conversion Factors'!$B$6</f>
        <v>1146485.0568722044</v>
      </c>
      <c r="J23" s="72">
        <f>J10/'Conversion Factors'!$C$35*'Conversion Factors'!$A$19/'Conversion Factors'!$B$6</f>
        <v>1188429.6321236268</v>
      </c>
      <c r="K23" s="72">
        <f>K10/'Conversion Factors'!$C$35*'Conversion Factors'!$A$19/'Conversion Factors'!$B$6</f>
        <v>1244355.7324588562</v>
      </c>
      <c r="L23" s="72">
        <f>L10/'Conversion Factors'!$C$35*'Conversion Factors'!$A$19/'Conversion Factors'!$B$6</f>
        <v>1293291.0702521817</v>
      </c>
      <c r="M23" s="72">
        <f>M10/'Conversion Factors'!$C$35*'Conversion Factors'!$A$19/'Conversion Factors'!$B$6</f>
        <v>1336012.3968971488</v>
      </c>
    </row>
    <row r="24" spans="1:13" ht="25.5" x14ac:dyDescent="0.25">
      <c r="A24" s="72">
        <v>7</v>
      </c>
      <c r="B24" s="76" t="s">
        <v>150</v>
      </c>
      <c r="C24" s="72">
        <f>C11/'Conversion Factors'!$C$35*'Conversion Factors'!$A$19/'Conversion Factors'!$B$6</f>
        <v>1398152.5083807372</v>
      </c>
      <c r="D24" s="72">
        <f>D11/'Conversion Factors'!$C$35*'Conversion Factors'!$A$19/'Conversion Factors'!$B$6</f>
        <v>1454078.6087159668</v>
      </c>
      <c r="E24" s="72">
        <f>E11/'Conversion Factors'!$C$35*'Conversion Factors'!$A$19/'Conversion Factors'!$B$6</f>
        <v>1510004.7090511965</v>
      </c>
      <c r="F24" s="72">
        <f>F11/'Conversion Factors'!$C$35*'Conversion Factors'!$A$19/'Conversion Factors'!$B$6</f>
        <v>1565930.8093864257</v>
      </c>
      <c r="G24" s="72">
        <f>G11/'Conversion Factors'!$C$35*'Conversion Factors'!$A$19/'Conversion Factors'!$B$6</f>
        <v>1635838.4348054626</v>
      </c>
      <c r="H24" s="72">
        <f>H11/'Conversion Factors'!$C$35*'Conversion Factors'!$A$19/'Conversion Factors'!$B$6</f>
        <v>1705746.0602244993</v>
      </c>
      <c r="I24" s="72">
        <f>I11/'Conversion Factors'!$C$35*'Conversion Factors'!$A$19/'Conversion Factors'!$B$6</f>
        <v>1775653.6856435363</v>
      </c>
      <c r="J24" s="72">
        <f>J11/'Conversion Factors'!$C$35*'Conversion Factors'!$A$19/'Conversion Factors'!$B$6</f>
        <v>1845561.3110625728</v>
      </c>
      <c r="K24" s="72">
        <f>K11/'Conversion Factors'!$C$35*'Conversion Factors'!$A$19/'Conversion Factors'!$B$6</f>
        <v>1915468.9364816097</v>
      </c>
      <c r="L24" s="72">
        <f>L11/'Conversion Factors'!$C$35*'Conversion Factors'!$A$19/'Conversion Factors'!$B$6</f>
        <v>1985376.5619006469</v>
      </c>
      <c r="M24" s="72">
        <f>M11/'Conversion Factors'!$C$35*'Conversion Factors'!$A$19/'Conversion Factors'!$B$6</f>
        <v>2050623.6789584146</v>
      </c>
    </row>
    <row r="25" spans="1:13" x14ac:dyDescent="0.25">
      <c r="A25" s="72">
        <v>8</v>
      </c>
      <c r="B25" s="76" t="s">
        <v>151</v>
      </c>
      <c r="C25" s="72"/>
      <c r="D25" s="72"/>
      <c r="E25" s="72"/>
      <c r="F25" s="72"/>
      <c r="G25" s="72"/>
      <c r="H25" s="72">
        <f>H12/'Conversion Factors'!$C$35*'Conversion Factors'!$A$19/'Conversion Factors'!$B$6</f>
        <v>2796305.0167614743</v>
      </c>
      <c r="I25" s="72">
        <f>I12/'Conversion Factors'!$C$35*'Conversion Factors'!$A$19/'Conversion Factors'!$B$6</f>
        <v>2908157.2174319336</v>
      </c>
      <c r="J25" s="72">
        <f>J12/'Conversion Factors'!$C$35*'Conversion Factors'!$A$19/'Conversion Factors'!$B$6</f>
        <v>3020009.4181023929</v>
      </c>
      <c r="K25" s="72">
        <f>K12/'Conversion Factors'!$C$35*'Conversion Factors'!$A$19/'Conversion Factors'!$B$6</f>
        <v>3145843.1438566591</v>
      </c>
      <c r="L25" s="72">
        <f>L12/'Conversion Factors'!$C$35*'Conversion Factors'!$A$19/'Conversion Factors'!$B$6</f>
        <v>3271676.8696109252</v>
      </c>
      <c r="M25" s="72">
        <f>M12/'Conversion Factors'!$C$35*'Conversion Factors'!$A$19/'Conversion Factors'!$B$6</f>
        <v>3635196.5217899163</v>
      </c>
    </row>
  </sheetData>
  <mergeCells count="4">
    <mergeCell ref="A16:A17"/>
    <mergeCell ref="B16:B17"/>
    <mergeCell ref="A3:A4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Conversion Factors</vt:lpstr>
      <vt:lpstr>IESS</vt:lpstr>
      <vt:lpstr>Geothermal</vt:lpstr>
      <vt:lpstr>Lazard</vt:lpstr>
      <vt:lpstr>Combined Capital Costs</vt:lpstr>
      <vt:lpstr>Solar Thermal</vt:lpstr>
      <vt:lpstr>Coal Cost Multipliers</vt:lpstr>
      <vt:lpstr>CEA NEP</vt:lpstr>
      <vt:lpstr>IESS Annual Cap Costs</vt:lpstr>
      <vt:lpstr>Waste to Energy</vt:lpstr>
      <vt:lpstr>CCaMC-BCCpUC</vt:lpstr>
      <vt:lpstr>CCaMC-AFOaMCpUC</vt:lpstr>
      <vt:lpstr>CCaMC-VOaMCpUC</vt:lpstr>
    </vt:vector>
  </TitlesOfParts>
  <Manager/>
  <Company>EnergyInnovation.org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Megan Mahajan</cp:lastModifiedBy>
  <cp:revision/>
  <dcterms:created xsi:type="dcterms:W3CDTF">2014-02-14T06:19:38Z</dcterms:created>
  <dcterms:modified xsi:type="dcterms:W3CDTF">2020-03-06T00:05:47Z</dcterms:modified>
  <cp:category/>
  <cp:contentStatus/>
</cp:coreProperties>
</file>