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fuels\BSoFPtiT\"/>
    </mc:Choice>
  </mc:AlternateContent>
  <xr:revisionPtr revIDLastSave="0" documentId="13_ncr:1_{E7665F9B-E0F4-4B52-BC23-387A7982A1B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Petroleum &amp; Diesel Prices" sheetId="11" r:id="rId2"/>
    <sheet name="Tax Rates" sheetId="8" r:id="rId3"/>
    <sheet name="Electricity Tax Rates" sheetId="12" r:id="rId4"/>
    <sheet name="Electricity Tariffs and Consump" sheetId="13" r:id="rId5"/>
    <sheet name="Petroleum Products Consumption" sheetId="7" r:id="rId6"/>
    <sheet name="NG Sales" sheetId="9" r:id="rId7"/>
    <sheet name="Crude Oil Production" sheetId="14" r:id="rId8"/>
    <sheet name="Coal &amp; Lignite" sheetId="15" r:id="rId9"/>
    <sheet name="Fuel Oil &amp; LPG" sheetId="16" r:id="rId10"/>
    <sheet name="Start Year Taxes" sheetId="6" r:id="rId11"/>
    <sheet name="BSoFPtiT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5" l="1"/>
  <c r="B23" i="15"/>
  <c r="B19" i="15"/>
  <c r="B16" i="3" l="1"/>
  <c r="B14" i="3"/>
  <c r="B6" i="6"/>
  <c r="B13" i="3"/>
  <c r="B12" i="3"/>
  <c r="B9" i="3"/>
  <c r="B5" i="3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B18" i="3"/>
  <c r="C18" i="3" s="1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B22" i="3"/>
  <c r="B21" i="3"/>
  <c r="C21" i="3" s="1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B14" i="6"/>
  <c r="B20" i="3" s="1"/>
  <c r="C20" i="3" s="1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B13" i="6"/>
  <c r="B19" i="3" s="1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C22" i="15"/>
  <c r="C23" i="15" s="1"/>
  <c r="C21" i="15"/>
  <c r="B22" i="15"/>
  <c r="B21" i="15"/>
  <c r="C20" i="15"/>
  <c r="B20" i="15"/>
  <c r="B12" i="6"/>
  <c r="B9" i="6"/>
  <c r="B2" i="3" s="1"/>
  <c r="B5" i="6"/>
  <c r="B11" i="3" s="1"/>
  <c r="B4" i="6"/>
  <c r="B10" i="3" s="1"/>
  <c r="B3" i="6"/>
  <c r="B4" i="3" s="1"/>
  <c r="F5" i="15"/>
  <c r="B16" i="15" s="1"/>
  <c r="C5" i="15"/>
  <c r="B5" i="15"/>
  <c r="B17" i="15" l="1"/>
  <c r="B2" i="6" s="1"/>
  <c r="B3" i="3" s="1"/>
  <c r="A11" i="15"/>
  <c r="C16" i="15" s="1"/>
  <c r="C17" i="15" l="1"/>
  <c r="B11" i="6" s="1"/>
  <c r="B17" i="3" l="1"/>
  <c r="D6" i="14" l="1"/>
  <c r="D7" i="14"/>
  <c r="D8" i="14"/>
  <c r="D9" i="14"/>
  <c r="D10" i="14"/>
  <c r="D11" i="14"/>
  <c r="D12" i="14"/>
  <c r="D13" i="14" s="1"/>
  <c r="C11" i="14"/>
  <c r="C10" i="14"/>
  <c r="C9" i="14"/>
  <c r="C8" i="14"/>
  <c r="C7" i="14"/>
  <c r="C6" i="14"/>
  <c r="H94" i="9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6" i="8"/>
  <c r="Y39" i="8"/>
  <c r="C9" i="11"/>
  <c r="B9" i="11"/>
  <c r="C12" i="3" l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C10" i="3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I90" i="9"/>
  <c r="I91" i="9" s="1"/>
  <c r="I92" i="9" s="1"/>
  <c r="I93" i="9" s="1"/>
  <c r="I94" i="9" s="1"/>
  <c r="I95" i="9" s="1"/>
  <c r="I83" i="9"/>
  <c r="I84" i="9" s="1"/>
  <c r="I85" i="9" s="1"/>
  <c r="I86" i="9" s="1"/>
  <c r="I87" i="9" s="1"/>
  <c r="I88" i="9" s="1"/>
  <c r="I89" i="9" s="1"/>
  <c r="I76" i="9"/>
  <c r="I77" i="9" s="1"/>
  <c r="I78" i="9" s="1"/>
  <c r="I79" i="9" s="1"/>
  <c r="I80" i="9" s="1"/>
  <c r="I81" i="9" s="1"/>
  <c r="I82" i="9" s="1"/>
  <c r="I69" i="9"/>
  <c r="I70" i="9" s="1"/>
  <c r="I71" i="9" s="1"/>
  <c r="I72" i="9" s="1"/>
  <c r="I73" i="9" s="1"/>
  <c r="I74" i="9" s="1"/>
  <c r="I62" i="9"/>
  <c r="I63" i="9" s="1"/>
  <c r="I64" i="9" s="1"/>
  <c r="I65" i="9" s="1"/>
  <c r="I66" i="9" s="1"/>
  <c r="I67" i="9" s="1"/>
  <c r="I55" i="9"/>
  <c r="I56" i="9" s="1"/>
  <c r="I57" i="9" s="1"/>
  <c r="I58" i="9" s="1"/>
  <c r="I59" i="9" s="1"/>
  <c r="I60" i="9" s="1"/>
  <c r="I48" i="9"/>
  <c r="I49" i="9" s="1"/>
  <c r="I50" i="9" s="1"/>
  <c r="I51" i="9" s="1"/>
  <c r="I52" i="9" s="1"/>
  <c r="I53" i="9" s="1"/>
  <c r="I41" i="9"/>
  <c r="I42" i="9" s="1"/>
  <c r="I43" i="9" s="1"/>
  <c r="I44" i="9" s="1"/>
  <c r="I45" i="9" s="1"/>
  <c r="I46" i="9" s="1"/>
  <c r="I34" i="9"/>
  <c r="I35" i="9" s="1"/>
  <c r="I36" i="9" s="1"/>
  <c r="I37" i="9" s="1"/>
  <c r="I38" i="9" s="1"/>
  <c r="I39" i="9" s="1"/>
  <c r="I27" i="9"/>
  <c r="I28" i="9" s="1"/>
  <c r="I29" i="9" s="1"/>
  <c r="I30" i="9" s="1"/>
  <c r="I31" i="9" s="1"/>
  <c r="I32" i="9" s="1"/>
  <c r="I20" i="9"/>
  <c r="I21" i="9" s="1"/>
  <c r="I22" i="9" s="1"/>
  <c r="I23" i="9" s="1"/>
  <c r="I24" i="9" s="1"/>
  <c r="I25" i="9" s="1"/>
  <c r="I13" i="9"/>
  <c r="I14" i="9" s="1"/>
  <c r="I15" i="9" s="1"/>
  <c r="I16" i="9" s="1"/>
  <c r="I17" i="9" s="1"/>
  <c r="I18" i="9" s="1"/>
  <c r="I6" i="9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G39" i="12"/>
  <c r="F39" i="12"/>
  <c r="E39" i="12"/>
  <c r="D39" i="12"/>
  <c r="G38" i="12"/>
  <c r="F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D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E26" i="12"/>
  <c r="C16" i="12"/>
  <c r="C43" i="12" s="1"/>
  <c r="B16" i="12"/>
  <c r="B43" i="12" s="1"/>
  <c r="C13" i="12"/>
  <c r="B13" i="12"/>
  <c r="B40" i="12" s="1"/>
  <c r="C12" i="12"/>
  <c r="C39" i="12" s="1"/>
  <c r="B12" i="12"/>
  <c r="B39" i="12" s="1"/>
  <c r="E11" i="12"/>
  <c r="E38" i="12" s="1"/>
  <c r="B9" i="12"/>
  <c r="B36" i="12" s="1"/>
  <c r="Y38" i="8"/>
  <c r="Y37" i="8"/>
  <c r="Y36" i="8"/>
  <c r="Y35" i="8"/>
  <c r="Y34" i="8"/>
  <c r="Y33" i="8"/>
  <c r="Y32" i="8"/>
  <c r="Y31" i="8"/>
  <c r="Y30" i="8"/>
  <c r="P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Z39" i="8" l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I7" i="9"/>
  <c r="I8" i="9" l="1"/>
  <c r="I9" i="9" l="1"/>
  <c r="I10" i="9" l="1"/>
  <c r="I11" i="9" l="1"/>
  <c r="Z12" i="8" l="1"/>
  <c r="Z30" i="8"/>
  <c r="Z33" i="8"/>
  <c r="Z24" i="8"/>
  <c r="Z27" i="8"/>
  <c r="Z36" i="8"/>
  <c r="Z10" i="8"/>
  <c r="Z20" i="8"/>
  <c r="Z15" i="8"/>
  <c r="Z34" i="8"/>
  <c r="Z7" i="8"/>
  <c r="Z22" i="8"/>
  <c r="Z37" i="8"/>
  <c r="Z26" i="8"/>
  <c r="Z32" i="8"/>
  <c r="Z38" i="8"/>
  <c r="Z14" i="8"/>
  <c r="Z8" i="8"/>
  <c r="Z11" i="8"/>
  <c r="Z6" i="8"/>
  <c r="Z16" i="8"/>
  <c r="Z28" i="8"/>
  <c r="Z18" i="8"/>
  <c r="Z19" i="8"/>
  <c r="Z23" i="8"/>
  <c r="Z35" i="8" l="1"/>
  <c r="Z25" i="8"/>
  <c r="Z21" i="8"/>
  <c r="Z9" i="8"/>
  <c r="Z13" i="8"/>
  <c r="Z31" i="8"/>
  <c r="Z17" i="8"/>
  <c r="Z29" i="8"/>
  <c r="C4" i="3" l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</calcChain>
</file>

<file path=xl/sharedStrings.xml><?xml version="1.0" encoding="utf-8"?>
<sst xmlns="http://schemas.openxmlformats.org/spreadsheetml/2006/main" count="618" uniqueCount="448">
  <si>
    <t>BSoFPtiT BAU Share of Fuel Price that is Tax</t>
  </si>
  <si>
    <t>Source:</t>
  </si>
  <si>
    <t>http://pib.nic.in/newsite/PrintRelease.aspx?relid=169526</t>
  </si>
  <si>
    <t>Andhra Pradesh</t>
  </si>
  <si>
    <t>Assam</t>
  </si>
  <si>
    <t>Bihar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</si>
  <si>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</si>
  <si>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</si>
  <si>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</si>
  <si>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</si>
  <si>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</si>
  <si>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</si>
  <si>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</si>
  <si>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</si>
  <si>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</si>
  <si>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</si>
  <si>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Manipur</t>
  </si>
  <si>
    <t>Meghalaya</t>
  </si>
  <si>
    <t>Punjab</t>
  </si>
  <si>
    <t>Rajasthan</t>
  </si>
  <si>
    <t>Tamil Nadu</t>
  </si>
  <si>
    <t>Uttarakhand</t>
  </si>
  <si>
    <t>Uttar Pradesh</t>
  </si>
  <si>
    <t>West Bengal</t>
  </si>
  <si>
    <t>Chandigarh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</si>
  <si>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</si>
  <si>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</si>
  <si>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</si>
  <si>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</si>
  <si>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</si>
  <si>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</si>
  <si>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</si>
  <si>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</si>
  <si>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</si>
  <si>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</si>
  <si>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</si>
  <si>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</si>
  <si>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</si>
  <si>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</si>
  <si>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geothermal (does not use fuel)</t>
  </si>
  <si>
    <t>lignite</t>
  </si>
  <si>
    <t>Rs/liter</t>
  </si>
  <si>
    <t>Others</t>
  </si>
  <si>
    <t>Kersoene (PDS SKO)</t>
  </si>
  <si>
    <r>
      <rPr>
        <sz val="9"/>
        <color rgb="FF231F20"/>
        <rFont val="Calibri"/>
        <family val="2"/>
      </rPr>
      <t>( in '000' Tonnes)</t>
    </r>
  </si>
  <si>
    <r>
      <rPr>
        <b/>
        <sz val="8"/>
        <color rgb="FF231F20"/>
        <rFont val="Calibri"/>
        <family val="2"/>
      </rPr>
      <t>Region: North</t>
    </r>
  </si>
  <si>
    <r>
      <rPr>
        <sz val="8"/>
        <color rgb="FF231F20"/>
        <rFont val="Calibri"/>
        <family val="2"/>
      </rPr>
      <t>Jammu &amp; Kashmir</t>
    </r>
  </si>
  <si>
    <r>
      <rPr>
        <sz val="8"/>
        <color rgb="FF231F20"/>
        <rFont val="Calibri"/>
        <family val="2"/>
      </rPr>
      <t>Punjab</t>
    </r>
  </si>
  <si>
    <r>
      <rPr>
        <sz val="8"/>
        <color rgb="FF231F20"/>
        <rFont val="Calibri"/>
        <family val="2"/>
      </rPr>
      <t>Rajasthan</t>
    </r>
  </si>
  <si>
    <r>
      <rPr>
        <sz val="8"/>
        <color rgb="FF231F20"/>
        <rFont val="Calibri"/>
        <family val="2"/>
      </rPr>
      <t>Uttar Pradesh</t>
    </r>
  </si>
  <si>
    <r>
      <rPr>
        <sz val="8"/>
        <color rgb="FF231F20"/>
        <rFont val="Calibri"/>
        <family val="2"/>
      </rPr>
      <t>Haryana</t>
    </r>
  </si>
  <si>
    <r>
      <rPr>
        <sz val="8"/>
        <color rgb="FF231F20"/>
        <rFont val="Calibri"/>
        <family val="2"/>
      </rPr>
      <t>Himachal Pradesh</t>
    </r>
  </si>
  <si>
    <r>
      <rPr>
        <sz val="8"/>
        <color rgb="FF231F20"/>
        <rFont val="Calibri"/>
        <family val="2"/>
      </rPr>
      <t>Uttarakhand</t>
    </r>
  </si>
  <si>
    <r>
      <rPr>
        <sz val="8"/>
        <color rgb="FF231F20"/>
        <rFont val="Calibri"/>
        <family val="2"/>
      </rPr>
      <t>Chandigarh</t>
    </r>
  </si>
  <si>
    <r>
      <rPr>
        <sz val="8"/>
        <color rgb="FF231F20"/>
        <rFont val="Calibri"/>
        <family val="2"/>
      </rPr>
      <t>Delhi</t>
    </r>
  </si>
  <si>
    <r>
      <rPr>
        <sz val="8"/>
        <color rgb="FF231F20"/>
        <rFont val="Calibri"/>
        <family val="2"/>
      </rPr>
      <t>Arunachal Pradesh</t>
    </r>
  </si>
  <si>
    <r>
      <rPr>
        <sz val="8"/>
        <color rgb="FF231F20"/>
        <rFont val="Calibri"/>
        <family val="2"/>
      </rPr>
      <t>Assam</t>
    </r>
  </si>
  <si>
    <r>
      <rPr>
        <sz val="8"/>
        <color rgb="FF231F20"/>
        <rFont val="Calibri"/>
        <family val="2"/>
      </rPr>
      <t>Manipur</t>
    </r>
  </si>
  <si>
    <r>
      <rPr>
        <sz val="8"/>
        <color rgb="FF231F20"/>
        <rFont val="Calibri"/>
        <family val="2"/>
      </rPr>
      <t>Meghalaya</t>
    </r>
  </si>
  <si>
    <r>
      <rPr>
        <sz val="8"/>
        <color rgb="FF231F20"/>
        <rFont val="Calibri"/>
        <family val="2"/>
      </rPr>
      <t>Mizoram</t>
    </r>
  </si>
  <si>
    <r>
      <rPr>
        <sz val="8"/>
        <color rgb="FF231F20"/>
        <rFont val="Calibri"/>
        <family val="2"/>
      </rPr>
      <t>Nagaland</t>
    </r>
  </si>
  <si>
    <r>
      <rPr>
        <sz val="8"/>
        <color rgb="FF231F20"/>
        <rFont val="Calibri"/>
        <family val="2"/>
      </rPr>
      <t>Tripura</t>
    </r>
  </si>
  <si>
    <r>
      <rPr>
        <sz val="8"/>
        <color rgb="FF231F20"/>
        <rFont val="Calibri"/>
        <family val="2"/>
      </rPr>
      <t>Sikkim</t>
    </r>
  </si>
  <si>
    <r>
      <rPr>
        <sz val="8"/>
        <color rgb="FF231F20"/>
        <rFont val="Calibri"/>
        <family val="2"/>
      </rPr>
      <t>Bihar</t>
    </r>
  </si>
  <si>
    <r>
      <rPr>
        <sz val="8"/>
        <color rgb="FF231F20"/>
        <rFont val="Calibri"/>
        <family val="2"/>
      </rPr>
      <t>Odisha</t>
    </r>
  </si>
  <si>
    <r>
      <rPr>
        <sz val="8"/>
        <color rgb="FF231F20"/>
        <rFont val="Calibri"/>
        <family val="2"/>
      </rPr>
      <t>West Bengal</t>
    </r>
  </si>
  <si>
    <r>
      <rPr>
        <sz val="8"/>
        <color rgb="FF231F20"/>
        <rFont val="Calibri"/>
        <family val="2"/>
      </rPr>
      <t>Jharkhand</t>
    </r>
  </si>
  <si>
    <r>
      <rPr>
        <sz val="8"/>
        <color rgb="FF231F20"/>
        <rFont val="Calibri"/>
        <family val="2"/>
      </rPr>
      <t>Andaman &amp; Nicobar</t>
    </r>
  </si>
  <si>
    <r>
      <rPr>
        <sz val="8"/>
        <color rgb="FF231F20"/>
        <rFont val="Calibri"/>
        <family val="2"/>
      </rPr>
      <t>Goa</t>
    </r>
  </si>
  <si>
    <r>
      <rPr>
        <sz val="8"/>
        <color rgb="FF231F20"/>
        <rFont val="Calibri"/>
        <family val="2"/>
      </rPr>
      <t>Gujarat</t>
    </r>
  </si>
  <si>
    <r>
      <rPr>
        <sz val="8"/>
        <color rgb="FF231F20"/>
        <rFont val="Calibri"/>
        <family val="2"/>
      </rPr>
      <t>Madhya Pradesh</t>
    </r>
  </si>
  <si>
    <r>
      <rPr>
        <sz val="8"/>
        <color rgb="FF231F20"/>
        <rFont val="Calibri"/>
        <family val="2"/>
      </rPr>
      <t>Maharashtra</t>
    </r>
  </si>
  <si>
    <r>
      <rPr>
        <sz val="8"/>
        <color rgb="FF231F20"/>
        <rFont val="Calibri"/>
        <family val="2"/>
      </rPr>
      <t>Chhattisgarh</t>
    </r>
  </si>
  <si>
    <r>
      <rPr>
        <sz val="8"/>
        <color rgb="FF231F20"/>
        <rFont val="Calibri"/>
        <family val="2"/>
      </rPr>
      <t>Dadra&amp;Nagar Haveli</t>
    </r>
  </si>
  <si>
    <r>
      <rPr>
        <sz val="8"/>
        <color rgb="FF231F20"/>
        <rFont val="Calibri"/>
        <family val="2"/>
      </rPr>
      <t>Daman &amp; Diu</t>
    </r>
  </si>
  <si>
    <r>
      <rPr>
        <sz val="8"/>
        <color rgb="FF231F20"/>
        <rFont val="Calibri"/>
        <family val="2"/>
      </rPr>
      <t>Andhra Pradesh</t>
    </r>
  </si>
  <si>
    <r>
      <rPr>
        <sz val="8"/>
        <color rgb="FF231F20"/>
        <rFont val="Calibri"/>
        <family val="2"/>
      </rPr>
      <t>Kerala</t>
    </r>
  </si>
  <si>
    <r>
      <rPr>
        <sz val="8"/>
        <color rgb="FF231F20"/>
        <rFont val="Calibri"/>
        <family val="2"/>
      </rPr>
      <t>Tamilnadu</t>
    </r>
  </si>
  <si>
    <r>
      <rPr>
        <sz val="8"/>
        <color rgb="FF231F20"/>
        <rFont val="Calibri"/>
        <family val="2"/>
      </rPr>
      <t>Karnataka</t>
    </r>
  </si>
  <si>
    <r>
      <rPr>
        <sz val="8"/>
        <color rgb="FF231F20"/>
        <rFont val="Calibri"/>
        <family val="2"/>
      </rPr>
      <t>Telangana</t>
    </r>
  </si>
  <si>
    <r>
      <rPr>
        <sz val="8"/>
        <color rgb="FF231F20"/>
        <rFont val="Calibri"/>
        <family val="2"/>
      </rPr>
      <t>Lakshadweep</t>
    </r>
  </si>
  <si>
    <r>
      <rPr>
        <sz val="8"/>
        <color rgb="FF231F20"/>
        <rFont val="Calibri"/>
        <family val="2"/>
      </rPr>
      <t>Puducherry</t>
    </r>
  </si>
  <si>
    <r>
      <rPr>
        <b/>
        <sz val="8"/>
        <color rgb="FF231F20"/>
        <rFont val="Calibri"/>
        <family val="2"/>
      </rPr>
      <t>Total Consumption</t>
    </r>
  </si>
  <si>
    <r>
      <rPr>
        <sz val="8"/>
        <color rgb="FF231F20"/>
        <rFont val="Calibri"/>
        <family val="2"/>
      </rPr>
      <t>Source: Petroleum Planning and Analysis Cell.                                                                                                                                               P: Provisional</t>
    </r>
  </si>
  <si>
    <r>
      <rPr>
        <sz val="8"/>
        <color rgb="FF231F20"/>
        <rFont val="Calibri"/>
        <family val="2"/>
      </rPr>
      <t>(in Percentage)</t>
    </r>
  </si>
  <si>
    <r>
      <rPr>
        <b/>
        <sz val="8"/>
        <color rgb="FF231F20"/>
        <rFont val="Calibri"/>
        <family val="2"/>
      </rPr>
      <t>LPG(Domestic)</t>
    </r>
  </si>
  <si>
    <r>
      <rPr>
        <b/>
        <sz val="8"/>
        <color rgb="FF231F20"/>
        <rFont val="Calibri"/>
        <family val="2"/>
      </rPr>
      <t>LPG (Non Dom)</t>
    </r>
  </si>
  <si>
    <r>
      <rPr>
        <b/>
        <sz val="8"/>
        <color rgb="FF231F20"/>
        <rFont val="Calibri"/>
        <family val="2"/>
      </rPr>
      <t>AUTO LPG</t>
    </r>
  </si>
  <si>
    <r>
      <rPr>
        <b/>
        <sz val="8"/>
        <color rgb="FF231F20"/>
        <rFont val="Calibri"/>
        <family val="2"/>
      </rPr>
      <t>SKO (PDS)</t>
    </r>
  </si>
  <si>
    <r>
      <rPr>
        <b/>
        <sz val="8"/>
        <color rgb="FF231F20"/>
        <rFont val="Calibri"/>
        <family val="2"/>
      </rPr>
      <t>SKO(IND)</t>
    </r>
  </si>
  <si>
    <r>
      <rPr>
        <b/>
        <sz val="8"/>
        <color rgb="FF231F20"/>
        <rFont val="Calibri"/>
        <family val="2"/>
      </rPr>
      <t>FO</t>
    </r>
  </si>
  <si>
    <r>
      <rPr>
        <b/>
        <sz val="8"/>
        <color rgb="FF231F20"/>
        <rFont val="Calibri"/>
        <family val="2"/>
      </rPr>
      <t>LSHS</t>
    </r>
  </si>
  <si>
    <r>
      <rPr>
        <b/>
        <sz val="7"/>
        <color rgb="FF231F20"/>
        <rFont val="Calibri"/>
        <family val="2"/>
      </rPr>
      <t>State/U.T</t>
    </r>
  </si>
  <si>
    <r>
      <rPr>
        <b/>
        <sz val="7"/>
        <color rgb="FF231F20"/>
        <rFont val="Calibri"/>
        <family val="2"/>
      </rPr>
      <t>Crude Oil</t>
    </r>
  </si>
  <si>
    <r>
      <rPr>
        <b/>
        <sz val="7"/>
        <color rgb="FF231F20"/>
        <rFont val="Calibri"/>
        <family val="2"/>
      </rPr>
      <t>Natural Gas</t>
    </r>
  </si>
  <si>
    <r>
      <rPr>
        <b/>
        <sz val="7"/>
        <color rgb="FF231F20"/>
        <rFont val="Calibri"/>
        <family val="2"/>
      </rPr>
      <t>MS (Petrol)</t>
    </r>
  </si>
  <si>
    <r>
      <rPr>
        <b/>
        <sz val="7"/>
        <color rgb="FF231F20"/>
        <rFont val="Calibri"/>
        <family val="2"/>
      </rPr>
      <t>Branded Petrol</t>
    </r>
  </si>
  <si>
    <r>
      <rPr>
        <b/>
        <sz val="7"/>
        <color rgb="FF231F20"/>
        <rFont val="Calibri"/>
        <family val="2"/>
      </rPr>
      <t>HSD (Diesel)</t>
    </r>
  </si>
  <si>
    <r>
      <rPr>
        <b/>
        <sz val="7"/>
        <color rgb="FF231F20"/>
        <rFont val="Calibri"/>
        <family val="2"/>
      </rPr>
      <t>Branded Diesel</t>
    </r>
  </si>
  <si>
    <r>
      <rPr>
        <b/>
        <sz val="7"/>
        <color rgb="FF231F20"/>
        <rFont val="Calibri"/>
        <family val="2"/>
      </rPr>
      <t>Naphtha</t>
    </r>
  </si>
  <si>
    <r>
      <rPr>
        <sz val="7"/>
        <color rgb="FF231F20"/>
        <rFont val="Calibri"/>
        <family val="2"/>
      </rPr>
      <t>Andhra Pradesh</t>
    </r>
  </si>
  <si>
    <r>
      <rPr>
        <sz val="7"/>
        <color rgb="FF231F20"/>
        <rFont val="Calibri"/>
        <family val="2"/>
      </rPr>
      <t>Arunachal Pradesh</t>
    </r>
  </si>
  <si>
    <r>
      <rPr>
        <sz val="7"/>
        <color rgb="FF231F20"/>
        <rFont val="Calibri"/>
        <family val="2"/>
      </rPr>
      <t>Assam</t>
    </r>
  </si>
  <si>
    <r>
      <rPr>
        <sz val="7"/>
        <color rgb="FF231F20"/>
        <rFont val="Calibri"/>
        <family val="2"/>
      </rPr>
      <t>Bihar</t>
    </r>
  </si>
  <si>
    <r>
      <rPr>
        <sz val="7"/>
        <color rgb="FF231F20"/>
        <rFont val="Calibri"/>
        <family val="2"/>
      </rPr>
      <t>Chandigarh</t>
    </r>
  </si>
  <si>
    <r>
      <rPr>
        <sz val="7"/>
        <color rgb="FF231F20"/>
        <rFont val="Calibri"/>
        <family val="2"/>
      </rPr>
      <t>Chhattisgarh</t>
    </r>
  </si>
  <si>
    <r>
      <rPr>
        <sz val="7"/>
        <color rgb="FF231F20"/>
        <rFont val="Calibri"/>
        <family val="2"/>
      </rPr>
      <t>Delhi</t>
    </r>
  </si>
  <si>
    <r>
      <rPr>
        <sz val="7"/>
        <color rgb="FF231F20"/>
        <rFont val="Calibri"/>
        <family val="2"/>
      </rPr>
      <t>Goa</t>
    </r>
  </si>
  <si>
    <r>
      <rPr>
        <sz val="7"/>
        <color rgb="FF231F20"/>
        <rFont val="Calibri"/>
        <family val="2"/>
      </rPr>
      <t>Gujarat</t>
    </r>
  </si>
  <si>
    <r>
      <rPr>
        <sz val="7"/>
        <color rgb="FF231F20"/>
        <rFont val="Calibri"/>
        <family val="2"/>
      </rPr>
      <t>Haryana</t>
    </r>
  </si>
  <si>
    <r>
      <rPr>
        <sz val="7"/>
        <color rgb="FF231F20"/>
        <rFont val="Calibri"/>
        <family val="2"/>
      </rPr>
      <t>Himachal Pradesh</t>
    </r>
  </si>
  <si>
    <r>
      <rPr>
        <sz val="7"/>
        <color rgb="FF231F20"/>
        <rFont val="Calibri"/>
        <family val="2"/>
      </rPr>
      <t>J &amp; K</t>
    </r>
  </si>
  <si>
    <r>
      <rPr>
        <sz val="7"/>
        <color rgb="FF231F20"/>
        <rFont val="Calibri"/>
        <family val="2"/>
      </rPr>
      <t>Jharkhand</t>
    </r>
  </si>
  <si>
    <r>
      <rPr>
        <sz val="7"/>
        <color rgb="FF231F20"/>
        <rFont val="Calibri"/>
        <family val="2"/>
      </rPr>
      <t>Karnataka</t>
    </r>
  </si>
  <si>
    <r>
      <rPr>
        <sz val="7"/>
        <color rgb="FF231F20"/>
        <rFont val="Calibri"/>
        <family val="2"/>
      </rPr>
      <t>Kerala</t>
    </r>
  </si>
  <si>
    <r>
      <rPr>
        <sz val="7"/>
        <color rgb="FF231F20"/>
        <rFont val="Calibri"/>
        <family val="2"/>
      </rPr>
      <t>Madhya Pradesh</t>
    </r>
  </si>
  <si>
    <r>
      <rPr>
        <sz val="7"/>
        <color rgb="FF231F20"/>
        <rFont val="Calibri"/>
        <family val="2"/>
      </rPr>
      <t>Maharashtra</t>
    </r>
  </si>
  <si>
    <r>
      <rPr>
        <sz val="7"/>
        <color rgb="FF231F20"/>
        <rFont val="Calibri"/>
        <family val="2"/>
      </rPr>
      <t>Manipur</t>
    </r>
  </si>
  <si>
    <r>
      <rPr>
        <sz val="7"/>
        <color rgb="FF231F20"/>
        <rFont val="Calibri"/>
        <family val="2"/>
      </rPr>
      <t>Meghalaya</t>
    </r>
  </si>
  <si>
    <r>
      <rPr>
        <sz val="7"/>
        <color rgb="FF231F20"/>
        <rFont val="Calibri"/>
        <family val="2"/>
      </rPr>
      <t>Mizoram</t>
    </r>
  </si>
  <si>
    <r>
      <rPr>
        <sz val="7"/>
        <color rgb="FF231F20"/>
        <rFont val="Calibri"/>
        <family val="2"/>
      </rPr>
      <t>Nagaland</t>
    </r>
  </si>
  <si>
    <r>
      <rPr>
        <sz val="7"/>
        <color rgb="FF231F20"/>
        <rFont val="Calibri"/>
        <family val="2"/>
      </rPr>
      <t>Odisha</t>
    </r>
  </si>
  <si>
    <r>
      <rPr>
        <sz val="7"/>
        <color rgb="FF231F20"/>
        <rFont val="Calibri"/>
        <family val="2"/>
      </rPr>
      <t>Pondicherry</t>
    </r>
  </si>
  <si>
    <r>
      <rPr>
        <sz val="7"/>
        <color rgb="FF231F20"/>
        <rFont val="Calibri"/>
        <family val="2"/>
      </rPr>
      <t>Punjab</t>
    </r>
  </si>
  <si>
    <r>
      <rPr>
        <sz val="7"/>
        <color rgb="FF231F20"/>
        <rFont val="Calibri"/>
        <family val="2"/>
      </rPr>
      <t>Rajasthan</t>
    </r>
  </si>
  <si>
    <r>
      <rPr>
        <sz val="7"/>
        <color rgb="FF231F20"/>
        <rFont val="Calibri"/>
        <family val="2"/>
      </rPr>
      <t>Sikkim</t>
    </r>
  </si>
  <si>
    <r>
      <rPr>
        <sz val="7"/>
        <color rgb="FF231F20"/>
        <rFont val="Calibri"/>
        <family val="2"/>
      </rPr>
      <t>Silvassa/DNH</t>
    </r>
  </si>
  <si>
    <r>
      <rPr>
        <sz val="7"/>
        <color rgb="FF231F20"/>
        <rFont val="Calibri"/>
        <family val="2"/>
      </rPr>
      <t>Tamil Nadu</t>
    </r>
  </si>
  <si>
    <r>
      <rPr>
        <sz val="7"/>
        <color rgb="FF231F20"/>
        <rFont val="Calibri"/>
        <family val="2"/>
      </rPr>
      <t>Telangana</t>
    </r>
  </si>
  <si>
    <r>
      <rPr>
        <sz val="7"/>
        <color rgb="FF231F20"/>
        <rFont val="Calibri"/>
        <family val="2"/>
      </rPr>
      <t>Tripura</t>
    </r>
  </si>
  <si>
    <r>
      <rPr>
        <sz val="7"/>
        <color rgb="FF231F20"/>
        <rFont val="Calibri"/>
        <family val="2"/>
      </rPr>
      <t>Uttar Pradesh</t>
    </r>
  </si>
  <si>
    <r>
      <rPr>
        <sz val="7"/>
        <color rgb="FF231F20"/>
        <rFont val="Calibri"/>
        <family val="2"/>
      </rPr>
      <t>Uttarakhand</t>
    </r>
  </si>
  <si>
    <r>
      <rPr>
        <sz val="7"/>
        <color rgb="FF231F20"/>
        <rFont val="Calibri"/>
        <family val="2"/>
      </rPr>
      <t>West Bengal</t>
    </r>
  </si>
  <si>
    <r>
      <rPr>
        <b/>
        <sz val="8"/>
        <color rgb="FF231F20"/>
        <rFont val="Calibri"/>
        <family val="2"/>
      </rPr>
      <t>ATF (Duty Paid/ Bonded)</t>
    </r>
  </si>
  <si>
    <r>
      <rPr>
        <b/>
        <sz val="8"/>
        <color rgb="FF231F20"/>
        <rFont val="Calibri"/>
        <family val="2"/>
      </rPr>
      <t xml:space="preserve">ATF
</t>
    </r>
    <r>
      <rPr>
        <b/>
        <sz val="8"/>
        <color rgb="FF231F20"/>
        <rFont val="Calibri"/>
        <family val="2"/>
      </rPr>
      <t>Declared</t>
    </r>
  </si>
  <si>
    <r>
      <rPr>
        <b/>
        <sz val="8"/>
        <color rgb="FF231F20"/>
        <rFont val="Calibri"/>
        <family val="2"/>
      </rPr>
      <t xml:space="preserve">ATF (When Sold to Aircraft having maximum take  off mass of &lt; 40000 Kgs, operated by scheduled
</t>
    </r>
    <r>
      <rPr>
        <b/>
        <sz val="8"/>
        <color rgb="FF231F20"/>
        <rFont val="Calibri"/>
        <family val="2"/>
      </rPr>
      <t>airlines) i.e. declared goods under CST Act</t>
    </r>
  </si>
  <si>
    <r>
      <rPr>
        <b/>
        <sz val="8"/>
        <color rgb="FF231F20"/>
        <rFont val="Calibri"/>
        <family val="2"/>
      </rPr>
      <t>BITUMEN</t>
    </r>
  </si>
  <si>
    <r>
      <rPr>
        <b/>
        <sz val="8"/>
        <color rgb="FF231F20"/>
        <rFont val="Calibri"/>
        <family val="2"/>
      </rPr>
      <t>LDO</t>
    </r>
  </si>
  <si>
    <r>
      <rPr>
        <b/>
        <sz val="8"/>
        <color rgb="FF231F20"/>
        <rFont val="Calibri"/>
        <family val="2"/>
      </rPr>
      <t>LUBE</t>
    </r>
  </si>
  <si>
    <r>
      <rPr>
        <b/>
        <sz val="8"/>
        <color rgb="FF231F20"/>
        <rFont val="Calibri"/>
        <family val="2"/>
      </rPr>
      <t>SULPHUR</t>
    </r>
  </si>
  <si>
    <r>
      <rPr>
        <b/>
        <sz val="8"/>
        <color rgb="FF231F20"/>
        <rFont val="Calibri"/>
        <family val="2"/>
      </rPr>
      <t>ASPHALT</t>
    </r>
  </si>
  <si>
    <t>Region/state</t>
  </si>
  <si>
    <t>Naphtha</t>
  </si>
  <si>
    <t>LPG</t>
  </si>
  <si>
    <t>MS</t>
  </si>
  <si>
    <t>SKO</t>
  </si>
  <si>
    <t>ATF</t>
  </si>
  <si>
    <t>HSD</t>
  </si>
  <si>
    <t>LDO</t>
  </si>
  <si>
    <t>FO</t>
  </si>
  <si>
    <t>HHS/LSHS</t>
  </si>
  <si>
    <t>Lubs/Grs</t>
  </si>
  <si>
    <t>Bitumen</t>
  </si>
  <si>
    <t>Total</t>
  </si>
  <si>
    <t>MS Tax Rate</t>
  </si>
  <si>
    <t>ATF Consumption</t>
  </si>
  <si>
    <r>
      <rPr>
        <sz val="9"/>
        <color rgb="FF231F20"/>
        <rFont val="Calibri"/>
        <family val="2"/>
      </rPr>
      <t>(in MMSCM)</t>
    </r>
  </si>
  <si>
    <r>
      <rPr>
        <b/>
        <sz val="9"/>
        <color rgb="FF231F20"/>
        <rFont val="Calibri"/>
        <family val="2"/>
      </rPr>
      <t>State / Utilisation</t>
    </r>
  </si>
  <si>
    <r>
      <rPr>
        <b/>
        <sz val="9"/>
        <color rgb="FF231F20"/>
        <rFont val="Calibri"/>
        <family val="2"/>
      </rPr>
      <t>2011-12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</si>
  <si>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</si>
  <si>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</si>
  <si>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</si>
  <si>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</si>
  <si>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r>
      <rPr>
        <b/>
        <sz val="9"/>
        <color rgb="FF231F20"/>
        <rFont val="Calibri"/>
        <family val="2"/>
      </rPr>
      <t>Assam</t>
    </r>
  </si>
  <si>
    <r>
      <rPr>
        <sz val="9"/>
        <color rgb="FF231F20"/>
        <rFont val="Calibri"/>
        <family val="2"/>
      </rPr>
      <t>Gross Production (GP)</t>
    </r>
  </si>
  <si>
    <r>
      <rPr>
        <sz val="9"/>
        <color rgb="FF231F20"/>
        <rFont val="Calibri"/>
        <family val="2"/>
      </rPr>
      <t>Flared</t>
    </r>
  </si>
  <si>
    <r>
      <rPr>
        <sz val="9"/>
        <color rgb="FF231F20"/>
        <rFont val="Calibri"/>
        <family val="2"/>
      </rPr>
      <t>Net Availability</t>
    </r>
  </si>
  <si>
    <r>
      <rPr>
        <sz val="9"/>
        <color rgb="FF231F20"/>
        <rFont val="Calibri"/>
        <family val="2"/>
      </rPr>
      <t>Internal Use+Losses</t>
    </r>
  </si>
  <si>
    <r>
      <rPr>
        <sz val="9"/>
        <color rgb="FF231F20"/>
        <rFont val="Calibri"/>
        <family val="2"/>
      </rPr>
      <t>Net Production (Sales)</t>
    </r>
  </si>
  <si>
    <r>
      <rPr>
        <sz val="9"/>
        <color rgb="FF231F20"/>
        <rFont val="Calibri"/>
        <family val="2"/>
      </rPr>
      <t>% Flared to GP</t>
    </r>
  </si>
  <si>
    <r>
      <rPr>
        <b/>
        <sz val="9"/>
        <color rgb="FF231F20"/>
        <rFont val="Calibri"/>
        <family val="2"/>
      </rPr>
      <t>Arunachal Pradesh</t>
    </r>
  </si>
  <si>
    <r>
      <rPr>
        <sz val="9"/>
        <color rgb="FF231F20"/>
        <rFont val="Calibri"/>
        <family val="2"/>
      </rPr>
      <t>Gross Production</t>
    </r>
  </si>
  <si>
    <r>
      <rPr>
        <b/>
        <sz val="9"/>
        <color rgb="FF231F20"/>
        <rFont val="Calibri"/>
        <family val="2"/>
      </rPr>
      <t>Rajasthan</t>
    </r>
  </si>
  <si>
    <r>
      <rPr>
        <b/>
        <sz val="9"/>
        <color rgb="FF231F20"/>
        <rFont val="Calibri"/>
        <family val="2"/>
      </rPr>
      <t>Gujarat</t>
    </r>
  </si>
  <si>
    <r>
      <rPr>
        <b/>
        <sz val="9"/>
        <color rgb="FF231F20"/>
        <rFont val="Calibri"/>
        <family val="2"/>
      </rPr>
      <t>Tamil Nadu</t>
    </r>
  </si>
  <si>
    <r>
      <rPr>
        <b/>
        <sz val="9"/>
        <color rgb="FF231F20"/>
        <rFont val="Calibri"/>
        <family val="2"/>
      </rPr>
      <t>Andhra Pradesh</t>
    </r>
  </si>
  <si>
    <r>
      <rPr>
        <b/>
        <sz val="9"/>
        <color rgb="FF231F20"/>
        <rFont val="Calibri"/>
        <family val="2"/>
      </rPr>
      <t>A. Total Onshore</t>
    </r>
  </si>
  <si>
    <r>
      <rPr>
        <b/>
        <sz val="9"/>
        <color rgb="FF231F20"/>
        <rFont val="Calibri"/>
        <family val="2"/>
      </rPr>
      <t>B. Offshore</t>
    </r>
  </si>
  <si>
    <r>
      <rPr>
        <b/>
        <sz val="9"/>
        <color rgb="FF231F20"/>
        <rFont val="Calibri"/>
        <family val="2"/>
      </rPr>
      <t>Total (A+B)</t>
    </r>
  </si>
  <si>
    <t>NG Consumption</t>
  </si>
  <si>
    <t>State</t>
  </si>
  <si>
    <t>Domestic</t>
  </si>
  <si>
    <t>Commercial</t>
  </si>
  <si>
    <t>Agriculture</t>
  </si>
  <si>
    <t>LT Industry</t>
  </si>
  <si>
    <t>HT industry</t>
  </si>
  <si>
    <t>Railway</t>
  </si>
  <si>
    <t>Jammu and Kashmir</t>
  </si>
  <si>
    <t>Maharashtra</t>
  </si>
  <si>
    <t>Orissa</t>
  </si>
  <si>
    <r>
      <rPr>
        <b/>
        <sz val="11"/>
        <color rgb="FFFFFF00"/>
        <rFont val="Cambria"/>
        <family val="1"/>
      </rPr>
      <t>CONSUMER CATEGORYWISE AVERAGE TARIFF, 2010-11</t>
    </r>
  </si>
  <si>
    <r>
      <rPr>
        <b/>
        <sz val="11"/>
        <color rgb="FFFFFF00"/>
        <rFont val="Cambria"/>
        <family val="1"/>
      </rPr>
      <t>S.No.  State/EDs                       Domes-    Commer- Agri./       Indus-      Rly.           Outside   Overall tic               cial             irrig.        trial          tractn.     State         average</t>
    </r>
  </si>
  <si>
    <r>
      <rPr>
        <b/>
        <i/>
        <sz val="11"/>
        <rFont val="Cambria"/>
        <family val="1"/>
      </rPr>
      <t xml:space="preserve">SPUs                                                                                                                                                     </t>
    </r>
    <r>
      <rPr>
        <sz val="10"/>
        <rFont val="Cambria"/>
        <family val="1"/>
      </rPr>
      <t>(Paise/Kwh)</t>
    </r>
  </si>
  <si>
    <r>
      <rPr>
        <sz val="10"/>
        <rFont val="Cambria"/>
        <family val="1"/>
      </rPr>
      <t>Andhra Pradesh</t>
    </r>
  </si>
  <si>
    <r>
      <rPr>
        <sz val="10"/>
        <rFont val="Cambria"/>
        <family val="1"/>
      </rPr>
      <t>Assam</t>
    </r>
  </si>
  <si>
    <r>
      <rPr>
        <sz val="10"/>
        <rFont val="Cambria"/>
        <family val="1"/>
      </rPr>
      <t>Bihar</t>
    </r>
  </si>
  <si>
    <r>
      <rPr>
        <sz val="10"/>
        <rFont val="Cambria"/>
        <family val="1"/>
      </rPr>
      <t>Chattisgarh</t>
    </r>
  </si>
  <si>
    <r>
      <rPr>
        <sz val="10"/>
        <rFont val="Cambria"/>
        <family val="1"/>
      </rPr>
      <t>Delhi</t>
    </r>
  </si>
  <si>
    <r>
      <rPr>
        <sz val="10"/>
        <rFont val="Cambria"/>
        <family val="1"/>
      </rPr>
      <t>Gujarat</t>
    </r>
  </si>
  <si>
    <r>
      <rPr>
        <sz val="10"/>
        <rFont val="Cambria"/>
        <family val="1"/>
      </rPr>
      <t>Haryana</t>
    </r>
  </si>
  <si>
    <r>
      <rPr>
        <sz val="10"/>
        <rFont val="Cambria"/>
        <family val="1"/>
      </rPr>
      <t>Himachal Pradesh</t>
    </r>
  </si>
  <si>
    <r>
      <rPr>
        <sz val="10"/>
        <rFont val="Cambria"/>
        <family val="1"/>
      </rPr>
      <t>Jammu &amp; Kashmir</t>
    </r>
  </si>
  <si>
    <r>
      <rPr>
        <sz val="10"/>
        <rFont val="Cambria"/>
        <family val="1"/>
      </rPr>
      <t>Jharkhand</t>
    </r>
  </si>
  <si>
    <r>
      <rPr>
        <sz val="10"/>
        <rFont val="Cambria"/>
        <family val="1"/>
      </rPr>
      <t>Karnataka</t>
    </r>
  </si>
  <si>
    <r>
      <rPr>
        <sz val="10"/>
        <rFont val="Cambria"/>
        <family val="1"/>
      </rPr>
      <t>Kerala</t>
    </r>
  </si>
  <si>
    <r>
      <rPr>
        <sz val="10"/>
        <rFont val="Cambria"/>
        <family val="1"/>
      </rPr>
      <t>Madhya Pradesh</t>
    </r>
  </si>
  <si>
    <r>
      <rPr>
        <sz val="10"/>
        <rFont val="Cambria"/>
        <family val="1"/>
      </rPr>
      <t>Maharashtra</t>
    </r>
  </si>
  <si>
    <r>
      <rPr>
        <sz val="10"/>
        <rFont val="Cambria"/>
        <family val="1"/>
      </rPr>
      <t>Meghalaya</t>
    </r>
  </si>
  <si>
    <r>
      <rPr>
        <sz val="10"/>
        <rFont val="Cambria"/>
        <family val="1"/>
      </rPr>
      <t>Orissa</t>
    </r>
  </si>
  <si>
    <r>
      <rPr>
        <sz val="10"/>
        <rFont val="Cambria"/>
        <family val="1"/>
      </rPr>
      <t>Punjab</t>
    </r>
  </si>
  <si>
    <r>
      <rPr>
        <sz val="10"/>
        <rFont val="Cambria"/>
        <family val="1"/>
      </rPr>
      <t>Rajasthan</t>
    </r>
  </si>
  <si>
    <r>
      <rPr>
        <sz val="10"/>
        <rFont val="Cambria"/>
        <family val="1"/>
      </rPr>
      <t>Tamil Nadu</t>
    </r>
  </si>
  <si>
    <r>
      <rPr>
        <sz val="10"/>
        <rFont val="Cambria"/>
        <family val="1"/>
      </rPr>
      <t>Uttar Pradesh</t>
    </r>
  </si>
  <si>
    <r>
      <rPr>
        <sz val="10"/>
        <rFont val="Cambria"/>
        <family val="1"/>
      </rPr>
      <t>Uttarakhand</t>
    </r>
  </si>
  <si>
    <r>
      <rPr>
        <sz val="10"/>
        <rFont val="Cambria"/>
        <family val="1"/>
      </rPr>
      <t>West Bengal</t>
    </r>
  </si>
  <si>
    <r>
      <rPr>
        <b/>
        <sz val="11"/>
        <color rgb="FFFFFF00"/>
        <rFont val="Cambria"/>
        <family val="1"/>
      </rPr>
      <t>Average of SPUs             303.89     648.80    138.18     488.22     494.34     351.26       368.27</t>
    </r>
  </si>
  <si>
    <r>
      <rPr>
        <b/>
        <i/>
        <sz val="11"/>
        <rFont val="Cambria"/>
        <family val="1"/>
      </rPr>
      <t>II. EDs</t>
    </r>
  </si>
  <si>
    <r>
      <rPr>
        <sz val="10"/>
        <rFont val="Cambria"/>
        <family val="1"/>
      </rPr>
      <t>Arunachal Pradesh</t>
    </r>
  </si>
  <si>
    <r>
      <rPr>
        <sz val="10"/>
        <rFont val="Cambria"/>
        <family val="1"/>
      </rPr>
      <t>Goa</t>
    </r>
  </si>
  <si>
    <r>
      <rPr>
        <sz val="10"/>
        <rFont val="Cambria"/>
        <family val="1"/>
      </rPr>
      <t>Manipur</t>
    </r>
  </si>
  <si>
    <r>
      <rPr>
        <sz val="10"/>
        <rFont val="Cambria"/>
        <family val="1"/>
      </rPr>
      <t>Mizoram</t>
    </r>
  </si>
  <si>
    <r>
      <rPr>
        <sz val="10"/>
        <rFont val="Cambria"/>
        <family val="1"/>
      </rPr>
      <t>Nagaland</t>
    </r>
  </si>
  <si>
    <r>
      <rPr>
        <sz val="10"/>
        <rFont val="Cambria"/>
        <family val="1"/>
      </rPr>
      <t>Pondicherry</t>
    </r>
  </si>
  <si>
    <r>
      <rPr>
        <sz val="10"/>
        <rFont val="Cambria"/>
        <family val="1"/>
      </rPr>
      <t>Sikkim</t>
    </r>
  </si>
  <si>
    <r>
      <rPr>
        <sz val="10"/>
        <rFont val="Cambria"/>
        <family val="1"/>
      </rPr>
      <t>Tripura</t>
    </r>
  </si>
  <si>
    <r>
      <rPr>
        <b/>
        <sz val="11"/>
        <color rgb="FFFFFF00"/>
        <rFont val="Cambria"/>
        <family val="1"/>
      </rPr>
      <t>Average of EDs</t>
    </r>
  </si>
  <si>
    <r>
      <rPr>
        <b/>
        <sz val="11"/>
        <color rgb="FFFFFF00"/>
        <rFont val="Cambria"/>
        <family val="1"/>
      </rPr>
      <t>All India Average</t>
    </r>
  </si>
  <si>
    <t>Industry</t>
  </si>
  <si>
    <t>outside state</t>
  </si>
  <si>
    <t>outside overall</t>
  </si>
  <si>
    <t>Tax</t>
  </si>
  <si>
    <t>Equivalent Tax Rate</t>
  </si>
  <si>
    <t>Consumption</t>
  </si>
  <si>
    <r>
      <rPr>
        <sz val="8"/>
        <rFont val="Cambria"/>
        <family val="1"/>
      </rPr>
      <t>(MkWh)</t>
    </r>
  </si>
  <si>
    <r>
      <rPr>
        <b/>
        <sz val="8"/>
        <rFont val="Cambria"/>
        <family val="1"/>
      </rPr>
      <t>S.No</t>
    </r>
  </si>
  <si>
    <r>
      <rPr>
        <b/>
        <sz val="8"/>
        <rFont val="Cambria"/>
        <family val="1"/>
      </rPr>
      <t>State</t>
    </r>
  </si>
  <si>
    <r>
      <rPr>
        <b/>
        <sz val="8"/>
        <rFont val="Cambria"/>
        <family val="1"/>
      </rPr>
      <t>Domestic</t>
    </r>
  </si>
  <si>
    <r>
      <rPr>
        <b/>
        <sz val="8"/>
        <rFont val="Cambria"/>
        <family val="1"/>
      </rPr>
      <t>Commer- cial</t>
    </r>
  </si>
  <si>
    <r>
      <rPr>
        <b/>
        <sz val="8"/>
        <rFont val="Cambria"/>
        <family val="1"/>
      </rPr>
      <t>Agri/ irrig.</t>
    </r>
  </si>
  <si>
    <r>
      <rPr>
        <b/>
        <sz val="8"/>
        <rFont val="Cambria"/>
        <family val="1"/>
      </rPr>
      <t>Industry</t>
    </r>
  </si>
  <si>
    <r>
      <rPr>
        <b/>
        <sz val="8"/>
        <rFont val="Cambria"/>
        <family val="1"/>
      </rPr>
      <t>Railway traction</t>
    </r>
  </si>
  <si>
    <r>
      <rPr>
        <b/>
        <sz val="8"/>
        <rFont val="Cambria"/>
        <family val="1"/>
      </rPr>
      <t>Outside the State/UT</t>
    </r>
  </si>
  <si>
    <r>
      <rPr>
        <b/>
        <sz val="8"/>
        <rFont val="Cambria"/>
        <family val="1"/>
      </rPr>
      <t>Others</t>
    </r>
  </si>
  <si>
    <r>
      <rPr>
        <b/>
        <sz val="8"/>
        <rFont val="Cambria"/>
        <family val="1"/>
      </rPr>
      <t>Total</t>
    </r>
  </si>
  <si>
    <r>
      <rPr>
        <b/>
        <i/>
        <sz val="8"/>
        <rFont val="Cambria"/>
        <family val="1"/>
      </rPr>
      <t>I. SPUs</t>
    </r>
  </si>
  <si>
    <r>
      <rPr>
        <sz val="8"/>
        <rFont val="Cambria"/>
        <family val="1"/>
      </rPr>
      <t>Andhra Pradesh</t>
    </r>
  </si>
  <si>
    <r>
      <rPr>
        <sz val="8"/>
        <rFont val="Cambria"/>
        <family val="1"/>
      </rPr>
      <t>Assam</t>
    </r>
  </si>
  <si>
    <r>
      <rPr>
        <sz val="8"/>
        <rFont val="Cambria"/>
        <family val="1"/>
      </rPr>
      <t>Bihar</t>
    </r>
  </si>
  <si>
    <r>
      <rPr>
        <sz val="8"/>
        <rFont val="Cambria"/>
        <family val="1"/>
      </rPr>
      <t>Chhatisgarh</t>
    </r>
  </si>
  <si>
    <r>
      <rPr>
        <sz val="8"/>
        <rFont val="Cambria"/>
        <family val="1"/>
      </rPr>
      <t>Gujarat</t>
    </r>
  </si>
  <si>
    <r>
      <rPr>
        <sz val="8"/>
        <rFont val="Cambria"/>
        <family val="1"/>
      </rPr>
      <t>Haryana</t>
    </r>
  </si>
  <si>
    <r>
      <rPr>
        <sz val="8"/>
        <rFont val="Cambria"/>
        <family val="1"/>
      </rPr>
      <t>Himachal Pradesh</t>
    </r>
  </si>
  <si>
    <r>
      <rPr>
        <sz val="8"/>
        <rFont val="Cambria"/>
        <family val="1"/>
      </rPr>
      <t>Jammu &amp; Kashmir</t>
    </r>
  </si>
  <si>
    <r>
      <rPr>
        <sz val="8"/>
        <rFont val="Cambria"/>
        <family val="1"/>
      </rPr>
      <t>Jharkhand</t>
    </r>
  </si>
  <si>
    <r>
      <rPr>
        <sz val="8"/>
        <rFont val="Cambria"/>
        <family val="1"/>
      </rPr>
      <t>Karnataka</t>
    </r>
  </si>
  <si>
    <r>
      <rPr>
        <sz val="8"/>
        <rFont val="Cambria"/>
        <family val="1"/>
      </rPr>
      <t>Kerala</t>
    </r>
  </si>
  <si>
    <r>
      <rPr>
        <sz val="8"/>
        <rFont val="Cambria"/>
        <family val="1"/>
      </rPr>
      <t>Madhya Pradesh</t>
    </r>
  </si>
  <si>
    <r>
      <rPr>
        <sz val="8"/>
        <rFont val="Cambria"/>
        <family val="1"/>
      </rPr>
      <t>Maharashtra</t>
    </r>
  </si>
  <si>
    <r>
      <rPr>
        <sz val="8"/>
        <rFont val="Cambria"/>
        <family val="1"/>
      </rPr>
      <t>Meghalaya</t>
    </r>
  </si>
  <si>
    <r>
      <rPr>
        <sz val="8"/>
        <rFont val="Cambria"/>
        <family val="1"/>
      </rPr>
      <t>Punjab</t>
    </r>
  </si>
  <si>
    <r>
      <rPr>
        <sz val="8"/>
        <rFont val="Cambria"/>
        <family val="1"/>
      </rPr>
      <t>Rajasthan</t>
    </r>
  </si>
  <si>
    <r>
      <rPr>
        <sz val="8"/>
        <rFont val="Cambria"/>
        <family val="1"/>
      </rPr>
      <t>Tamil Nadu</t>
    </r>
  </si>
  <si>
    <r>
      <rPr>
        <sz val="8"/>
        <rFont val="Cambria"/>
        <family val="1"/>
      </rPr>
      <t>Uttar Pradesh</t>
    </r>
  </si>
  <si>
    <r>
      <rPr>
        <sz val="8"/>
        <rFont val="Cambria"/>
        <family val="1"/>
      </rPr>
      <t>Uttrakhand</t>
    </r>
  </si>
  <si>
    <r>
      <rPr>
        <sz val="8"/>
        <rFont val="Cambria"/>
        <family val="1"/>
      </rPr>
      <t>West Bengal</t>
    </r>
  </si>
  <si>
    <r>
      <rPr>
        <b/>
        <i/>
        <sz val="8"/>
        <rFont val="Cambria"/>
        <family val="1"/>
      </rPr>
      <t>II EDs</t>
    </r>
  </si>
  <si>
    <r>
      <rPr>
        <sz val="8"/>
        <rFont val="Cambria"/>
        <family val="1"/>
      </rPr>
      <t>Arunachal Pradesh</t>
    </r>
  </si>
  <si>
    <r>
      <rPr>
        <sz val="8"/>
        <rFont val="Cambria"/>
        <family val="1"/>
      </rPr>
      <t>Goa</t>
    </r>
  </si>
  <si>
    <r>
      <rPr>
        <sz val="8"/>
        <rFont val="Cambria"/>
        <family val="1"/>
      </rPr>
      <t>Manipur</t>
    </r>
  </si>
  <si>
    <r>
      <rPr>
        <sz val="8"/>
        <rFont val="Cambria"/>
        <family val="1"/>
      </rPr>
      <t>Mizoram</t>
    </r>
  </si>
  <si>
    <r>
      <rPr>
        <sz val="8"/>
        <rFont val="Cambria"/>
        <family val="1"/>
      </rPr>
      <t>Nagaland</t>
    </r>
  </si>
  <si>
    <r>
      <rPr>
        <sz val="8"/>
        <rFont val="Cambria"/>
        <family val="1"/>
      </rPr>
      <t>Ponicherry</t>
    </r>
  </si>
  <si>
    <r>
      <rPr>
        <sz val="8"/>
        <rFont val="Cambria"/>
        <family val="1"/>
      </rPr>
      <t>Sikkim</t>
    </r>
  </si>
  <si>
    <r>
      <rPr>
        <sz val="8"/>
        <rFont val="Cambria"/>
        <family val="1"/>
      </rPr>
      <t>Tripura</t>
    </r>
  </si>
  <si>
    <r>
      <rPr>
        <b/>
        <sz val="8"/>
        <rFont val="Cambria"/>
        <family val="1"/>
      </rPr>
      <t>Total (I+II) :</t>
    </r>
  </si>
  <si>
    <t>railway</t>
  </si>
  <si>
    <r>
      <rPr>
        <sz val="8"/>
        <rFont val="Cambria"/>
        <family val="1"/>
      </rPr>
      <t>Annexure 3.34</t>
    </r>
  </si>
  <si>
    <r>
      <rPr>
        <b/>
        <sz val="8"/>
        <rFont val="Cambria"/>
        <family val="1"/>
      </rPr>
      <t>CONSUMER CATEGORYWISE SALE OF POWER - 2011-12</t>
    </r>
  </si>
  <si>
    <r>
      <rPr>
        <sz val="8"/>
        <rFont val="Cambria"/>
        <family val="1"/>
      </rPr>
      <t>Delhi</t>
    </r>
  </si>
  <si>
    <r>
      <rPr>
        <sz val="8"/>
        <rFont val="Cambria"/>
        <family val="1"/>
      </rPr>
      <t>Orissa</t>
    </r>
  </si>
  <si>
    <r>
      <rPr>
        <b/>
        <sz val="8"/>
        <rFont val="Cambria"/>
        <family val="1"/>
      </rPr>
      <t>Sub-total :(I)                     143757.8        47709.2      138983.2        197417.7       10911.2       18762.0        46142.8         603683.6</t>
    </r>
  </si>
  <si>
    <r>
      <rPr>
        <b/>
        <sz val="8"/>
        <rFont val="Cambria"/>
        <family val="1"/>
      </rPr>
      <t>Sub-total   :(II)</t>
    </r>
  </si>
  <si>
    <r>
      <rPr>
        <sz val="8"/>
        <rFont val="Cambria"/>
        <family val="1"/>
      </rPr>
      <t>Note:  Delhi data is  for NDPL Discom only</t>
    </r>
  </si>
  <si>
    <t>domestic</t>
  </si>
  <si>
    <t>commercial</t>
  </si>
  <si>
    <t>agriculture</t>
  </si>
  <si>
    <t>industry</t>
  </si>
  <si>
    <t>Uttrakhand</t>
  </si>
  <si>
    <t>Ministry of Petroleum and Natural Gas</t>
  </si>
  <si>
    <t>Ready Reckoner: Snapshot of India's Oil &amp; Gas Data</t>
  </si>
  <si>
    <t xml:space="preserve">Petroleum Gasoline and  Diesel </t>
  </si>
  <si>
    <t>Indian Petroleum and Natural Gas Statistics</t>
  </si>
  <si>
    <t>Electricity Tax Rates</t>
  </si>
  <si>
    <t>BankBazaar</t>
  </si>
  <si>
    <t>Electricity Duty - Tax and Duty on Electricity Bills in India</t>
  </si>
  <si>
    <t>https://www.bankbazaar.com/tax/electricity-duty.html</t>
  </si>
  <si>
    <t>Electricity Average Tariff and Consumption</t>
  </si>
  <si>
    <t>Planning Commission</t>
  </si>
  <si>
    <t>Annual Report (2013-2014) on the Working of State Power Utilities and Electricity Departments</t>
  </si>
  <si>
    <t>Annexures 4.23 and 3.36</t>
  </si>
  <si>
    <t>http://planningcommission.nic.in/reports/genrep/rep_arpower0306.pdf</t>
  </si>
  <si>
    <t>Coal</t>
  </si>
  <si>
    <t>Ministry of Coal</t>
  </si>
  <si>
    <t>Post GST reduction of incidence of Tax on Coal Consumers </t>
  </si>
  <si>
    <t>Notes:</t>
  </si>
  <si>
    <t>We assume biomass and biofuels are taxed at the GST rate of 5%. Though we forecast changes</t>
  </si>
  <si>
    <t>to petroleum product prices, we assume the tax rates remain fixed in future years.</t>
  </si>
  <si>
    <t>crude oil</t>
  </si>
  <si>
    <t>heavy fuel oil</t>
  </si>
  <si>
    <t>LPG propane or butane</t>
  </si>
  <si>
    <t>municipal solid waste</t>
  </si>
  <si>
    <t>hydrogen</t>
  </si>
  <si>
    <t>Share of Price That is Tax (dimensionless)</t>
  </si>
  <si>
    <t>VII.3 Sales tax rates applicable on crude oil, natural gas and petroleum products (Contd...)</t>
  </si>
  <si>
    <t>http://ppac.org.in/WriteReadData/Reports/201811200650439471143SnapshotofIndiasOilandGasData_October2018.pdf</t>
  </si>
  <si>
    <t>Table 23, Page 18</t>
  </si>
  <si>
    <t xml:space="preserve">Price buildup of petroleum products (Rs./litre/Cylinder) </t>
  </si>
  <si>
    <t>23. Information on Prices, Taxes and Under-recoveries/Subsidies</t>
  </si>
  <si>
    <t>Particulars</t>
  </si>
  <si>
    <t>Diesel</t>
  </si>
  <si>
    <t>Petrol</t>
  </si>
  <si>
    <t>Price charged to dealers (excluding Excise Duty and VAT)</t>
  </si>
  <si>
    <t>Excise Duty</t>
  </si>
  <si>
    <t>Dealer Commission (Average)</t>
  </si>
  <si>
    <t>VAT (incl VAT on dealer commission)</t>
  </si>
  <si>
    <t>Retail selling price (RSP) -RoundedFO</t>
  </si>
  <si>
    <t>Tax percentage</t>
  </si>
  <si>
    <t>Note: We include Excise Duty and Dealer commission as it is passed on to the consumer in the final retail price</t>
  </si>
  <si>
    <t>|</t>
  </si>
  <si>
    <t>|&lt;-- Tax component</t>
  </si>
  <si>
    <t>V.13 State-wise Sales of Major Petroleum Products during 2016-17 (P)</t>
  </si>
  <si>
    <t>Andaman &amp; Nicobar Islands</t>
  </si>
  <si>
    <t>(As on 01.04.2018)</t>
  </si>
  <si>
    <t>(Excerpt for Crude Oil, Natural Gas and ATF (Bonded))</t>
  </si>
  <si>
    <t>http://petroleum.nic.in/sites/default/files/ipngstat_0.pdf</t>
  </si>
  <si>
    <t>Tripura</t>
  </si>
  <si>
    <t>2017-18 (P)</t>
  </si>
  <si>
    <t>2016-17</t>
  </si>
  <si>
    <t>(Excerpt for Gross Production &amp; Net Production Values)</t>
  </si>
  <si>
    <t>Source: Snapshot of India's Oil &amp; Gas Data, Oct 2018 (PPAC)</t>
  </si>
  <si>
    <t>Source: Indian Petroleum and Natural Gas Statistics, 2017-18 (MoPNG)</t>
  </si>
  <si>
    <t>Table II.15, Page 30</t>
  </si>
  <si>
    <t>Table VII.3, Page 113</t>
  </si>
  <si>
    <t>Source: Bank Bazaar</t>
  </si>
  <si>
    <t>Source: Planning Commission</t>
  </si>
  <si>
    <t>II.12 Production of Crude Oil and Condensate (Financial Year-wise)</t>
  </si>
  <si>
    <t>State / Region</t>
  </si>
  <si>
    <t>1. Crude Oil Production (TMT)</t>
  </si>
  <si>
    <t>(a) Onshore</t>
  </si>
  <si>
    <t>Arunachal Pradesh</t>
  </si>
  <si>
    <t>Total (a)</t>
  </si>
  <si>
    <t>(b) Offshore</t>
  </si>
  <si>
    <t>ONGC</t>
  </si>
  <si>
    <t>PSC Regime</t>
  </si>
  <si>
    <t>Total (b)</t>
  </si>
  <si>
    <t>Tax Rate</t>
  </si>
  <si>
    <t>&lt;-- Weighted tax rate</t>
  </si>
  <si>
    <t>Production</t>
  </si>
  <si>
    <t>Pit head value</t>
  </si>
  <si>
    <t>Value per unit produced</t>
  </si>
  <si>
    <t>Lignite</t>
  </si>
  <si>
    <t>Ministry of Coal, Government of India</t>
  </si>
  <si>
    <t>Coal Statistics</t>
  </si>
  <si>
    <t>http://www.coalcontroller.gov.in/writereaddata/files/download/coaldirectory/CoalDirectory2017-18.pdf</t>
  </si>
  <si>
    <t>Section VI, Page 6.1 (Statement 6.1) &amp; Page 6.2 (Table 6.1)</t>
  </si>
  <si>
    <t>Coal &amp; Lignite Pit head values (2018)</t>
  </si>
  <si>
    <t>Source: Coal Statistics, 2018</t>
  </si>
  <si>
    <t>Prices  for Power Utilities
(Jan 2018) (Rs./ton)</t>
  </si>
  <si>
    <t>Tables I and II</t>
  </si>
  <si>
    <t>Coal Prices for 2018</t>
  </si>
  <si>
    <t>Coal and Lignite Pit Head Values for 2018</t>
  </si>
  <si>
    <t>Coal India Ltd.</t>
  </si>
  <si>
    <t>https://www.coalindia.in/DesktopModules/DocumentList/documents/Price_Notification_dated_08.01.2018_effective_from_0000_Hrs_of_09.01.2018_09012018.pdf</t>
  </si>
  <si>
    <t>Price Notification for Run of Mine Price of Non-Coking Coal</t>
  </si>
  <si>
    <t>Tables I and II, Price for Power Utilities</t>
  </si>
  <si>
    <t>Table I</t>
  </si>
  <si>
    <t>Table II</t>
  </si>
  <si>
    <t>Source: Price Notification (Jan 2018), Coal India Ltd.</t>
  </si>
  <si>
    <t>*Price considered for median grade (G9)</t>
  </si>
  <si>
    <t>Pit Head Prices of Non-Coking coal (2018)</t>
  </si>
  <si>
    <t>Avg. (Rs./ton)</t>
  </si>
  <si>
    <t>Rs./ton</t>
  </si>
  <si>
    <t>Scaled Lignite Cost (2018)*</t>
  </si>
  <si>
    <t>*Scaling is done relative to per unit pit head value of coal in 2018</t>
  </si>
  <si>
    <t xml:space="preserve">Compensation Cess 
</t>
  </si>
  <si>
    <t>Final Price</t>
  </si>
  <si>
    <t>Price Build-up of Coal &amp; Lignite (2018) (Rs./ton)</t>
  </si>
  <si>
    <t xml:space="preserve">Pit Head Price </t>
  </si>
  <si>
    <t>GST  (@5%)</t>
  </si>
  <si>
    <t xml:space="preserve">Transportation </t>
  </si>
  <si>
    <t>Coal Transportation Rates</t>
  </si>
  <si>
    <t>Indian Railways</t>
  </si>
  <si>
    <t>Freight Rates (Coal Transport) (Rs./ton)</t>
  </si>
  <si>
    <t>Source: Freight Rates for Coal, Indian Railways</t>
  </si>
  <si>
    <t>Rate class 145A (Train Rate)</t>
  </si>
  <si>
    <t>Tax Fraction</t>
  </si>
  <si>
    <t>http://www.indianrailways.gov.in/railwayboard/uploads/directorate/traffic_comm/downloads/Freight_Rate_2018/RC_01_2018_09012018.pdf</t>
  </si>
  <si>
    <t>Freight Rates Circular dated 09.01.2018</t>
  </si>
  <si>
    <t>Circular No. TCR/1078/2015/07, Class 145B, Wagon Load</t>
  </si>
  <si>
    <t>426 - 500</t>
  </si>
  <si>
    <t>Class 145A (Wagon load)</t>
  </si>
  <si>
    <t>Distance slabs (km)*</t>
  </si>
  <si>
    <t>*Assumption for average distance transported: 
"According to Coal India executives, coal travels about 477 km on average from pithead to destination." -- 
Source: https://economictimes.indiatimes.com/industry/indl-goods/svs/metals-mining/coal-india-looks-to-cut-power-producers-transport-costs/articleshow/61192411.cms?from=mdr</t>
  </si>
  <si>
    <t>Apart from GST of 5%, a GST compensation cess is levied on coal and lignite at Rs. 400/tonne,</t>
  </si>
  <si>
    <t>as a replacement of the previously levied Clean Environment Cess.</t>
  </si>
  <si>
    <t>To estimate this as a fraction of coal price, we assume the base coal price to be the pit head</t>
  </si>
  <si>
    <t xml:space="preserve">price for median grade coal as notified by Coal India Ltd. We scale the cost for lignite </t>
  </si>
  <si>
    <t>(which is not available in sources), based on the ratio of lignite pit head value to coal</t>
  </si>
  <si>
    <t>pit head value. We then add the remaining components i.e. GST + Compensation cess + freight charges</t>
  </si>
  <si>
    <t>to build-up to the final effective price, of which tax fraction (from GST + Compensation Cess)</t>
  </si>
  <si>
    <t>Coal &amp; Lignite</t>
  </si>
  <si>
    <t>Transportation tax* (@5%)</t>
  </si>
  <si>
    <t>*Transportation tax of 5% under GST: 
"Under GST, the tax rate on transportation services through rail has been charged at the rate of 5%." -- 
Source: https://cleartax.in/s/6815</t>
  </si>
  <si>
    <t>is estimated. This is estimated for domestic coal only.</t>
  </si>
  <si>
    <t>II.15 State-wise Gross &amp; Net Production of Natural Gas in India</t>
  </si>
  <si>
    <t>VII.4: GST Rates Applicable on Select Petroleum Products (As on 01.04.2018)</t>
  </si>
  <si>
    <t>Product</t>
  </si>
  <si>
    <t>Central</t>
  </si>
  <si>
    <t>State/UT</t>
  </si>
  <si>
    <t>Fuel Oil</t>
  </si>
  <si>
    <t>Table VII.4, Page 115</t>
  </si>
  <si>
    <t>(in %)</t>
  </si>
  <si>
    <t>LPG - Domestic</t>
  </si>
  <si>
    <t>Crude Oil, Natural Gas, Jet Fuel, LPG, Heavy Fuel Oil</t>
  </si>
  <si>
    <t>Tables VII.3, VII.4, V.13, and II.15, II.12</t>
  </si>
  <si>
    <t>Petroleum &amp; Diesel</t>
  </si>
  <si>
    <t>We use the representative price build up for the country as reported by PPAC.</t>
  </si>
  <si>
    <t>We include excise duties as it is passed on to retail consumer</t>
  </si>
  <si>
    <t>Crude Oil</t>
  </si>
  <si>
    <t>State tax rates for crude oil is weighted by production quantities in major oil producing states</t>
  </si>
  <si>
    <t>State tax rates are weighted by consumption or net sales in the states and a weighted</t>
  </si>
  <si>
    <t>average tax rate is estimated for the country</t>
  </si>
  <si>
    <t>and a weighted average tax rate is estimated for the country</t>
  </si>
  <si>
    <t xml:space="preserve">Natural Gas and Jet Fuel </t>
  </si>
  <si>
    <t>Royalties and oil development cess are not included towards tax components in Crude Oil</t>
  </si>
  <si>
    <t>in order to estimate the share of royalties + oil development cess in the final price.</t>
  </si>
  <si>
    <t>and Natural Gas, as only a lumpsum amount is reported at the country level in the MoPNG report</t>
  </si>
  <si>
    <t>Electricity</t>
  </si>
  <si>
    <t>Weighted average by state and category-wise consumption. Latest data available only for 2014</t>
  </si>
  <si>
    <t xml:space="preserve">Municipal Solid Waste and Hydrogen fuels not accounted for as they are very nascent in India. </t>
  </si>
  <si>
    <t>Heat for industrial processes is an intermediary fuel and not included (zero values)</t>
  </si>
  <si>
    <t xml:space="preserve">and insufficient data is available on nat gas and oil prices to estimate the price build up of the fuels, </t>
  </si>
  <si>
    <t>Tax fraction (GST + Cess + Royalty+Transport tax)</t>
  </si>
  <si>
    <t>Ministry of Mines</t>
  </si>
  <si>
    <t>Royalty Rate of Minerals</t>
  </si>
  <si>
    <t>https://pib.gov.in/newsite/PrintRelease.aspx?relid=101253</t>
  </si>
  <si>
    <t>Coal and Lignite Royalties</t>
  </si>
  <si>
    <t>Royalty (@14%-coal;6%-lignite)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</si>
</sst>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###0;###0"/>
    <numFmt numFmtId="166" formatCode="###0_);\(###0\)"/>
    <numFmt numFmtId="167" formatCode="###0.00;###0.00"/>
    <numFmt numFmtId="168" formatCode="0.0%"/>
    <numFmt numFmtId="169" formatCode="###0.0;###0.0"/>
    <numFmt numFmtId="170" formatCode="0.0000"/>
    <numFmt numFmtId="171" formatCode="0.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Calibri"/>
    </font>
    <font>
      <b/>
      <sz val="12"/>
      <color rgb="FFFFFFFF"/>
      <name val="Calibri"/>
      <family val="2"/>
    </font>
    <font>
      <sz val="9"/>
      <name val="Calibri"/>
    </font>
    <font>
      <sz val="9"/>
      <color rgb="FF231F20"/>
      <name val="Calibri"/>
      <family val="2"/>
    </font>
    <font>
      <b/>
      <sz val="8"/>
      <name val="Calibri"/>
    </font>
    <font>
      <b/>
      <sz val="8"/>
      <color rgb="FF231F20"/>
      <name val="Calibri"/>
      <family val="2"/>
    </font>
    <font>
      <sz val="8"/>
      <name val="Calibri"/>
    </font>
    <font>
      <sz val="8"/>
      <color rgb="FF231F20"/>
      <name val="Calibri"/>
      <family val="2"/>
    </font>
    <font>
      <b/>
      <i/>
      <sz val="8"/>
      <color rgb="FF231F20"/>
      <name val="Calibri"/>
      <family val="2"/>
    </font>
    <font>
      <b/>
      <sz val="7"/>
      <name val="Calibri"/>
    </font>
    <font>
      <b/>
      <sz val="7"/>
      <color rgb="FF231F20"/>
      <name val="Calibri"/>
      <family val="2"/>
    </font>
    <font>
      <b/>
      <i/>
      <sz val="7"/>
      <color rgb="FF231F20"/>
      <name val="Calibri"/>
      <family val="2"/>
    </font>
    <font>
      <sz val="7"/>
      <name val="Calibri"/>
    </font>
    <font>
      <sz val="7"/>
      <color rgb="FF231F20"/>
      <name val="Calibri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  <font>
      <sz val="11"/>
      <color rgb="FF34495E"/>
      <name val="Arial"/>
      <family val="2"/>
    </font>
    <font>
      <b/>
      <sz val="11"/>
      <color rgb="FF34495E"/>
      <name val="Arial"/>
      <family val="2"/>
    </font>
    <font>
      <b/>
      <sz val="11"/>
      <name val="Cambria"/>
      <family val="1"/>
    </font>
    <font>
      <b/>
      <sz val="11"/>
      <color rgb="FFFFFF00"/>
      <name val="Cambria"/>
      <family val="1"/>
    </font>
    <font>
      <b/>
      <i/>
      <sz val="11"/>
      <name val="Cambria"/>
      <family val="1"/>
    </font>
    <font>
      <sz val="10"/>
      <name val="Cambria"/>
      <family val="1"/>
    </font>
    <font>
      <sz val="10"/>
      <color rgb="FF000000"/>
      <name val="Cambria"/>
      <family val="2"/>
    </font>
    <font>
      <sz val="10"/>
      <color rgb="FF000000"/>
      <name val="Calibri"/>
      <family val="2"/>
    </font>
    <font>
      <b/>
      <sz val="11"/>
      <color rgb="FFFFFF00"/>
      <name val="Cambria"/>
      <family val="2"/>
    </font>
    <font>
      <sz val="8"/>
      <name val="Cambria"/>
      <family val="1"/>
    </font>
    <font>
      <b/>
      <sz val="8"/>
      <name val="Cambria"/>
      <family val="1"/>
    </font>
    <font>
      <b/>
      <i/>
      <sz val="8"/>
      <name val="Cambria"/>
      <family val="1"/>
    </font>
    <font>
      <sz val="8"/>
      <color rgb="FF000000"/>
      <name val="Cambria"/>
      <family val="2"/>
    </font>
    <font>
      <b/>
      <sz val="8"/>
      <color rgb="FF000000"/>
      <name val="Cambria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name val="Calibri"/>
      <family val="2"/>
    </font>
    <font>
      <sz val="10"/>
      <color rgb="FF34495E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00B05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C00000"/>
      </patternFill>
    </fill>
    <fill>
      <patternFill patternType="solid">
        <fgColor rgb="FFFEF3D8"/>
      </patternFill>
    </fill>
    <fill>
      <patternFill patternType="solid">
        <fgColor rgb="FFFEF0CE"/>
      </patternFill>
    </fill>
    <fill>
      <patternFill patternType="solid">
        <fgColor rgb="FFFDE9D9"/>
      </patternFill>
    </fill>
    <fill>
      <patternFill patternType="solid">
        <fgColor rgb="FFF1F1F1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9" fontId="10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9" applyNumberFormat="0" applyAlignment="0" applyProtection="0"/>
  </cellStyleXfs>
  <cellXfs count="16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0" fillId="0" borderId="0" xfId="0" applyFont="1"/>
    <xf numFmtId="0" fontId="9" fillId="0" borderId="0" xfId="1" applyFont="1"/>
    <xf numFmtId="0" fontId="20" fillId="0" borderId="13" xfId="0" applyFont="1" applyFill="1" applyBorder="1" applyAlignment="1">
      <alignment horizontal="left" vertical="top" wrapText="1"/>
    </xf>
    <xf numFmtId="165" fontId="21" fillId="0" borderId="13" xfId="0" applyNumberFormat="1" applyFont="1" applyFill="1" applyBorder="1" applyAlignment="1">
      <alignment horizontal="right" vertical="top" wrapText="1"/>
    </xf>
    <xf numFmtId="165" fontId="21" fillId="0" borderId="13" xfId="0" applyNumberFormat="1" applyFont="1" applyFill="1" applyBorder="1" applyAlignment="1">
      <alignment horizontal="left" vertical="top" wrapText="1"/>
    </xf>
    <xf numFmtId="0" fontId="20" fillId="0" borderId="14" xfId="0" applyFont="1" applyFill="1" applyBorder="1" applyAlignment="1">
      <alignment horizontal="left" vertical="top" wrapText="1"/>
    </xf>
    <xf numFmtId="165" fontId="21" fillId="0" borderId="14" xfId="0" applyNumberFormat="1" applyFont="1" applyFill="1" applyBorder="1" applyAlignment="1">
      <alignment horizontal="right" vertical="top" wrapText="1"/>
    </xf>
    <xf numFmtId="165" fontId="21" fillId="0" borderId="14" xfId="0" applyNumberFormat="1" applyFont="1" applyFill="1" applyBorder="1" applyAlignment="1">
      <alignment horizontal="left" vertical="top" wrapText="1"/>
    </xf>
    <xf numFmtId="0" fontId="18" fillId="0" borderId="16" xfId="0" applyFont="1" applyFill="1" applyBorder="1" applyAlignment="1">
      <alignment horizontal="left" vertical="top" wrapText="1"/>
    </xf>
    <xf numFmtId="165" fontId="19" fillId="0" borderId="16" xfId="0" applyNumberFormat="1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8" fillId="9" borderId="16" xfId="0" applyFont="1" applyFill="1" applyBorder="1" applyAlignment="1">
      <alignment horizontal="left" vertical="top" wrapText="1"/>
    </xf>
    <xf numFmtId="0" fontId="18" fillId="9" borderId="16" xfId="0" applyFont="1" applyFill="1" applyBorder="1" applyAlignment="1">
      <alignment horizontal="center" vertical="top" wrapText="1"/>
    </xf>
    <xf numFmtId="166" fontId="22" fillId="9" borderId="16" xfId="0" applyNumberFormat="1" applyFont="1" applyFill="1" applyBorder="1" applyAlignment="1">
      <alignment horizontal="center" vertical="top" wrapText="1"/>
    </xf>
    <xf numFmtId="0" fontId="20" fillId="0" borderId="16" xfId="0" applyFont="1" applyFill="1" applyBorder="1" applyAlignment="1">
      <alignment horizontal="left" vertical="top" wrapText="1"/>
    </xf>
    <xf numFmtId="0" fontId="20" fillId="0" borderId="16" xfId="0" applyFont="1" applyFill="1" applyBorder="1" applyAlignment="1">
      <alignment horizontal="center" vertical="top" wrapText="1"/>
    </xf>
    <xf numFmtId="0" fontId="0" fillId="0" borderId="16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center" vertical="top" wrapText="1"/>
    </xf>
    <xf numFmtId="0" fontId="23" fillId="9" borderId="16" xfId="0" applyFont="1" applyFill="1" applyBorder="1" applyAlignment="1">
      <alignment horizontal="left" vertical="top" wrapText="1"/>
    </xf>
    <xf numFmtId="166" fontId="25" fillId="9" borderId="16" xfId="0" applyNumberFormat="1" applyFont="1" applyFill="1" applyBorder="1" applyAlignment="1">
      <alignment horizontal="center" vertical="top" wrapText="1"/>
    </xf>
    <xf numFmtId="0" fontId="26" fillId="0" borderId="16" xfId="0" applyFont="1" applyFill="1" applyBorder="1" applyAlignment="1">
      <alignment horizontal="left" vertical="top" wrapText="1"/>
    </xf>
    <xf numFmtId="0" fontId="26" fillId="0" borderId="16" xfId="0" applyFont="1" applyFill="1" applyBorder="1" applyAlignment="1">
      <alignment horizontal="center" vertical="top" wrapText="1"/>
    </xf>
    <xf numFmtId="0" fontId="0" fillId="9" borderId="16" xfId="0" applyFill="1" applyBorder="1" applyAlignment="1">
      <alignment horizontal="center" vertical="top" wrapText="1"/>
    </xf>
    <xf numFmtId="0" fontId="0" fillId="9" borderId="16" xfId="0" applyFill="1" applyBorder="1" applyAlignment="1">
      <alignment horizontal="left" vertical="top" wrapText="1"/>
    </xf>
    <xf numFmtId="10" fontId="26" fillId="0" borderId="16" xfId="0" applyNumberFormat="1" applyFont="1" applyFill="1" applyBorder="1" applyAlignment="1">
      <alignment horizontal="center" vertical="top" wrapText="1"/>
    </xf>
    <xf numFmtId="10" fontId="20" fillId="0" borderId="16" xfId="0" applyNumberFormat="1" applyFont="1" applyFill="1" applyBorder="1" applyAlignment="1">
      <alignment horizontal="center" vertical="top" wrapText="1"/>
    </xf>
    <xf numFmtId="10" fontId="20" fillId="0" borderId="16" xfId="0" applyNumberFormat="1" applyFont="1" applyFill="1" applyBorder="1" applyAlignment="1">
      <alignment horizontal="left" vertical="top" wrapText="1"/>
    </xf>
    <xf numFmtId="0" fontId="28" fillId="0" borderId="17" xfId="0" applyFont="1" applyBorder="1"/>
    <xf numFmtId="0" fontId="18" fillId="0" borderId="11" xfId="0" applyFont="1" applyFill="1" applyBorder="1" applyAlignment="1">
      <alignment vertical="top" wrapText="1"/>
    </xf>
    <xf numFmtId="0" fontId="18" fillId="0" borderId="12" xfId="0" applyFont="1" applyFill="1" applyBorder="1" applyAlignment="1">
      <alignment vertical="top" wrapText="1"/>
    </xf>
    <xf numFmtId="0" fontId="28" fillId="3" borderId="17" xfId="0" applyFont="1" applyFill="1" applyBorder="1"/>
    <xf numFmtId="0" fontId="29" fillId="0" borderId="10" xfId="0" applyFont="1" applyFill="1" applyBorder="1" applyAlignment="1">
      <alignment vertical="top" wrapText="1"/>
    </xf>
    <xf numFmtId="0" fontId="18" fillId="10" borderId="16" xfId="0" applyFont="1" applyFill="1" applyBorder="1" applyAlignment="1">
      <alignment horizontal="left" vertical="top" wrapText="1"/>
    </xf>
    <xf numFmtId="0" fontId="13" fillId="6" borderId="9" xfId="18"/>
    <xf numFmtId="0" fontId="13" fillId="6" borderId="9" xfId="18" applyAlignment="1">
      <alignment wrapText="1"/>
    </xf>
    <xf numFmtId="10" fontId="12" fillId="5" borderId="16" xfId="17" applyNumberFormat="1" applyBorder="1" applyAlignment="1">
      <alignment horizontal="left" vertical="top" wrapText="1"/>
    </xf>
    <xf numFmtId="9" fontId="0" fillId="0" borderId="12" xfId="0" applyNumberFormat="1" applyFill="1" applyBorder="1" applyAlignment="1">
      <alignment vertical="top" wrapText="1"/>
    </xf>
    <xf numFmtId="10" fontId="12" fillId="5" borderId="16" xfId="17" applyNumberFormat="1" applyBorder="1" applyAlignment="1">
      <alignment horizontal="center" vertical="top" wrapText="1"/>
    </xf>
    <xf numFmtId="9" fontId="12" fillId="5" borderId="16" xfId="17" applyNumberFormat="1" applyBorder="1" applyAlignment="1">
      <alignment horizontal="left" vertical="top" wrapText="1"/>
    </xf>
    <xf numFmtId="9" fontId="12" fillId="5" borderId="16" xfId="17" applyNumberFormat="1" applyBorder="1" applyAlignment="1">
      <alignment horizontal="center" vertical="top" wrapText="1"/>
    </xf>
    <xf numFmtId="9" fontId="12" fillId="5" borderId="10" xfId="17" applyNumberFormat="1" applyBorder="1" applyAlignment="1">
      <alignment vertical="top" wrapText="1"/>
    </xf>
    <xf numFmtId="0" fontId="32" fillId="9" borderId="16" xfId="0" applyFont="1" applyFill="1" applyBorder="1" applyAlignment="1">
      <alignment horizontal="left" vertical="top" wrapText="1"/>
    </xf>
    <xf numFmtId="166" fontId="34" fillId="9" borderId="16" xfId="0" applyNumberFormat="1" applyFont="1" applyFill="1" applyBorder="1" applyAlignment="1">
      <alignment horizontal="center" vertical="top" wrapText="1"/>
    </xf>
    <xf numFmtId="0" fontId="31" fillId="0" borderId="13" xfId="0" applyFont="1" applyFill="1" applyBorder="1" applyAlignment="1">
      <alignment horizontal="left" vertical="top" wrapText="1"/>
    </xf>
    <xf numFmtId="167" fontId="17" fillId="0" borderId="13" xfId="0" applyNumberFormat="1" applyFont="1" applyFill="1" applyBorder="1" applyAlignment="1">
      <alignment horizontal="left" vertical="top" wrapText="1"/>
    </xf>
    <xf numFmtId="0" fontId="31" fillId="0" borderId="14" xfId="0" applyFont="1" applyFill="1" applyBorder="1" applyAlignment="1">
      <alignment horizontal="left" vertical="top" wrapText="1"/>
    </xf>
    <xf numFmtId="167" fontId="17" fillId="0" borderId="14" xfId="0" applyNumberFormat="1" applyFont="1" applyFill="1" applyBorder="1" applyAlignment="1">
      <alignment horizontal="left" vertical="top" wrapText="1"/>
    </xf>
    <xf numFmtId="0" fontId="31" fillId="0" borderId="15" xfId="0" applyFont="1" applyFill="1" applyBorder="1" applyAlignment="1">
      <alignment horizontal="left" vertical="top" wrapText="1"/>
    </xf>
    <xf numFmtId="167" fontId="17" fillId="0" borderId="15" xfId="0" applyNumberFormat="1" applyFont="1" applyFill="1" applyBorder="1" applyAlignment="1">
      <alignment horizontal="left" vertical="top" wrapText="1"/>
    </xf>
    <xf numFmtId="0" fontId="31" fillId="0" borderId="13" xfId="0" applyFont="1" applyFill="1" applyBorder="1" applyAlignment="1">
      <alignment horizontal="right" vertical="top" wrapText="1"/>
    </xf>
    <xf numFmtId="0" fontId="31" fillId="0" borderId="14" xfId="0" applyFont="1" applyFill="1" applyBorder="1" applyAlignment="1">
      <alignment horizontal="right" vertical="top" wrapText="1"/>
    </xf>
    <xf numFmtId="0" fontId="31" fillId="0" borderId="15" xfId="0" applyFont="1" applyFill="1" applyBorder="1" applyAlignment="1">
      <alignment horizontal="right" vertical="top" wrapText="1"/>
    </xf>
    <xf numFmtId="0" fontId="23" fillId="10" borderId="16" xfId="0" applyFont="1" applyFill="1" applyBorder="1" applyAlignment="1">
      <alignment horizontal="left" vertical="top" wrapText="1"/>
    </xf>
    <xf numFmtId="0" fontId="36" fillId="11" borderId="25" xfId="0" applyFont="1" applyFill="1" applyBorder="1" applyAlignment="1">
      <alignment horizontal="left" vertical="center" indent="1"/>
    </xf>
    <xf numFmtId="0" fontId="36" fillId="11" borderId="26" xfId="0" applyFont="1" applyFill="1" applyBorder="1" applyAlignment="1">
      <alignment horizontal="left" vertical="center" indent="1"/>
    </xf>
    <xf numFmtId="0" fontId="35" fillId="11" borderId="27" xfId="0" applyFont="1" applyFill="1" applyBorder="1" applyAlignment="1">
      <alignment horizontal="left" vertical="center" indent="1"/>
    </xf>
    <xf numFmtId="0" fontId="35" fillId="11" borderId="24" xfId="0" applyFont="1" applyFill="1" applyBorder="1" applyAlignment="1">
      <alignment horizontal="left" vertical="center" indent="1"/>
    </xf>
    <xf numFmtId="9" fontId="35" fillId="11" borderId="24" xfId="0" applyNumberFormat="1" applyFont="1" applyFill="1" applyBorder="1" applyAlignment="1">
      <alignment horizontal="left" vertical="center" indent="1"/>
    </xf>
    <xf numFmtId="0" fontId="35" fillId="11" borderId="28" xfId="0" applyFont="1" applyFill="1" applyBorder="1" applyAlignment="1">
      <alignment horizontal="left" vertical="center" indent="1"/>
    </xf>
    <xf numFmtId="9" fontId="35" fillId="11" borderId="29" xfId="0" applyNumberFormat="1" applyFont="1" applyFill="1" applyBorder="1" applyAlignment="1">
      <alignment horizontal="left" vertical="center" indent="1"/>
    </xf>
    <xf numFmtId="0" fontId="35" fillId="11" borderId="29" xfId="0" applyFont="1" applyFill="1" applyBorder="1" applyAlignment="1">
      <alignment horizontal="left" vertical="center" indent="1"/>
    </xf>
    <xf numFmtId="165" fontId="41" fillId="13" borderId="31" xfId="0" applyNumberFormat="1" applyFont="1" applyFill="1" applyBorder="1" applyAlignment="1">
      <alignment horizontal="center" vertical="top" wrapText="1"/>
    </xf>
    <xf numFmtId="165" fontId="41" fillId="13" borderId="31" xfId="0" applyNumberFormat="1" applyFont="1" applyFill="1" applyBorder="1" applyAlignment="1">
      <alignment horizontal="left" vertical="top" wrapText="1"/>
    </xf>
    <xf numFmtId="0" fontId="39" fillId="0" borderId="0" xfId="0" applyFont="1" applyFill="1" applyBorder="1" applyAlignment="1">
      <alignment horizontal="left" vertical="top"/>
    </xf>
    <xf numFmtId="0" fontId="40" fillId="13" borderId="32" xfId="0" applyFont="1" applyFill="1" applyBorder="1" applyAlignment="1">
      <alignment vertical="top" wrapText="1"/>
    </xf>
    <xf numFmtId="167" fontId="42" fillId="14" borderId="32" xfId="0" applyNumberFormat="1" applyFont="1" applyFill="1" applyBorder="1" applyAlignment="1">
      <alignment vertical="top" wrapText="1"/>
    </xf>
    <xf numFmtId="0" fontId="37" fillId="12" borderId="30" xfId="0" applyFont="1" applyFill="1" applyBorder="1" applyAlignment="1">
      <alignment vertical="top" wrapText="1"/>
    </xf>
    <xf numFmtId="167" fontId="43" fillId="12" borderId="30" xfId="0" applyNumberFormat="1" applyFont="1" applyFill="1" applyBorder="1" applyAlignment="1">
      <alignment vertical="top" wrapText="1"/>
    </xf>
    <xf numFmtId="9" fontId="35" fillId="11" borderId="24" xfId="15" applyFont="1" applyFill="1" applyBorder="1" applyAlignment="1">
      <alignment horizontal="left" vertical="center" indent="1"/>
    </xf>
    <xf numFmtId="168" fontId="35" fillId="11" borderId="24" xfId="15" applyNumberFormat="1" applyFont="1" applyFill="1" applyBorder="1" applyAlignment="1">
      <alignment horizontal="left" vertical="center" indent="1"/>
    </xf>
    <xf numFmtId="10" fontId="35" fillId="11" borderId="29" xfId="0" applyNumberFormat="1" applyFont="1" applyFill="1" applyBorder="1" applyAlignment="1">
      <alignment horizontal="left" vertical="center" indent="1"/>
    </xf>
    <xf numFmtId="0" fontId="11" fillId="4" borderId="26" xfId="16" applyBorder="1" applyAlignment="1">
      <alignment horizontal="left" vertical="center" indent="1"/>
    </xf>
    <xf numFmtId="0" fontId="11" fillId="4" borderId="24" xfId="16" applyBorder="1" applyAlignment="1">
      <alignment horizontal="left" vertical="center" indent="1"/>
    </xf>
    <xf numFmtId="9" fontId="11" fillId="4" borderId="24" xfId="16" applyNumberFormat="1" applyBorder="1" applyAlignment="1">
      <alignment horizontal="left" vertical="center" indent="1"/>
    </xf>
    <xf numFmtId="0" fontId="11" fillId="4" borderId="29" xfId="16" applyBorder="1" applyAlignment="1">
      <alignment horizontal="left" vertical="center" indent="1"/>
    </xf>
    <xf numFmtId="0" fontId="44" fillId="0" borderId="0" xfId="0" applyFont="1" applyFill="1" applyBorder="1" applyAlignment="1">
      <alignment horizontal="left" vertical="top"/>
    </xf>
    <xf numFmtId="0" fontId="45" fillId="16" borderId="33" xfId="0" applyFont="1" applyFill="1" applyBorder="1" applyAlignment="1">
      <alignment horizontal="left" vertical="top" wrapText="1"/>
    </xf>
    <xf numFmtId="0" fontId="46" fillId="0" borderId="0" xfId="0" applyFont="1" applyFill="1" applyBorder="1" applyAlignment="1">
      <alignment horizontal="left" vertical="top"/>
    </xf>
    <xf numFmtId="165" fontId="47" fillId="7" borderId="31" xfId="0" applyNumberFormat="1" applyFont="1" applyFill="1" applyBorder="1" applyAlignment="1">
      <alignment horizontal="center" vertical="top" wrapText="1"/>
    </xf>
    <xf numFmtId="165" fontId="47" fillId="7" borderId="31" xfId="0" applyNumberFormat="1" applyFont="1" applyFill="1" applyBorder="1" applyAlignment="1">
      <alignment horizontal="left" vertical="top" wrapText="1"/>
    </xf>
    <xf numFmtId="0" fontId="45" fillId="15" borderId="30" xfId="0" applyFont="1" applyFill="1" applyBorder="1" applyAlignment="1">
      <alignment vertical="top" wrapText="1"/>
    </xf>
    <xf numFmtId="0" fontId="45" fillId="16" borderId="32" xfId="0" applyFont="1" applyFill="1" applyBorder="1" applyAlignment="1">
      <alignment vertical="top" wrapText="1"/>
    </xf>
    <xf numFmtId="0" fontId="45" fillId="16" borderId="30" xfId="0" applyFont="1" applyFill="1" applyBorder="1" applyAlignment="1">
      <alignment vertical="top" wrapText="1"/>
    </xf>
    <xf numFmtId="0" fontId="44" fillId="7" borderId="32" xfId="0" applyFont="1" applyFill="1" applyBorder="1" applyAlignment="1">
      <alignment vertical="top" wrapText="1"/>
    </xf>
    <xf numFmtId="169" fontId="47" fillId="7" borderId="32" xfId="0" applyNumberFormat="1" applyFont="1" applyFill="1" applyBorder="1" applyAlignment="1">
      <alignment vertical="top" wrapText="1"/>
    </xf>
    <xf numFmtId="169" fontId="48" fillId="16" borderId="30" xfId="0" applyNumberFormat="1" applyFont="1" applyFill="1" applyBorder="1" applyAlignment="1">
      <alignment vertical="top" wrapText="1"/>
    </xf>
    <xf numFmtId="169" fontId="48" fillId="15" borderId="30" xfId="0" applyNumberFormat="1" applyFont="1" applyFill="1" applyBorder="1" applyAlignment="1">
      <alignment vertical="top" wrapText="1"/>
    </xf>
    <xf numFmtId="2" fontId="35" fillId="11" borderId="24" xfId="15" applyNumberFormat="1" applyFont="1" applyFill="1" applyBorder="1" applyAlignment="1">
      <alignment horizontal="left" vertical="center" indent="1"/>
    </xf>
    <xf numFmtId="0" fontId="0" fillId="3" borderId="0" xfId="0" applyFill="1"/>
    <xf numFmtId="0" fontId="49" fillId="0" borderId="0" xfId="0" applyFont="1"/>
    <xf numFmtId="164" fontId="1" fillId="17" borderId="0" xfId="0" applyNumberFormat="1" applyFont="1" applyFill="1"/>
    <xf numFmtId="0" fontId="50" fillId="0" borderId="0" xfId="0" applyFont="1"/>
    <xf numFmtId="0" fontId="51" fillId="0" borderId="14" xfId="0" applyFont="1" applyFill="1" applyBorder="1" applyAlignment="1">
      <alignment horizontal="left" vertical="top" wrapText="1"/>
    </xf>
    <xf numFmtId="10" fontId="12" fillId="5" borderId="14" xfId="17" applyNumberFormat="1" applyBorder="1" applyAlignment="1">
      <alignment horizontal="center" vertical="top" wrapText="1"/>
    </xf>
    <xf numFmtId="10" fontId="51" fillId="0" borderId="14" xfId="0" applyNumberFormat="1" applyFont="1" applyFill="1" applyBorder="1" applyAlignment="1">
      <alignment horizontal="center" vertical="top" wrapText="1"/>
    </xf>
    <xf numFmtId="167" fontId="17" fillId="3" borderId="14" xfId="0" applyNumberFormat="1" applyFont="1" applyFill="1" applyBorder="1" applyAlignment="1">
      <alignment horizontal="left" vertical="top" wrapText="1"/>
    </xf>
    <xf numFmtId="0" fontId="33" fillId="9" borderId="16" xfId="0" applyFont="1" applyFill="1" applyBorder="1" applyAlignment="1">
      <alignment horizontal="left" vertical="top" wrapText="1"/>
    </xf>
    <xf numFmtId="167" fontId="0" fillId="0" borderId="0" xfId="0" applyNumberFormat="1"/>
    <xf numFmtId="0" fontId="52" fillId="0" borderId="25" xfId="0" applyFont="1" applyFill="1" applyBorder="1" applyAlignment="1">
      <alignment horizontal="left" vertical="center" indent="1"/>
    </xf>
    <xf numFmtId="0" fontId="3" fillId="0" borderId="0" xfId="0" applyFont="1"/>
    <xf numFmtId="0" fontId="33" fillId="0" borderId="16" xfId="0" applyFont="1" applyFill="1" applyBorder="1" applyAlignment="1">
      <alignment horizontal="left" vertical="top" wrapText="1"/>
    </xf>
    <xf numFmtId="166" fontId="34" fillId="0" borderId="16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/>
    <xf numFmtId="171" fontId="0" fillId="0" borderId="0" xfId="0" applyNumberFormat="1"/>
    <xf numFmtId="1" fontId="0" fillId="0" borderId="0" xfId="0" applyNumberFormat="1"/>
    <xf numFmtId="0" fontId="1" fillId="2" borderId="0" xfId="0" applyFont="1" applyFill="1" applyAlignment="1"/>
    <xf numFmtId="0" fontId="0" fillId="0" borderId="0" xfId="0" applyAlignment="1"/>
    <xf numFmtId="0" fontId="2" fillId="0" borderId="0" xfId="1" applyAlignment="1" applyProtection="1"/>
    <xf numFmtId="0" fontId="1" fillId="0" borderId="0" xfId="0" applyFont="1" applyFill="1"/>
    <xf numFmtId="0" fontId="1" fillId="17" borderId="0" xfId="0" applyFont="1" applyFill="1"/>
    <xf numFmtId="1" fontId="1" fillId="17" borderId="0" xfId="0" applyNumberFormat="1" applyFont="1" applyFill="1"/>
    <xf numFmtId="0" fontId="0" fillId="0" borderId="0" xfId="0" applyFill="1"/>
    <xf numFmtId="171" fontId="0" fillId="3" borderId="0" xfId="0" applyNumberFormat="1" applyFill="1"/>
    <xf numFmtId="170" fontId="1" fillId="17" borderId="17" xfId="0" applyNumberFormat="1" applyFont="1" applyFill="1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10" fontId="26" fillId="0" borderId="10" xfId="0" applyNumberFormat="1" applyFont="1" applyFill="1" applyBorder="1" applyAlignment="1">
      <alignment horizontal="center" vertical="top" wrapText="1"/>
    </xf>
    <xf numFmtId="0" fontId="26" fillId="0" borderId="12" xfId="0" applyFont="1" applyFill="1" applyBorder="1" applyAlignment="1">
      <alignment horizontal="center" vertical="top" wrapText="1"/>
    </xf>
    <xf numFmtId="0" fontId="15" fillId="8" borderId="10" xfId="0" applyFont="1" applyFill="1" applyBorder="1" applyAlignment="1">
      <alignment horizontal="left" vertical="top" wrapText="1"/>
    </xf>
    <xf numFmtId="0" fontId="14" fillId="8" borderId="11" xfId="0" applyFont="1" applyFill="1" applyBorder="1" applyAlignment="1">
      <alignment horizontal="left" vertical="top" wrapText="1"/>
    </xf>
    <xf numFmtId="0" fontId="14" fillId="8" borderId="12" xfId="0" applyFont="1" applyFill="1" applyBorder="1" applyAlignment="1">
      <alignment horizontal="left" vertical="top" wrapText="1"/>
    </xf>
    <xf numFmtId="0" fontId="19" fillId="0" borderId="10" xfId="0" applyFont="1" applyFill="1" applyBorder="1" applyAlignment="1">
      <alignment horizontal="center" vertical="top" wrapText="1"/>
    </xf>
    <xf numFmtId="0" fontId="18" fillId="0" borderId="11" xfId="0" applyFont="1" applyFill="1" applyBorder="1" applyAlignment="1">
      <alignment horizontal="center" vertical="top" wrapText="1"/>
    </xf>
    <xf numFmtId="0" fontId="18" fillId="0" borderId="12" xfId="0" applyFont="1" applyFill="1" applyBorder="1" applyAlignment="1">
      <alignment horizontal="center" vertical="top" wrapText="1"/>
    </xf>
    <xf numFmtId="0" fontId="20" fillId="0" borderId="10" xfId="0" applyFont="1" applyFill="1" applyBorder="1" applyAlignment="1">
      <alignment horizontal="right" vertical="top" wrapText="1"/>
    </xf>
    <xf numFmtId="0" fontId="20" fillId="0" borderId="11" xfId="0" applyFont="1" applyFill="1" applyBorder="1" applyAlignment="1">
      <alignment horizontal="right" vertical="top" wrapText="1"/>
    </xf>
    <xf numFmtId="0" fontId="20" fillId="0" borderId="12" xfId="0" applyFont="1" applyFill="1" applyBorder="1" applyAlignment="1">
      <alignment horizontal="right" vertical="top" wrapText="1"/>
    </xf>
    <xf numFmtId="0" fontId="26" fillId="0" borderId="10" xfId="0" applyFont="1" applyFill="1" applyBorder="1" applyAlignment="1">
      <alignment horizontal="center" vertical="top" wrapText="1"/>
    </xf>
    <xf numFmtId="0" fontId="26" fillId="0" borderId="10" xfId="0" applyFont="1" applyFill="1" applyBorder="1" applyAlignment="1">
      <alignment horizontal="left" vertical="top" wrapText="1"/>
    </xf>
    <xf numFmtId="0" fontId="26" fillId="0" borderId="12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center" vertical="top" wrapText="1"/>
    </xf>
    <xf numFmtId="0" fontId="37" fillId="12" borderId="30" xfId="0" applyFont="1" applyFill="1" applyBorder="1" applyAlignment="1">
      <alignment horizontal="left" vertical="top" wrapText="1"/>
    </xf>
    <xf numFmtId="0" fontId="16" fillId="0" borderId="18" xfId="0" applyFont="1" applyFill="1" applyBorder="1" applyAlignment="1">
      <alignment horizontal="right" vertical="top" wrapText="1"/>
    </xf>
    <xf numFmtId="0" fontId="16" fillId="0" borderId="19" xfId="0" applyFont="1" applyFill="1" applyBorder="1" applyAlignment="1">
      <alignment horizontal="right" vertical="top" wrapText="1"/>
    </xf>
    <xf numFmtId="0" fontId="16" fillId="0" borderId="20" xfId="0" applyFont="1" applyFill="1" applyBorder="1" applyAlignment="1">
      <alignment horizontal="right" vertical="top" wrapText="1"/>
    </xf>
    <xf numFmtId="0" fontId="18" fillId="0" borderId="21" xfId="0" applyFont="1" applyFill="1" applyBorder="1" applyAlignment="1">
      <alignment horizontal="center" vertical="top" wrapText="1"/>
    </xf>
    <xf numFmtId="0" fontId="18" fillId="0" borderId="22" xfId="0" applyFont="1" applyFill="1" applyBorder="1" applyAlignment="1">
      <alignment horizontal="center" vertical="top" wrapText="1"/>
    </xf>
    <xf numFmtId="0" fontId="18" fillId="0" borderId="23" xfId="0" applyFont="1" applyFill="1" applyBorder="1" applyAlignment="1">
      <alignment horizontal="center" vertical="top" wrapText="1"/>
    </xf>
    <xf numFmtId="0" fontId="32" fillId="0" borderId="10" xfId="0" applyFont="1" applyFill="1" applyBorder="1" applyAlignment="1">
      <alignment horizontal="center" vertical="top" wrapText="1"/>
    </xf>
    <xf numFmtId="0" fontId="32" fillId="0" borderId="11" xfId="0" applyFont="1" applyFill="1" applyBorder="1" applyAlignment="1">
      <alignment horizontal="center" vertical="top" wrapText="1"/>
    </xf>
    <xf numFmtId="0" fontId="32" fillId="0" borderId="12" xfId="0" applyFont="1" applyFill="1" applyBorder="1" applyAlignment="1">
      <alignment horizontal="center" vertical="top" wrapText="1"/>
    </xf>
    <xf numFmtId="0" fontId="30" fillId="0" borderId="10" xfId="0" applyFont="1" applyFill="1" applyBorder="1" applyAlignment="1">
      <alignment horizontal="left" vertical="top" wrapText="1"/>
    </xf>
    <xf numFmtId="0" fontId="30" fillId="0" borderId="11" xfId="0" applyFont="1" applyFill="1" applyBorder="1" applyAlignment="1">
      <alignment horizontal="left" vertical="top" wrapText="1"/>
    </xf>
    <xf numFmtId="0" fontId="30" fillId="0" borderId="12" xfId="0" applyFont="1" applyFill="1" applyBorder="1" applyAlignment="1">
      <alignment horizontal="left" vertical="top" wrapText="1"/>
    </xf>
    <xf numFmtId="0" fontId="31" fillId="0" borderId="10" xfId="0" applyFont="1" applyFill="1" applyBorder="1" applyAlignment="1">
      <alignment horizontal="right" vertical="top" wrapText="1"/>
    </xf>
    <xf numFmtId="0" fontId="31" fillId="0" borderId="11" xfId="0" applyFont="1" applyFill="1" applyBorder="1" applyAlignment="1">
      <alignment horizontal="right" vertical="top" wrapText="1"/>
    </xf>
    <xf numFmtId="0" fontId="31" fillId="0" borderId="12" xfId="0" applyFont="1" applyFill="1" applyBorder="1" applyAlignment="1">
      <alignment horizontal="right" vertical="top" wrapText="1"/>
    </xf>
    <xf numFmtId="0" fontId="32" fillId="0" borderId="10" xfId="0" applyFont="1" applyFill="1" applyBorder="1" applyAlignment="1">
      <alignment horizontal="left" vertical="top" wrapText="1"/>
    </xf>
    <xf numFmtId="0" fontId="32" fillId="0" borderId="11" xfId="0" applyFont="1" applyFill="1" applyBorder="1" applyAlignment="1">
      <alignment horizontal="left" vertical="top" wrapText="1"/>
    </xf>
    <xf numFmtId="0" fontId="32" fillId="0" borderId="12" xfId="0" applyFont="1" applyFill="1" applyBorder="1" applyAlignment="1">
      <alignment horizontal="left" vertical="top" wrapText="1"/>
    </xf>
    <xf numFmtId="0" fontId="33" fillId="0" borderId="10" xfId="0" applyFont="1" applyFill="1" applyBorder="1" applyAlignment="1">
      <alignment horizontal="center" vertical="top" wrapText="1"/>
    </xf>
    <xf numFmtId="0" fontId="49" fillId="0" borderId="17" xfId="0" applyFont="1" applyBorder="1" applyAlignment="1">
      <alignment wrapText="1"/>
    </xf>
    <xf numFmtId="0" fontId="49" fillId="0" borderId="17" xfId="0" applyFont="1" applyBorder="1" applyAlignment="1"/>
    <xf numFmtId="0" fontId="0" fillId="0" borderId="0" xfId="0" applyAlignment="1">
      <alignment wrapText="1"/>
    </xf>
    <xf numFmtId="0" fontId="0" fillId="0" borderId="0" xfId="0" applyAlignment="1"/>
  </cellXfs>
  <cellStyles count="19">
    <cellStyle name="Bad" xfId="16" builtinId="27"/>
    <cellStyle name="Body: normal cell" xfId="5" xr:uid="{00000000-0005-0000-0000-000001000000}"/>
    <cellStyle name="Body: normal cell 2" xfId="11" xr:uid="{00000000-0005-0000-0000-000002000000}"/>
    <cellStyle name="Calculation" xfId="18" builtinId="22"/>
    <cellStyle name="Font: Calibri, 9pt regular" xfId="2" xr:uid="{00000000-0005-0000-0000-000004000000}"/>
    <cellStyle name="Font: Calibri, 9pt regular 2" xfId="13" xr:uid="{00000000-0005-0000-0000-000005000000}"/>
    <cellStyle name="Footnotes: top row" xfId="7" xr:uid="{00000000-0005-0000-0000-000006000000}"/>
    <cellStyle name="Footnotes: top row 2" xfId="9" xr:uid="{00000000-0005-0000-0000-000007000000}"/>
    <cellStyle name="Header: bottom row" xfId="3" xr:uid="{00000000-0005-0000-0000-000008000000}"/>
    <cellStyle name="Header: bottom row 2" xfId="12" xr:uid="{00000000-0005-0000-0000-000009000000}"/>
    <cellStyle name="Hyperlink" xfId="1" builtinId="8"/>
    <cellStyle name="Neutral" xfId="17" builtinId="28"/>
    <cellStyle name="Normal" xfId="0" builtinId="0"/>
    <cellStyle name="Normal 2" xfId="8" xr:uid="{00000000-0005-0000-0000-00000D000000}"/>
    <cellStyle name="Parent row" xfId="6" xr:uid="{00000000-0005-0000-0000-00000E000000}"/>
    <cellStyle name="Parent row 2" xfId="10" xr:uid="{00000000-0005-0000-0000-00000F000000}"/>
    <cellStyle name="Percent" xfId="15" builtinId="5"/>
    <cellStyle name="Table title" xfId="4" xr:uid="{00000000-0005-0000-0000-000011000000}"/>
    <cellStyle name="Table title 2" xfId="14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ib.nic.in/newsite/PrintRelease.aspx?relid=16952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bankbazaar.com/tax/electricity-duty.html" TargetMode="External"/><Relationship Id="rId1" Type="http://schemas.openxmlformats.org/officeDocument/2006/relationships/hyperlink" Target="http://planningcommission.nic.in/reports/genrep/rep_arpower0306.pdf" TargetMode="External"/><Relationship Id="rId6" Type="http://schemas.openxmlformats.org/officeDocument/2006/relationships/hyperlink" Target="http://www.coalcontroller.gov.in/writereaddata/files/download/coaldirectory/CoalDirectory2017-18.pdf" TargetMode="External"/><Relationship Id="rId5" Type="http://schemas.openxmlformats.org/officeDocument/2006/relationships/hyperlink" Target="http://petroleum.nic.in/sites/default/files/ipngstat_0.pdf" TargetMode="External"/><Relationship Id="rId4" Type="http://schemas.openxmlformats.org/officeDocument/2006/relationships/hyperlink" Target="http://ppac.org.in/WriteReadData/Reports/201811200650439471143SnapshotofIndiasOilandGasData_October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C13" workbookViewId="0">
      <selection activeCell="D30" sqref="D30"/>
    </sheetView>
  </sheetViews>
  <sheetFormatPr defaultRowHeight="15" x14ac:dyDescent="0.25"/>
  <cols>
    <col min="2" max="2" width="83.5703125" customWidth="1"/>
    <col min="3" max="3" width="18.140625" customWidth="1"/>
    <col min="4" max="4" width="80.5703125" customWidth="1"/>
  </cols>
  <sheetData>
    <row r="1" spans="1:4" x14ac:dyDescent="0.25">
      <c r="A1" s="1" t="s">
        <v>0</v>
      </c>
    </row>
    <row r="3" spans="1:4" x14ac:dyDescent="0.25">
      <c r="A3" s="1" t="s">
        <v>1</v>
      </c>
      <c r="B3" s="2" t="s">
        <v>290</v>
      </c>
      <c r="D3" s="113" t="s">
        <v>369</v>
      </c>
    </row>
    <row r="4" spans="1:4" x14ac:dyDescent="0.25">
      <c r="B4" t="s">
        <v>288</v>
      </c>
      <c r="D4" s="114" t="s">
        <v>371</v>
      </c>
    </row>
    <row r="5" spans="1:4" x14ac:dyDescent="0.25">
      <c r="B5" s="3">
        <v>2018</v>
      </c>
      <c r="D5" s="3">
        <v>2018</v>
      </c>
    </row>
    <row r="6" spans="1:4" x14ac:dyDescent="0.25">
      <c r="B6" t="s">
        <v>289</v>
      </c>
      <c r="D6" t="s">
        <v>373</v>
      </c>
    </row>
    <row r="7" spans="1:4" x14ac:dyDescent="0.25">
      <c r="B7" s="4" t="s">
        <v>314</v>
      </c>
      <c r="D7" s="115" t="s">
        <v>372</v>
      </c>
    </row>
    <row r="8" spans="1:4" x14ac:dyDescent="0.25">
      <c r="B8" t="s">
        <v>315</v>
      </c>
      <c r="D8" s="114" t="s">
        <v>374</v>
      </c>
    </row>
    <row r="9" spans="1:4" x14ac:dyDescent="0.25">
      <c r="D9" s="114"/>
    </row>
    <row r="10" spans="1:4" x14ac:dyDescent="0.25">
      <c r="B10" s="2" t="s">
        <v>423</v>
      </c>
      <c r="D10" s="113" t="s">
        <v>370</v>
      </c>
    </row>
    <row r="11" spans="1:4" x14ac:dyDescent="0.25">
      <c r="B11" t="s">
        <v>288</v>
      </c>
      <c r="D11" s="114" t="s">
        <v>361</v>
      </c>
    </row>
    <row r="12" spans="1:4" x14ac:dyDescent="0.25">
      <c r="B12" s="3">
        <v>2018</v>
      </c>
      <c r="D12" s="3">
        <v>2018</v>
      </c>
    </row>
    <row r="13" spans="1:4" x14ac:dyDescent="0.25">
      <c r="B13" t="s">
        <v>291</v>
      </c>
      <c r="D13" s="114" t="s">
        <v>362</v>
      </c>
    </row>
    <row r="14" spans="1:4" x14ac:dyDescent="0.25">
      <c r="B14" s="4" t="s">
        <v>334</v>
      </c>
      <c r="D14" s="115" t="s">
        <v>363</v>
      </c>
    </row>
    <row r="15" spans="1:4" x14ac:dyDescent="0.25">
      <c r="B15" t="s">
        <v>424</v>
      </c>
      <c r="D15" s="114" t="s">
        <v>364</v>
      </c>
    </row>
    <row r="17" spans="2:4" x14ac:dyDescent="0.25">
      <c r="B17" s="2" t="s">
        <v>292</v>
      </c>
      <c r="D17" s="113" t="s">
        <v>390</v>
      </c>
    </row>
    <row r="18" spans="2:4" x14ac:dyDescent="0.25">
      <c r="B18" t="s">
        <v>293</v>
      </c>
      <c r="D18" s="114" t="s">
        <v>391</v>
      </c>
    </row>
    <row r="19" spans="2:4" x14ac:dyDescent="0.25">
      <c r="B19" s="3">
        <v>2018</v>
      </c>
      <c r="D19" s="3">
        <v>2018</v>
      </c>
    </row>
    <row r="20" spans="2:4" x14ac:dyDescent="0.25">
      <c r="B20" t="s">
        <v>294</v>
      </c>
      <c r="D20" s="114" t="s">
        <v>397</v>
      </c>
    </row>
    <row r="21" spans="2:4" x14ac:dyDescent="0.25">
      <c r="B21" s="4" t="s">
        <v>295</v>
      </c>
      <c r="D21" s="115" t="s">
        <v>396</v>
      </c>
    </row>
    <row r="22" spans="2:4" x14ac:dyDescent="0.25">
      <c r="D22" s="114" t="s">
        <v>398</v>
      </c>
    </row>
    <row r="23" spans="2:4" x14ac:dyDescent="0.25">
      <c r="B23" s="2" t="s">
        <v>296</v>
      </c>
    </row>
    <row r="24" spans="2:4" x14ac:dyDescent="0.25">
      <c r="B24" t="s">
        <v>297</v>
      </c>
      <c r="D24" s="113" t="s">
        <v>446</v>
      </c>
    </row>
    <row r="25" spans="2:4" x14ac:dyDescent="0.25">
      <c r="B25" s="3">
        <v>2014</v>
      </c>
      <c r="D25" s="125" t="s">
        <v>443</v>
      </c>
    </row>
    <row r="26" spans="2:4" x14ac:dyDescent="0.25">
      <c r="B26" t="s">
        <v>298</v>
      </c>
      <c r="D26" s="3">
        <v>2013</v>
      </c>
    </row>
    <row r="27" spans="2:4" x14ac:dyDescent="0.25">
      <c r="B27" s="4" t="s">
        <v>300</v>
      </c>
      <c r="D27" s="125" t="s">
        <v>444</v>
      </c>
    </row>
    <row r="28" spans="2:4" x14ac:dyDescent="0.25">
      <c r="B28" t="s">
        <v>299</v>
      </c>
      <c r="D28" s="115" t="s">
        <v>445</v>
      </c>
    </row>
    <row r="29" spans="2:4" x14ac:dyDescent="0.25">
      <c r="D29" s="125"/>
    </row>
    <row r="30" spans="2:4" x14ac:dyDescent="0.25">
      <c r="B30" s="2" t="s">
        <v>301</v>
      </c>
    </row>
    <row r="31" spans="2:4" x14ac:dyDescent="0.25">
      <c r="B31" t="s">
        <v>302</v>
      </c>
    </row>
    <row r="32" spans="2:4" x14ac:dyDescent="0.25">
      <c r="B32" s="3">
        <v>2017</v>
      </c>
    </row>
    <row r="33" spans="1:7" x14ac:dyDescent="0.25">
      <c r="B33" t="s">
        <v>303</v>
      </c>
    </row>
    <row r="34" spans="1:7" x14ac:dyDescent="0.25">
      <c r="B34" s="4" t="s">
        <v>2</v>
      </c>
    </row>
    <row r="36" spans="1:7" x14ac:dyDescent="0.25">
      <c r="B36" s="1" t="s">
        <v>304</v>
      </c>
    </row>
    <row r="37" spans="1:7" x14ac:dyDescent="0.25">
      <c r="A37" s="1" t="s">
        <v>304</v>
      </c>
      <c r="B37" t="s">
        <v>305</v>
      </c>
    </row>
    <row r="38" spans="1:7" x14ac:dyDescent="0.25">
      <c r="B38" t="s">
        <v>306</v>
      </c>
    </row>
    <row r="39" spans="1:7" x14ac:dyDescent="0.25">
      <c r="B39" t="s">
        <v>439</v>
      </c>
    </row>
    <row r="40" spans="1:7" x14ac:dyDescent="0.25">
      <c r="B40" t="s">
        <v>440</v>
      </c>
    </row>
    <row r="42" spans="1:7" x14ac:dyDescent="0.25">
      <c r="B42" s="1" t="s">
        <v>410</v>
      </c>
    </row>
    <row r="43" spans="1:7" x14ac:dyDescent="0.25">
      <c r="B43" t="s">
        <v>403</v>
      </c>
    </row>
    <row r="44" spans="1:7" x14ac:dyDescent="0.25">
      <c r="B44" t="s">
        <v>404</v>
      </c>
    </row>
    <row r="46" spans="1:7" x14ac:dyDescent="0.25">
      <c r="B46" t="s">
        <v>405</v>
      </c>
      <c r="G46" s="6"/>
    </row>
    <row r="47" spans="1:7" x14ac:dyDescent="0.25">
      <c r="B47" t="s">
        <v>406</v>
      </c>
    </row>
    <row r="48" spans="1:7" x14ac:dyDescent="0.25">
      <c r="A48" s="1"/>
      <c r="B48" t="s">
        <v>407</v>
      </c>
    </row>
    <row r="49" spans="1:2" x14ac:dyDescent="0.25">
      <c r="B49" t="s">
        <v>408</v>
      </c>
    </row>
    <row r="50" spans="1:2" x14ac:dyDescent="0.25">
      <c r="B50" t="s">
        <v>409</v>
      </c>
    </row>
    <row r="51" spans="1:2" x14ac:dyDescent="0.25">
      <c r="B51" t="s">
        <v>413</v>
      </c>
    </row>
    <row r="53" spans="1:2" x14ac:dyDescent="0.25">
      <c r="A53" s="4"/>
      <c r="B53" s="1" t="s">
        <v>425</v>
      </c>
    </row>
    <row r="54" spans="1:2" x14ac:dyDescent="0.25">
      <c r="B54" t="s">
        <v>426</v>
      </c>
    </row>
    <row r="55" spans="1:2" x14ac:dyDescent="0.25">
      <c r="A55" s="7"/>
      <c r="B55" t="s">
        <v>427</v>
      </c>
    </row>
    <row r="57" spans="1:2" x14ac:dyDescent="0.25">
      <c r="B57" s="1" t="s">
        <v>428</v>
      </c>
    </row>
    <row r="58" spans="1:2" x14ac:dyDescent="0.25">
      <c r="B58" t="s">
        <v>429</v>
      </c>
    </row>
    <row r="59" spans="1:2" x14ac:dyDescent="0.25">
      <c r="B59" t="s">
        <v>432</v>
      </c>
    </row>
    <row r="61" spans="1:2" x14ac:dyDescent="0.25">
      <c r="B61" s="1" t="s">
        <v>433</v>
      </c>
    </row>
    <row r="62" spans="1:2" x14ac:dyDescent="0.25">
      <c r="B62" t="s">
        <v>430</v>
      </c>
    </row>
    <row r="63" spans="1:2" x14ac:dyDescent="0.25">
      <c r="B63" t="s">
        <v>431</v>
      </c>
    </row>
    <row r="65" spans="2:2" x14ac:dyDescent="0.25">
      <c r="B65" t="s">
        <v>434</v>
      </c>
    </row>
    <row r="66" spans="2:2" x14ac:dyDescent="0.25">
      <c r="B66" t="s">
        <v>436</v>
      </c>
    </row>
    <row r="67" spans="2:2" x14ac:dyDescent="0.25">
      <c r="B67" t="s">
        <v>441</v>
      </c>
    </row>
    <row r="68" spans="2:2" x14ac:dyDescent="0.25">
      <c r="B68" t="s">
        <v>435</v>
      </c>
    </row>
    <row r="70" spans="2:2" x14ac:dyDescent="0.25">
      <c r="B70" s="1" t="s">
        <v>437</v>
      </c>
    </row>
    <row r="71" spans="2:2" x14ac:dyDescent="0.25">
      <c r="B71" t="s">
        <v>438</v>
      </c>
    </row>
  </sheetData>
  <hyperlinks>
    <hyperlink ref="B27" r:id="rId1" xr:uid="{00000000-0004-0000-0000-000000000000}"/>
    <hyperlink ref="B21" r:id="rId2" xr:uid="{FDE51C6F-6C7A-454A-B8EC-8EF181A74EAF}"/>
    <hyperlink ref="B34" r:id="rId3" xr:uid="{E456AF0F-5BFA-408D-B5D4-0120D6D91D7F}"/>
    <hyperlink ref="B7" r:id="rId4" xr:uid="{66E1320D-B8E7-4D04-A697-D482DABC7728}"/>
    <hyperlink ref="B14" r:id="rId5" xr:uid="{2E1ABC24-F6C9-4FCE-B06A-74FF79B636A3}"/>
    <hyperlink ref="D14" r:id="rId6" xr:uid="{FE40A711-6AEC-498A-8D07-E8AF800B77BB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7DE7-BD54-40E9-921B-ED96F995B44D}">
  <dimension ref="A1:D6"/>
  <sheetViews>
    <sheetView workbookViewId="0">
      <selection activeCell="C4" sqref="C4"/>
    </sheetView>
  </sheetViews>
  <sheetFormatPr defaultRowHeight="15" x14ac:dyDescent="0.25"/>
  <cols>
    <col min="1" max="1" width="16.42578125" customWidth="1"/>
  </cols>
  <sheetData>
    <row r="1" spans="1:4" x14ac:dyDescent="0.25">
      <c r="A1" s="1" t="s">
        <v>415</v>
      </c>
    </row>
    <row r="2" spans="1:4" x14ac:dyDescent="0.25">
      <c r="A2" s="122" t="s">
        <v>416</v>
      </c>
      <c r="B2" s="122" t="s">
        <v>417</v>
      </c>
      <c r="C2" s="122" t="s">
        <v>418</v>
      </c>
      <c r="D2" t="s">
        <v>421</v>
      </c>
    </row>
    <row r="3" spans="1:4" x14ac:dyDescent="0.25">
      <c r="A3" s="122" t="s">
        <v>419</v>
      </c>
      <c r="B3" s="123">
        <v>9</v>
      </c>
      <c r="C3" s="123">
        <v>9</v>
      </c>
    </row>
    <row r="4" spans="1:4" x14ac:dyDescent="0.25">
      <c r="A4" s="122" t="s">
        <v>422</v>
      </c>
      <c r="B4" s="123">
        <v>2.5</v>
      </c>
      <c r="C4" s="123">
        <v>2.5</v>
      </c>
    </row>
    <row r="5" spans="1:4" x14ac:dyDescent="0.25">
      <c r="A5" s="96" t="s">
        <v>340</v>
      </c>
    </row>
    <row r="6" spans="1:4" x14ac:dyDescent="0.25">
      <c r="A6" s="96" t="s">
        <v>420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workbookViewId="0">
      <selection activeCell="B11" sqref="B11"/>
    </sheetView>
  </sheetViews>
  <sheetFormatPr defaultRowHeight="15" x14ac:dyDescent="0.25"/>
  <cols>
    <col min="1" max="1" width="21.85546875" customWidth="1"/>
    <col min="2" max="2" width="17.140625" customWidth="1"/>
  </cols>
  <sheetData>
    <row r="1" spans="1:2" x14ac:dyDescent="0.25">
      <c r="B1" t="s">
        <v>395</v>
      </c>
    </row>
    <row r="2" spans="1:2" x14ac:dyDescent="0.25">
      <c r="A2" t="s">
        <v>26</v>
      </c>
      <c r="B2" s="5">
        <f>'Coal &amp; Lignite'!B23</f>
        <v>0.23271342827476171</v>
      </c>
    </row>
    <row r="3" spans="1:2" x14ac:dyDescent="0.25">
      <c r="A3" t="s">
        <v>27</v>
      </c>
      <c r="B3" s="5">
        <f>SUMPRODUCT('Tax Rates'!C6:C38,'Tax Rates'!Z6:Z38)/SUM('Tax Rates'!Z6:Z38)</f>
        <v>0.1206258820183351</v>
      </c>
    </row>
    <row r="4" spans="1:2" x14ac:dyDescent="0.25">
      <c r="A4" t="s">
        <v>33</v>
      </c>
      <c r="B4" s="5">
        <f>'Petroleum &amp; Diesel Prices'!B9</f>
        <v>0.49136152656008247</v>
      </c>
    </row>
    <row r="5" spans="1:2" x14ac:dyDescent="0.25">
      <c r="A5" t="s">
        <v>34</v>
      </c>
      <c r="B5" s="5">
        <f>'Petroleum &amp; Diesel Prices'!C9</f>
        <v>0.37339233854238696</v>
      </c>
    </row>
    <row r="6" spans="1:2" x14ac:dyDescent="0.25">
      <c r="A6" t="s">
        <v>37</v>
      </c>
      <c r="B6" s="5">
        <f>SUMPRODUCT('Tax Rates'!Y6:Y38,'Tax Rates'!P6:P38)/SUM('Tax Rates'!Y6:Y38)</f>
        <v>0.10387508175277957</v>
      </c>
    </row>
    <row r="7" spans="1:2" x14ac:dyDescent="0.25">
      <c r="A7" t="s">
        <v>35</v>
      </c>
      <c r="B7" s="5">
        <v>0.05</v>
      </c>
    </row>
    <row r="8" spans="1:2" x14ac:dyDescent="0.25">
      <c r="A8" t="s">
        <v>36</v>
      </c>
      <c r="B8" s="5">
        <v>0.05</v>
      </c>
    </row>
    <row r="9" spans="1:2" x14ac:dyDescent="0.25">
      <c r="A9" t="s">
        <v>25</v>
      </c>
      <c r="B9" s="5">
        <f>SUMPRODUCT('Electricity Tax Rates'!B30:G53,'Electricity Tax Rates'!B57:G80)/SUM('Electricity Tax Rates'!B57:G80)</f>
        <v>5.5335908619313187E-2</v>
      </c>
    </row>
    <row r="10" spans="1:2" x14ac:dyDescent="0.25">
      <c r="A10" t="s">
        <v>32</v>
      </c>
      <c r="B10" s="5">
        <v>0.05</v>
      </c>
    </row>
    <row r="11" spans="1:2" x14ac:dyDescent="0.25">
      <c r="A11" s="1" t="s">
        <v>40</v>
      </c>
      <c r="B11" s="5">
        <f>'Coal &amp; Lignite'!C23</f>
        <v>0.19727706611116066</v>
      </c>
    </row>
    <row r="12" spans="1:2" x14ac:dyDescent="0.25">
      <c r="A12" s="1" t="s">
        <v>307</v>
      </c>
      <c r="B12" s="5">
        <f>'Crude Oil Production'!D13</f>
        <v>4.9553227013645E-2</v>
      </c>
    </row>
    <row r="13" spans="1:2" x14ac:dyDescent="0.25">
      <c r="A13" s="1" t="s">
        <v>308</v>
      </c>
      <c r="B13" s="5">
        <f>SUM('Fuel Oil &amp; LPG'!B3:C3)/100</f>
        <v>0.18</v>
      </c>
    </row>
    <row r="14" spans="1:2" x14ac:dyDescent="0.25">
      <c r="A14" s="1" t="s">
        <v>309</v>
      </c>
      <c r="B14" s="5">
        <f>SUM('Fuel Oil &amp; LPG'!B4:C4)/100</f>
        <v>0.05</v>
      </c>
    </row>
    <row r="15" spans="1:2" x14ac:dyDescent="0.25">
      <c r="A15" s="1" t="s">
        <v>310</v>
      </c>
      <c r="B15" s="5">
        <v>0</v>
      </c>
    </row>
    <row r="16" spans="1:2" x14ac:dyDescent="0.25">
      <c r="A16" s="1" t="s">
        <v>311</v>
      </c>
      <c r="B16" s="5">
        <v>0</v>
      </c>
    </row>
    <row r="21" spans="1:3" x14ac:dyDescent="0.25">
      <c r="A21" t="s">
        <v>42</v>
      </c>
    </row>
    <row r="22" spans="1:3" x14ac:dyDescent="0.25">
      <c r="A22" t="s">
        <v>43</v>
      </c>
      <c r="B22">
        <v>1.1000000000000001</v>
      </c>
      <c r="C22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2"/>
  <sheetViews>
    <sheetView topLeftCell="A4" workbookViewId="0">
      <selection activeCell="B18" sqref="B18"/>
    </sheetView>
  </sheetViews>
  <sheetFormatPr defaultRowHeight="15" x14ac:dyDescent="0.25"/>
  <cols>
    <col min="1" max="1" width="37.28515625" customWidth="1"/>
  </cols>
  <sheetData>
    <row r="1" spans="1:35" x14ac:dyDescent="0.25">
      <c r="A1" s="1" t="s">
        <v>312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" t="s">
        <v>25</v>
      </c>
      <c r="B2" s="5">
        <f>'Start Year Taxes'!B9</f>
        <v>5.5335908619313187E-2</v>
      </c>
      <c r="C2" s="5">
        <f>B2</f>
        <v>5.5335908619313187E-2</v>
      </c>
      <c r="D2" s="5">
        <f t="shared" ref="D2:AI2" si="0">C2</f>
        <v>5.5335908619313187E-2</v>
      </c>
      <c r="E2" s="5">
        <f t="shared" si="0"/>
        <v>5.5335908619313187E-2</v>
      </c>
      <c r="F2" s="5">
        <f t="shared" si="0"/>
        <v>5.5335908619313187E-2</v>
      </c>
      <c r="G2" s="5">
        <f t="shared" si="0"/>
        <v>5.5335908619313187E-2</v>
      </c>
      <c r="H2" s="5">
        <f t="shared" si="0"/>
        <v>5.5335908619313187E-2</v>
      </c>
      <c r="I2" s="5">
        <f t="shared" si="0"/>
        <v>5.5335908619313187E-2</v>
      </c>
      <c r="J2" s="5">
        <f t="shared" si="0"/>
        <v>5.5335908619313187E-2</v>
      </c>
      <c r="K2" s="5">
        <f t="shared" si="0"/>
        <v>5.5335908619313187E-2</v>
      </c>
      <c r="L2" s="5">
        <f t="shared" si="0"/>
        <v>5.5335908619313187E-2</v>
      </c>
      <c r="M2" s="5">
        <f t="shared" si="0"/>
        <v>5.5335908619313187E-2</v>
      </c>
      <c r="N2" s="5">
        <f t="shared" si="0"/>
        <v>5.5335908619313187E-2</v>
      </c>
      <c r="O2" s="5">
        <f t="shared" si="0"/>
        <v>5.5335908619313187E-2</v>
      </c>
      <c r="P2" s="5">
        <f t="shared" si="0"/>
        <v>5.5335908619313187E-2</v>
      </c>
      <c r="Q2" s="5">
        <f t="shared" si="0"/>
        <v>5.5335908619313187E-2</v>
      </c>
      <c r="R2" s="5">
        <f t="shared" si="0"/>
        <v>5.5335908619313187E-2</v>
      </c>
      <c r="S2" s="5">
        <f t="shared" si="0"/>
        <v>5.5335908619313187E-2</v>
      </c>
      <c r="T2" s="5">
        <f t="shared" si="0"/>
        <v>5.5335908619313187E-2</v>
      </c>
      <c r="U2" s="5">
        <f t="shared" si="0"/>
        <v>5.5335908619313187E-2</v>
      </c>
      <c r="V2" s="5">
        <f t="shared" si="0"/>
        <v>5.5335908619313187E-2</v>
      </c>
      <c r="W2" s="5">
        <f t="shared" si="0"/>
        <v>5.5335908619313187E-2</v>
      </c>
      <c r="X2" s="5">
        <f t="shared" si="0"/>
        <v>5.5335908619313187E-2</v>
      </c>
      <c r="Y2" s="5">
        <f t="shared" si="0"/>
        <v>5.5335908619313187E-2</v>
      </c>
      <c r="Z2" s="5">
        <f t="shared" si="0"/>
        <v>5.5335908619313187E-2</v>
      </c>
      <c r="AA2" s="5">
        <f t="shared" si="0"/>
        <v>5.5335908619313187E-2</v>
      </c>
      <c r="AB2" s="5">
        <f t="shared" si="0"/>
        <v>5.5335908619313187E-2</v>
      </c>
      <c r="AC2" s="5">
        <f t="shared" si="0"/>
        <v>5.5335908619313187E-2</v>
      </c>
      <c r="AD2" s="5">
        <f t="shared" si="0"/>
        <v>5.5335908619313187E-2</v>
      </c>
      <c r="AE2" s="5">
        <f t="shared" si="0"/>
        <v>5.5335908619313187E-2</v>
      </c>
      <c r="AF2" s="5">
        <f t="shared" si="0"/>
        <v>5.5335908619313187E-2</v>
      </c>
      <c r="AG2" s="5">
        <f t="shared" si="0"/>
        <v>5.5335908619313187E-2</v>
      </c>
      <c r="AH2" s="5">
        <f t="shared" si="0"/>
        <v>5.5335908619313187E-2</v>
      </c>
      <c r="AI2" s="5">
        <f t="shared" si="0"/>
        <v>5.5335908619313187E-2</v>
      </c>
    </row>
    <row r="3" spans="1:35" x14ac:dyDescent="0.25">
      <c r="A3" s="1" t="s">
        <v>26</v>
      </c>
      <c r="B3" s="5">
        <f>'Start Year Taxes'!B2</f>
        <v>0.23271342827476171</v>
      </c>
      <c r="C3" s="5">
        <f t="shared" ref="C3:C9" si="1">B3</f>
        <v>0.23271342827476171</v>
      </c>
      <c r="D3" s="5">
        <f t="shared" ref="D3:AI3" si="2">C3</f>
        <v>0.23271342827476171</v>
      </c>
      <c r="E3" s="5">
        <f t="shared" si="2"/>
        <v>0.23271342827476171</v>
      </c>
      <c r="F3" s="5">
        <f t="shared" si="2"/>
        <v>0.23271342827476171</v>
      </c>
      <c r="G3" s="5">
        <f t="shared" si="2"/>
        <v>0.23271342827476171</v>
      </c>
      <c r="H3" s="5">
        <f t="shared" si="2"/>
        <v>0.23271342827476171</v>
      </c>
      <c r="I3" s="5">
        <f t="shared" si="2"/>
        <v>0.23271342827476171</v>
      </c>
      <c r="J3" s="5">
        <f t="shared" si="2"/>
        <v>0.23271342827476171</v>
      </c>
      <c r="K3" s="5">
        <f t="shared" si="2"/>
        <v>0.23271342827476171</v>
      </c>
      <c r="L3" s="5">
        <f t="shared" si="2"/>
        <v>0.23271342827476171</v>
      </c>
      <c r="M3" s="5">
        <f t="shared" si="2"/>
        <v>0.23271342827476171</v>
      </c>
      <c r="N3" s="5">
        <f t="shared" si="2"/>
        <v>0.23271342827476171</v>
      </c>
      <c r="O3" s="5">
        <f t="shared" si="2"/>
        <v>0.23271342827476171</v>
      </c>
      <c r="P3" s="5">
        <f t="shared" si="2"/>
        <v>0.23271342827476171</v>
      </c>
      <c r="Q3" s="5">
        <f t="shared" si="2"/>
        <v>0.23271342827476171</v>
      </c>
      <c r="R3" s="5">
        <f t="shared" si="2"/>
        <v>0.23271342827476171</v>
      </c>
      <c r="S3" s="5">
        <f t="shared" si="2"/>
        <v>0.23271342827476171</v>
      </c>
      <c r="T3" s="5">
        <f t="shared" si="2"/>
        <v>0.23271342827476171</v>
      </c>
      <c r="U3" s="5">
        <f t="shared" si="2"/>
        <v>0.23271342827476171</v>
      </c>
      <c r="V3" s="5">
        <f t="shared" si="2"/>
        <v>0.23271342827476171</v>
      </c>
      <c r="W3" s="5">
        <f t="shared" si="2"/>
        <v>0.23271342827476171</v>
      </c>
      <c r="X3" s="5">
        <f t="shared" si="2"/>
        <v>0.23271342827476171</v>
      </c>
      <c r="Y3" s="5">
        <f t="shared" si="2"/>
        <v>0.23271342827476171</v>
      </c>
      <c r="Z3" s="5">
        <f t="shared" si="2"/>
        <v>0.23271342827476171</v>
      </c>
      <c r="AA3" s="5">
        <f t="shared" si="2"/>
        <v>0.23271342827476171</v>
      </c>
      <c r="AB3" s="5">
        <f t="shared" si="2"/>
        <v>0.23271342827476171</v>
      </c>
      <c r="AC3" s="5">
        <f t="shared" si="2"/>
        <v>0.23271342827476171</v>
      </c>
      <c r="AD3" s="5">
        <f t="shared" si="2"/>
        <v>0.23271342827476171</v>
      </c>
      <c r="AE3" s="5">
        <f t="shared" si="2"/>
        <v>0.23271342827476171</v>
      </c>
      <c r="AF3" s="5">
        <f t="shared" si="2"/>
        <v>0.23271342827476171</v>
      </c>
      <c r="AG3" s="5">
        <f t="shared" si="2"/>
        <v>0.23271342827476171</v>
      </c>
      <c r="AH3" s="5">
        <f t="shared" si="2"/>
        <v>0.23271342827476171</v>
      </c>
      <c r="AI3" s="5">
        <f t="shared" si="2"/>
        <v>0.23271342827476171</v>
      </c>
    </row>
    <row r="4" spans="1:35" x14ac:dyDescent="0.25">
      <c r="A4" s="1" t="s">
        <v>27</v>
      </c>
      <c r="B4" s="5">
        <f>'Start Year Taxes'!B3</f>
        <v>0.1206258820183351</v>
      </c>
      <c r="C4" s="5">
        <f t="shared" si="1"/>
        <v>0.1206258820183351</v>
      </c>
      <c r="D4" s="5">
        <f t="shared" ref="D4:AI4" si="3">C4</f>
        <v>0.1206258820183351</v>
      </c>
      <c r="E4" s="5">
        <f t="shared" si="3"/>
        <v>0.1206258820183351</v>
      </c>
      <c r="F4" s="5">
        <f t="shared" si="3"/>
        <v>0.1206258820183351</v>
      </c>
      <c r="G4" s="5">
        <f t="shared" si="3"/>
        <v>0.1206258820183351</v>
      </c>
      <c r="H4" s="5">
        <f t="shared" si="3"/>
        <v>0.1206258820183351</v>
      </c>
      <c r="I4" s="5">
        <f t="shared" si="3"/>
        <v>0.1206258820183351</v>
      </c>
      <c r="J4" s="5">
        <f t="shared" si="3"/>
        <v>0.1206258820183351</v>
      </c>
      <c r="K4" s="5">
        <f t="shared" si="3"/>
        <v>0.1206258820183351</v>
      </c>
      <c r="L4" s="5">
        <f t="shared" si="3"/>
        <v>0.1206258820183351</v>
      </c>
      <c r="M4" s="5">
        <f t="shared" si="3"/>
        <v>0.1206258820183351</v>
      </c>
      <c r="N4" s="5">
        <f t="shared" si="3"/>
        <v>0.1206258820183351</v>
      </c>
      <c r="O4" s="5">
        <f t="shared" si="3"/>
        <v>0.1206258820183351</v>
      </c>
      <c r="P4" s="5">
        <f t="shared" si="3"/>
        <v>0.1206258820183351</v>
      </c>
      <c r="Q4" s="5">
        <f t="shared" si="3"/>
        <v>0.1206258820183351</v>
      </c>
      <c r="R4" s="5">
        <f t="shared" si="3"/>
        <v>0.1206258820183351</v>
      </c>
      <c r="S4" s="5">
        <f t="shared" si="3"/>
        <v>0.1206258820183351</v>
      </c>
      <c r="T4" s="5">
        <f t="shared" si="3"/>
        <v>0.1206258820183351</v>
      </c>
      <c r="U4" s="5">
        <f t="shared" si="3"/>
        <v>0.1206258820183351</v>
      </c>
      <c r="V4" s="5">
        <f t="shared" si="3"/>
        <v>0.1206258820183351</v>
      </c>
      <c r="W4" s="5">
        <f t="shared" si="3"/>
        <v>0.1206258820183351</v>
      </c>
      <c r="X4" s="5">
        <f t="shared" si="3"/>
        <v>0.1206258820183351</v>
      </c>
      <c r="Y4" s="5">
        <f t="shared" si="3"/>
        <v>0.1206258820183351</v>
      </c>
      <c r="Z4" s="5">
        <f t="shared" si="3"/>
        <v>0.1206258820183351</v>
      </c>
      <c r="AA4" s="5">
        <f t="shared" si="3"/>
        <v>0.1206258820183351</v>
      </c>
      <c r="AB4" s="5">
        <f t="shared" si="3"/>
        <v>0.1206258820183351</v>
      </c>
      <c r="AC4" s="5">
        <f t="shared" si="3"/>
        <v>0.1206258820183351</v>
      </c>
      <c r="AD4" s="5">
        <f t="shared" si="3"/>
        <v>0.1206258820183351</v>
      </c>
      <c r="AE4" s="5">
        <f t="shared" si="3"/>
        <v>0.1206258820183351</v>
      </c>
      <c r="AF4" s="5">
        <f t="shared" si="3"/>
        <v>0.1206258820183351</v>
      </c>
      <c r="AG4" s="5">
        <f t="shared" si="3"/>
        <v>0.1206258820183351</v>
      </c>
      <c r="AH4" s="5">
        <f t="shared" si="3"/>
        <v>0.1206258820183351</v>
      </c>
      <c r="AI4" s="5">
        <f t="shared" si="3"/>
        <v>0.1206258820183351</v>
      </c>
    </row>
    <row r="5" spans="1:35" x14ac:dyDescent="0.25">
      <c r="A5" s="1" t="s">
        <v>28</v>
      </c>
      <c r="B5" s="5">
        <f>About!$G$46</f>
        <v>0</v>
      </c>
      <c r="C5" s="5">
        <f t="shared" si="1"/>
        <v>0</v>
      </c>
      <c r="D5" s="5">
        <f t="shared" ref="D5:AI5" si="4">C5</f>
        <v>0</v>
      </c>
      <c r="E5" s="5">
        <f t="shared" si="4"/>
        <v>0</v>
      </c>
      <c r="F5" s="5">
        <f t="shared" si="4"/>
        <v>0</v>
      </c>
      <c r="G5" s="5">
        <f t="shared" si="4"/>
        <v>0</v>
      </c>
      <c r="H5" s="5">
        <f t="shared" si="4"/>
        <v>0</v>
      </c>
      <c r="I5" s="5">
        <f t="shared" si="4"/>
        <v>0</v>
      </c>
      <c r="J5" s="5">
        <f t="shared" si="4"/>
        <v>0</v>
      </c>
      <c r="K5" s="5">
        <f t="shared" si="4"/>
        <v>0</v>
      </c>
      <c r="L5" s="5">
        <f t="shared" si="4"/>
        <v>0</v>
      </c>
      <c r="M5" s="5">
        <f t="shared" si="4"/>
        <v>0</v>
      </c>
      <c r="N5" s="5">
        <f t="shared" si="4"/>
        <v>0</v>
      </c>
      <c r="O5" s="5">
        <f t="shared" si="4"/>
        <v>0</v>
      </c>
      <c r="P5" s="5">
        <f t="shared" si="4"/>
        <v>0</v>
      </c>
      <c r="Q5" s="5">
        <f t="shared" si="4"/>
        <v>0</v>
      </c>
      <c r="R5" s="5">
        <f t="shared" si="4"/>
        <v>0</v>
      </c>
      <c r="S5" s="5">
        <f t="shared" si="4"/>
        <v>0</v>
      </c>
      <c r="T5" s="5">
        <f t="shared" si="4"/>
        <v>0</v>
      </c>
      <c r="U5" s="5">
        <f t="shared" si="4"/>
        <v>0</v>
      </c>
      <c r="V5" s="5">
        <f t="shared" si="4"/>
        <v>0</v>
      </c>
      <c r="W5" s="5">
        <f t="shared" si="4"/>
        <v>0</v>
      </c>
      <c r="X5" s="5">
        <f t="shared" si="4"/>
        <v>0</v>
      </c>
      <c r="Y5" s="5">
        <f t="shared" si="4"/>
        <v>0</v>
      </c>
      <c r="Z5" s="5">
        <f t="shared" si="4"/>
        <v>0</v>
      </c>
      <c r="AA5" s="5">
        <f t="shared" si="4"/>
        <v>0</v>
      </c>
      <c r="AB5" s="5">
        <f t="shared" si="4"/>
        <v>0</v>
      </c>
      <c r="AC5" s="5">
        <f t="shared" si="4"/>
        <v>0</v>
      </c>
      <c r="AD5" s="5">
        <f t="shared" si="4"/>
        <v>0</v>
      </c>
      <c r="AE5" s="5">
        <f t="shared" si="4"/>
        <v>0</v>
      </c>
      <c r="AF5" s="5">
        <f t="shared" si="4"/>
        <v>0</v>
      </c>
      <c r="AG5" s="5">
        <f t="shared" si="4"/>
        <v>0</v>
      </c>
      <c r="AH5" s="5">
        <f t="shared" si="4"/>
        <v>0</v>
      </c>
      <c r="AI5" s="5">
        <f t="shared" si="4"/>
        <v>0</v>
      </c>
    </row>
    <row r="6" spans="1:35" x14ac:dyDescent="0.25">
      <c r="A6" s="1" t="s">
        <v>29</v>
      </c>
      <c r="B6" s="5">
        <v>0</v>
      </c>
      <c r="C6" s="5">
        <f t="shared" si="1"/>
        <v>0</v>
      </c>
      <c r="D6" s="5">
        <f t="shared" ref="D6:AI6" si="5">C6</f>
        <v>0</v>
      </c>
      <c r="E6" s="5">
        <f t="shared" si="5"/>
        <v>0</v>
      </c>
      <c r="F6" s="5">
        <f t="shared" si="5"/>
        <v>0</v>
      </c>
      <c r="G6" s="5">
        <f t="shared" si="5"/>
        <v>0</v>
      </c>
      <c r="H6" s="5">
        <f t="shared" si="5"/>
        <v>0</v>
      </c>
      <c r="I6" s="5">
        <f t="shared" si="5"/>
        <v>0</v>
      </c>
      <c r="J6" s="5">
        <f t="shared" si="5"/>
        <v>0</v>
      </c>
      <c r="K6" s="5">
        <f t="shared" si="5"/>
        <v>0</v>
      </c>
      <c r="L6" s="5">
        <f t="shared" si="5"/>
        <v>0</v>
      </c>
      <c r="M6" s="5">
        <f t="shared" si="5"/>
        <v>0</v>
      </c>
      <c r="N6" s="5">
        <f t="shared" si="5"/>
        <v>0</v>
      </c>
      <c r="O6" s="5">
        <f t="shared" si="5"/>
        <v>0</v>
      </c>
      <c r="P6" s="5">
        <f t="shared" si="5"/>
        <v>0</v>
      </c>
      <c r="Q6" s="5">
        <f t="shared" si="5"/>
        <v>0</v>
      </c>
      <c r="R6" s="5">
        <f t="shared" si="5"/>
        <v>0</v>
      </c>
      <c r="S6" s="5">
        <f t="shared" si="5"/>
        <v>0</v>
      </c>
      <c r="T6" s="5">
        <f t="shared" si="5"/>
        <v>0</v>
      </c>
      <c r="U6" s="5">
        <f t="shared" si="5"/>
        <v>0</v>
      </c>
      <c r="V6" s="5">
        <f t="shared" si="5"/>
        <v>0</v>
      </c>
      <c r="W6" s="5">
        <f t="shared" si="5"/>
        <v>0</v>
      </c>
      <c r="X6" s="5">
        <f t="shared" si="5"/>
        <v>0</v>
      </c>
      <c r="Y6" s="5">
        <f t="shared" si="5"/>
        <v>0</v>
      </c>
      <c r="Z6" s="5">
        <f t="shared" si="5"/>
        <v>0</v>
      </c>
      <c r="AA6" s="5">
        <f t="shared" si="5"/>
        <v>0</v>
      </c>
      <c r="AB6" s="5">
        <f t="shared" si="5"/>
        <v>0</v>
      </c>
      <c r="AC6" s="5">
        <f t="shared" si="5"/>
        <v>0</v>
      </c>
      <c r="AD6" s="5">
        <f t="shared" si="5"/>
        <v>0</v>
      </c>
      <c r="AE6" s="5">
        <f t="shared" si="5"/>
        <v>0</v>
      </c>
      <c r="AF6" s="5">
        <f t="shared" si="5"/>
        <v>0</v>
      </c>
      <c r="AG6" s="5">
        <f t="shared" si="5"/>
        <v>0</v>
      </c>
      <c r="AH6" s="5">
        <f t="shared" si="5"/>
        <v>0</v>
      </c>
      <c r="AI6" s="5">
        <f t="shared" si="5"/>
        <v>0</v>
      </c>
    </row>
    <row r="7" spans="1:35" x14ac:dyDescent="0.25">
      <c r="A7" s="1" t="s">
        <v>30</v>
      </c>
      <c r="B7" s="5">
        <v>0</v>
      </c>
      <c r="C7" s="5">
        <f t="shared" si="1"/>
        <v>0</v>
      </c>
      <c r="D7" s="5">
        <f t="shared" ref="D7:AI7" si="6">C7</f>
        <v>0</v>
      </c>
      <c r="E7" s="5">
        <f t="shared" si="6"/>
        <v>0</v>
      </c>
      <c r="F7" s="5">
        <f t="shared" si="6"/>
        <v>0</v>
      </c>
      <c r="G7" s="5">
        <f t="shared" si="6"/>
        <v>0</v>
      </c>
      <c r="H7" s="5">
        <f t="shared" si="6"/>
        <v>0</v>
      </c>
      <c r="I7" s="5">
        <f t="shared" si="6"/>
        <v>0</v>
      </c>
      <c r="J7" s="5">
        <f t="shared" si="6"/>
        <v>0</v>
      </c>
      <c r="K7" s="5">
        <f t="shared" si="6"/>
        <v>0</v>
      </c>
      <c r="L7" s="5">
        <f t="shared" si="6"/>
        <v>0</v>
      </c>
      <c r="M7" s="5">
        <f t="shared" si="6"/>
        <v>0</v>
      </c>
      <c r="N7" s="5">
        <f t="shared" si="6"/>
        <v>0</v>
      </c>
      <c r="O7" s="5">
        <f t="shared" si="6"/>
        <v>0</v>
      </c>
      <c r="P7" s="5">
        <f t="shared" si="6"/>
        <v>0</v>
      </c>
      <c r="Q7" s="5">
        <f t="shared" si="6"/>
        <v>0</v>
      </c>
      <c r="R7" s="5">
        <f t="shared" si="6"/>
        <v>0</v>
      </c>
      <c r="S7" s="5">
        <f t="shared" si="6"/>
        <v>0</v>
      </c>
      <c r="T7" s="5">
        <f t="shared" si="6"/>
        <v>0</v>
      </c>
      <c r="U7" s="5">
        <f t="shared" si="6"/>
        <v>0</v>
      </c>
      <c r="V7" s="5">
        <f t="shared" si="6"/>
        <v>0</v>
      </c>
      <c r="W7" s="5">
        <f t="shared" si="6"/>
        <v>0</v>
      </c>
      <c r="X7" s="5">
        <f t="shared" si="6"/>
        <v>0</v>
      </c>
      <c r="Y7" s="5">
        <f t="shared" si="6"/>
        <v>0</v>
      </c>
      <c r="Z7" s="5">
        <f t="shared" si="6"/>
        <v>0</v>
      </c>
      <c r="AA7" s="5">
        <f t="shared" si="6"/>
        <v>0</v>
      </c>
      <c r="AB7" s="5">
        <f t="shared" si="6"/>
        <v>0</v>
      </c>
      <c r="AC7" s="5">
        <f t="shared" si="6"/>
        <v>0</v>
      </c>
      <c r="AD7" s="5">
        <f t="shared" si="6"/>
        <v>0</v>
      </c>
      <c r="AE7" s="5">
        <f t="shared" si="6"/>
        <v>0</v>
      </c>
      <c r="AF7" s="5">
        <f t="shared" si="6"/>
        <v>0</v>
      </c>
      <c r="AG7" s="5">
        <f t="shared" si="6"/>
        <v>0</v>
      </c>
      <c r="AH7" s="5">
        <f t="shared" si="6"/>
        <v>0</v>
      </c>
      <c r="AI7" s="5">
        <f t="shared" si="6"/>
        <v>0</v>
      </c>
    </row>
    <row r="8" spans="1:35" x14ac:dyDescent="0.25">
      <c r="A8" s="1" t="s">
        <v>31</v>
      </c>
      <c r="B8" s="5">
        <v>0</v>
      </c>
      <c r="C8" s="5">
        <f t="shared" si="1"/>
        <v>0</v>
      </c>
      <c r="D8" s="5">
        <f t="shared" ref="D8:AI8" si="7">C8</f>
        <v>0</v>
      </c>
      <c r="E8" s="5">
        <f t="shared" si="7"/>
        <v>0</v>
      </c>
      <c r="F8" s="5">
        <f t="shared" si="7"/>
        <v>0</v>
      </c>
      <c r="G8" s="5">
        <f t="shared" si="7"/>
        <v>0</v>
      </c>
      <c r="H8" s="5">
        <f t="shared" si="7"/>
        <v>0</v>
      </c>
      <c r="I8" s="5">
        <f t="shared" si="7"/>
        <v>0</v>
      </c>
      <c r="J8" s="5">
        <f t="shared" si="7"/>
        <v>0</v>
      </c>
      <c r="K8" s="5">
        <f t="shared" si="7"/>
        <v>0</v>
      </c>
      <c r="L8" s="5">
        <f t="shared" si="7"/>
        <v>0</v>
      </c>
      <c r="M8" s="5">
        <f t="shared" si="7"/>
        <v>0</v>
      </c>
      <c r="N8" s="5">
        <f t="shared" si="7"/>
        <v>0</v>
      </c>
      <c r="O8" s="5">
        <f t="shared" si="7"/>
        <v>0</v>
      </c>
      <c r="P8" s="5">
        <f t="shared" si="7"/>
        <v>0</v>
      </c>
      <c r="Q8" s="5">
        <f t="shared" si="7"/>
        <v>0</v>
      </c>
      <c r="R8" s="5">
        <f t="shared" si="7"/>
        <v>0</v>
      </c>
      <c r="S8" s="5">
        <f t="shared" si="7"/>
        <v>0</v>
      </c>
      <c r="T8" s="5">
        <f t="shared" si="7"/>
        <v>0</v>
      </c>
      <c r="U8" s="5">
        <f t="shared" si="7"/>
        <v>0</v>
      </c>
      <c r="V8" s="5">
        <f t="shared" si="7"/>
        <v>0</v>
      </c>
      <c r="W8" s="5">
        <f t="shared" si="7"/>
        <v>0</v>
      </c>
      <c r="X8" s="5">
        <f t="shared" si="7"/>
        <v>0</v>
      </c>
      <c r="Y8" s="5">
        <f t="shared" si="7"/>
        <v>0</v>
      </c>
      <c r="Z8" s="5">
        <f t="shared" si="7"/>
        <v>0</v>
      </c>
      <c r="AA8" s="5">
        <f t="shared" si="7"/>
        <v>0</v>
      </c>
      <c r="AB8" s="5">
        <f t="shared" si="7"/>
        <v>0</v>
      </c>
      <c r="AC8" s="5">
        <f t="shared" si="7"/>
        <v>0</v>
      </c>
      <c r="AD8" s="5">
        <f t="shared" si="7"/>
        <v>0</v>
      </c>
      <c r="AE8" s="5">
        <f t="shared" si="7"/>
        <v>0</v>
      </c>
      <c r="AF8" s="5">
        <f t="shared" si="7"/>
        <v>0</v>
      </c>
      <c r="AG8" s="5">
        <f t="shared" si="7"/>
        <v>0</v>
      </c>
      <c r="AH8" s="5">
        <f t="shared" si="7"/>
        <v>0</v>
      </c>
      <c r="AI8" s="5">
        <f t="shared" si="7"/>
        <v>0</v>
      </c>
    </row>
    <row r="9" spans="1:35" x14ac:dyDescent="0.25">
      <c r="A9" s="1" t="s">
        <v>32</v>
      </c>
      <c r="B9" s="5">
        <f>'Start Year Taxes'!B10</f>
        <v>0.05</v>
      </c>
      <c r="C9" s="5">
        <f t="shared" si="1"/>
        <v>0.05</v>
      </c>
      <c r="D9" s="5">
        <f t="shared" ref="D9:AI9" si="8">C9</f>
        <v>0.05</v>
      </c>
      <c r="E9" s="5">
        <f t="shared" si="8"/>
        <v>0.05</v>
      </c>
      <c r="F9" s="5">
        <f t="shared" si="8"/>
        <v>0.05</v>
      </c>
      <c r="G9" s="5">
        <f t="shared" si="8"/>
        <v>0.05</v>
      </c>
      <c r="H9" s="5">
        <f t="shared" si="8"/>
        <v>0.05</v>
      </c>
      <c r="I9" s="5">
        <f t="shared" si="8"/>
        <v>0.05</v>
      </c>
      <c r="J9" s="5">
        <f t="shared" si="8"/>
        <v>0.05</v>
      </c>
      <c r="K9" s="5">
        <f t="shared" si="8"/>
        <v>0.05</v>
      </c>
      <c r="L9" s="5">
        <f t="shared" si="8"/>
        <v>0.05</v>
      </c>
      <c r="M9" s="5">
        <f t="shared" si="8"/>
        <v>0.05</v>
      </c>
      <c r="N9" s="5">
        <f t="shared" si="8"/>
        <v>0.05</v>
      </c>
      <c r="O9" s="5">
        <f t="shared" si="8"/>
        <v>0.05</v>
      </c>
      <c r="P9" s="5">
        <f t="shared" si="8"/>
        <v>0.05</v>
      </c>
      <c r="Q9" s="5">
        <f t="shared" si="8"/>
        <v>0.05</v>
      </c>
      <c r="R9" s="5">
        <f t="shared" si="8"/>
        <v>0.05</v>
      </c>
      <c r="S9" s="5">
        <f t="shared" si="8"/>
        <v>0.05</v>
      </c>
      <c r="T9" s="5">
        <f t="shared" si="8"/>
        <v>0.05</v>
      </c>
      <c r="U9" s="5">
        <f t="shared" si="8"/>
        <v>0.05</v>
      </c>
      <c r="V9" s="5">
        <f t="shared" si="8"/>
        <v>0.05</v>
      </c>
      <c r="W9" s="5">
        <f t="shared" si="8"/>
        <v>0.05</v>
      </c>
      <c r="X9" s="5">
        <f t="shared" si="8"/>
        <v>0.05</v>
      </c>
      <c r="Y9" s="5">
        <f t="shared" si="8"/>
        <v>0.05</v>
      </c>
      <c r="Z9" s="5">
        <f t="shared" si="8"/>
        <v>0.05</v>
      </c>
      <c r="AA9" s="5">
        <f t="shared" si="8"/>
        <v>0.05</v>
      </c>
      <c r="AB9" s="5">
        <f t="shared" si="8"/>
        <v>0.05</v>
      </c>
      <c r="AC9" s="5">
        <f t="shared" si="8"/>
        <v>0.05</v>
      </c>
      <c r="AD9" s="5">
        <f t="shared" si="8"/>
        <v>0.05</v>
      </c>
      <c r="AE9" s="5">
        <f t="shared" si="8"/>
        <v>0.05</v>
      </c>
      <c r="AF9" s="5">
        <f t="shared" si="8"/>
        <v>0.05</v>
      </c>
      <c r="AG9" s="5">
        <f t="shared" si="8"/>
        <v>0.05</v>
      </c>
      <c r="AH9" s="5">
        <f t="shared" si="8"/>
        <v>0.05</v>
      </c>
      <c r="AI9" s="5">
        <f t="shared" si="8"/>
        <v>0.05</v>
      </c>
    </row>
    <row r="10" spans="1:35" x14ac:dyDescent="0.25">
      <c r="A10" s="1" t="s">
        <v>33</v>
      </c>
      <c r="B10" s="5">
        <f>'Start Year Taxes'!B4</f>
        <v>0.49136152656008247</v>
      </c>
      <c r="C10" s="5">
        <f>B10</f>
        <v>0.49136152656008247</v>
      </c>
      <c r="D10" s="5">
        <f t="shared" ref="D10:AI10" si="9">C10</f>
        <v>0.49136152656008247</v>
      </c>
      <c r="E10" s="5">
        <f t="shared" si="9"/>
        <v>0.49136152656008247</v>
      </c>
      <c r="F10" s="5">
        <f t="shared" si="9"/>
        <v>0.49136152656008247</v>
      </c>
      <c r="G10" s="5">
        <f t="shared" si="9"/>
        <v>0.49136152656008247</v>
      </c>
      <c r="H10" s="5">
        <f t="shared" si="9"/>
        <v>0.49136152656008247</v>
      </c>
      <c r="I10" s="5">
        <f t="shared" si="9"/>
        <v>0.49136152656008247</v>
      </c>
      <c r="J10" s="5">
        <f t="shared" si="9"/>
        <v>0.49136152656008247</v>
      </c>
      <c r="K10" s="5">
        <f t="shared" si="9"/>
        <v>0.49136152656008247</v>
      </c>
      <c r="L10" s="5">
        <f t="shared" si="9"/>
        <v>0.49136152656008247</v>
      </c>
      <c r="M10" s="5">
        <f t="shared" si="9"/>
        <v>0.49136152656008247</v>
      </c>
      <c r="N10" s="5">
        <f t="shared" si="9"/>
        <v>0.49136152656008247</v>
      </c>
      <c r="O10" s="5">
        <f t="shared" si="9"/>
        <v>0.49136152656008247</v>
      </c>
      <c r="P10" s="5">
        <f t="shared" si="9"/>
        <v>0.49136152656008247</v>
      </c>
      <c r="Q10" s="5">
        <f t="shared" si="9"/>
        <v>0.49136152656008247</v>
      </c>
      <c r="R10" s="5">
        <f t="shared" si="9"/>
        <v>0.49136152656008247</v>
      </c>
      <c r="S10" s="5">
        <f t="shared" si="9"/>
        <v>0.49136152656008247</v>
      </c>
      <c r="T10" s="5">
        <f t="shared" si="9"/>
        <v>0.49136152656008247</v>
      </c>
      <c r="U10" s="5">
        <f t="shared" si="9"/>
        <v>0.49136152656008247</v>
      </c>
      <c r="V10" s="5">
        <f t="shared" si="9"/>
        <v>0.49136152656008247</v>
      </c>
      <c r="W10" s="5">
        <f t="shared" si="9"/>
        <v>0.49136152656008247</v>
      </c>
      <c r="X10" s="5">
        <f t="shared" si="9"/>
        <v>0.49136152656008247</v>
      </c>
      <c r="Y10" s="5">
        <f t="shared" si="9"/>
        <v>0.49136152656008247</v>
      </c>
      <c r="Z10" s="5">
        <f t="shared" si="9"/>
        <v>0.49136152656008247</v>
      </c>
      <c r="AA10" s="5">
        <f t="shared" si="9"/>
        <v>0.49136152656008247</v>
      </c>
      <c r="AB10" s="5">
        <f t="shared" si="9"/>
        <v>0.49136152656008247</v>
      </c>
      <c r="AC10" s="5">
        <f t="shared" si="9"/>
        <v>0.49136152656008247</v>
      </c>
      <c r="AD10" s="5">
        <f t="shared" si="9"/>
        <v>0.49136152656008247</v>
      </c>
      <c r="AE10" s="5">
        <f t="shared" si="9"/>
        <v>0.49136152656008247</v>
      </c>
      <c r="AF10" s="5">
        <f t="shared" si="9"/>
        <v>0.49136152656008247</v>
      </c>
      <c r="AG10" s="5">
        <f t="shared" si="9"/>
        <v>0.49136152656008247</v>
      </c>
      <c r="AH10" s="5">
        <f t="shared" si="9"/>
        <v>0.49136152656008247</v>
      </c>
      <c r="AI10" s="5">
        <f t="shared" si="9"/>
        <v>0.49136152656008247</v>
      </c>
    </row>
    <row r="11" spans="1:35" x14ac:dyDescent="0.25">
      <c r="A11" s="1" t="s">
        <v>34</v>
      </c>
      <c r="B11" s="5">
        <f>'Start Year Taxes'!B5</f>
        <v>0.37339233854238696</v>
      </c>
      <c r="C11" s="5">
        <f>B11</f>
        <v>0.37339233854238696</v>
      </c>
      <c r="D11" s="5">
        <f t="shared" ref="D11:AI11" si="10">C11</f>
        <v>0.37339233854238696</v>
      </c>
      <c r="E11" s="5">
        <f t="shared" si="10"/>
        <v>0.37339233854238696</v>
      </c>
      <c r="F11" s="5">
        <f t="shared" si="10"/>
        <v>0.37339233854238696</v>
      </c>
      <c r="G11" s="5">
        <f t="shared" si="10"/>
        <v>0.37339233854238696</v>
      </c>
      <c r="H11" s="5">
        <f t="shared" si="10"/>
        <v>0.37339233854238696</v>
      </c>
      <c r="I11" s="5">
        <f t="shared" si="10"/>
        <v>0.37339233854238696</v>
      </c>
      <c r="J11" s="5">
        <f t="shared" si="10"/>
        <v>0.37339233854238696</v>
      </c>
      <c r="K11" s="5">
        <f t="shared" si="10"/>
        <v>0.37339233854238696</v>
      </c>
      <c r="L11" s="5">
        <f t="shared" si="10"/>
        <v>0.37339233854238696</v>
      </c>
      <c r="M11" s="5">
        <f t="shared" si="10"/>
        <v>0.37339233854238696</v>
      </c>
      <c r="N11" s="5">
        <f t="shared" si="10"/>
        <v>0.37339233854238696</v>
      </c>
      <c r="O11" s="5">
        <f t="shared" si="10"/>
        <v>0.37339233854238696</v>
      </c>
      <c r="P11" s="5">
        <f t="shared" si="10"/>
        <v>0.37339233854238696</v>
      </c>
      <c r="Q11" s="5">
        <f t="shared" si="10"/>
        <v>0.37339233854238696</v>
      </c>
      <c r="R11" s="5">
        <f t="shared" si="10"/>
        <v>0.37339233854238696</v>
      </c>
      <c r="S11" s="5">
        <f t="shared" si="10"/>
        <v>0.37339233854238696</v>
      </c>
      <c r="T11" s="5">
        <f t="shared" si="10"/>
        <v>0.37339233854238696</v>
      </c>
      <c r="U11" s="5">
        <f t="shared" si="10"/>
        <v>0.37339233854238696</v>
      </c>
      <c r="V11" s="5">
        <f t="shared" si="10"/>
        <v>0.37339233854238696</v>
      </c>
      <c r="W11" s="5">
        <f t="shared" si="10"/>
        <v>0.37339233854238696</v>
      </c>
      <c r="X11" s="5">
        <f t="shared" si="10"/>
        <v>0.37339233854238696</v>
      </c>
      <c r="Y11" s="5">
        <f t="shared" si="10"/>
        <v>0.37339233854238696</v>
      </c>
      <c r="Z11" s="5">
        <f t="shared" si="10"/>
        <v>0.37339233854238696</v>
      </c>
      <c r="AA11" s="5">
        <f t="shared" si="10"/>
        <v>0.37339233854238696</v>
      </c>
      <c r="AB11" s="5">
        <f t="shared" si="10"/>
        <v>0.37339233854238696</v>
      </c>
      <c r="AC11" s="5">
        <f t="shared" si="10"/>
        <v>0.37339233854238696</v>
      </c>
      <c r="AD11" s="5">
        <f t="shared" si="10"/>
        <v>0.37339233854238696</v>
      </c>
      <c r="AE11" s="5">
        <f t="shared" si="10"/>
        <v>0.37339233854238696</v>
      </c>
      <c r="AF11" s="5">
        <f t="shared" si="10"/>
        <v>0.37339233854238696</v>
      </c>
      <c r="AG11" s="5">
        <f t="shared" si="10"/>
        <v>0.37339233854238696</v>
      </c>
      <c r="AH11" s="5">
        <f t="shared" si="10"/>
        <v>0.37339233854238696</v>
      </c>
      <c r="AI11" s="5">
        <f t="shared" si="10"/>
        <v>0.37339233854238696</v>
      </c>
    </row>
    <row r="12" spans="1:35" x14ac:dyDescent="0.25">
      <c r="A12" s="1" t="s">
        <v>35</v>
      </c>
      <c r="B12" s="5">
        <f>'Start Year Taxes'!B7</f>
        <v>0.05</v>
      </c>
      <c r="C12" s="5">
        <f>B12</f>
        <v>0.05</v>
      </c>
      <c r="D12" s="5">
        <f t="shared" ref="D12:AI12" si="11">C12</f>
        <v>0.05</v>
      </c>
      <c r="E12" s="5">
        <f t="shared" si="11"/>
        <v>0.05</v>
      </c>
      <c r="F12" s="5">
        <f t="shared" si="11"/>
        <v>0.05</v>
      </c>
      <c r="G12" s="5">
        <f t="shared" si="11"/>
        <v>0.05</v>
      </c>
      <c r="H12" s="5">
        <f t="shared" si="11"/>
        <v>0.05</v>
      </c>
      <c r="I12" s="5">
        <f t="shared" si="11"/>
        <v>0.05</v>
      </c>
      <c r="J12" s="5">
        <f t="shared" si="11"/>
        <v>0.05</v>
      </c>
      <c r="K12" s="5">
        <f t="shared" si="11"/>
        <v>0.05</v>
      </c>
      <c r="L12" s="5">
        <f t="shared" si="11"/>
        <v>0.05</v>
      </c>
      <c r="M12" s="5">
        <f t="shared" si="11"/>
        <v>0.05</v>
      </c>
      <c r="N12" s="5">
        <f t="shared" si="11"/>
        <v>0.05</v>
      </c>
      <c r="O12" s="5">
        <f t="shared" si="11"/>
        <v>0.05</v>
      </c>
      <c r="P12" s="5">
        <f t="shared" si="11"/>
        <v>0.05</v>
      </c>
      <c r="Q12" s="5">
        <f t="shared" si="11"/>
        <v>0.05</v>
      </c>
      <c r="R12" s="5">
        <f t="shared" si="11"/>
        <v>0.05</v>
      </c>
      <c r="S12" s="5">
        <f t="shared" si="11"/>
        <v>0.05</v>
      </c>
      <c r="T12" s="5">
        <f t="shared" si="11"/>
        <v>0.05</v>
      </c>
      <c r="U12" s="5">
        <f t="shared" si="11"/>
        <v>0.05</v>
      </c>
      <c r="V12" s="5">
        <f t="shared" si="11"/>
        <v>0.05</v>
      </c>
      <c r="W12" s="5">
        <f t="shared" si="11"/>
        <v>0.05</v>
      </c>
      <c r="X12" s="5">
        <f t="shared" si="11"/>
        <v>0.05</v>
      </c>
      <c r="Y12" s="5">
        <f t="shared" si="11"/>
        <v>0.05</v>
      </c>
      <c r="Z12" s="5">
        <f t="shared" si="11"/>
        <v>0.05</v>
      </c>
      <c r="AA12" s="5">
        <f t="shared" si="11"/>
        <v>0.05</v>
      </c>
      <c r="AB12" s="5">
        <f t="shared" si="11"/>
        <v>0.05</v>
      </c>
      <c r="AC12" s="5">
        <f t="shared" si="11"/>
        <v>0.05</v>
      </c>
      <c r="AD12" s="5">
        <f t="shared" si="11"/>
        <v>0.05</v>
      </c>
      <c r="AE12" s="5">
        <f t="shared" si="11"/>
        <v>0.05</v>
      </c>
      <c r="AF12" s="5">
        <f t="shared" si="11"/>
        <v>0.05</v>
      </c>
      <c r="AG12" s="5">
        <f t="shared" si="11"/>
        <v>0.05</v>
      </c>
      <c r="AH12" s="5">
        <f t="shared" si="11"/>
        <v>0.05</v>
      </c>
      <c r="AI12" s="5">
        <f t="shared" si="11"/>
        <v>0.05</v>
      </c>
    </row>
    <row r="13" spans="1:35" x14ac:dyDescent="0.25">
      <c r="A13" s="1" t="s">
        <v>36</v>
      </c>
      <c r="B13" s="5">
        <f>'Start Year Taxes'!B8</f>
        <v>0.05</v>
      </c>
      <c r="C13" s="5">
        <f>B13</f>
        <v>0.05</v>
      </c>
      <c r="D13" s="5">
        <f t="shared" ref="D13:AI13" si="12">C13</f>
        <v>0.05</v>
      </c>
      <c r="E13" s="5">
        <f t="shared" si="12"/>
        <v>0.05</v>
      </c>
      <c r="F13" s="5">
        <f t="shared" si="12"/>
        <v>0.05</v>
      </c>
      <c r="G13" s="5">
        <f t="shared" si="12"/>
        <v>0.05</v>
      </c>
      <c r="H13" s="5">
        <f t="shared" si="12"/>
        <v>0.05</v>
      </c>
      <c r="I13" s="5">
        <f t="shared" si="12"/>
        <v>0.05</v>
      </c>
      <c r="J13" s="5">
        <f t="shared" si="12"/>
        <v>0.05</v>
      </c>
      <c r="K13" s="5">
        <f t="shared" si="12"/>
        <v>0.05</v>
      </c>
      <c r="L13" s="5">
        <f t="shared" si="12"/>
        <v>0.05</v>
      </c>
      <c r="M13" s="5">
        <f t="shared" si="12"/>
        <v>0.05</v>
      </c>
      <c r="N13" s="5">
        <f t="shared" si="12"/>
        <v>0.05</v>
      </c>
      <c r="O13" s="5">
        <f t="shared" si="12"/>
        <v>0.05</v>
      </c>
      <c r="P13" s="5">
        <f t="shared" si="12"/>
        <v>0.05</v>
      </c>
      <c r="Q13" s="5">
        <f t="shared" si="12"/>
        <v>0.05</v>
      </c>
      <c r="R13" s="5">
        <f t="shared" si="12"/>
        <v>0.05</v>
      </c>
      <c r="S13" s="5">
        <f t="shared" si="12"/>
        <v>0.05</v>
      </c>
      <c r="T13" s="5">
        <f t="shared" si="12"/>
        <v>0.05</v>
      </c>
      <c r="U13" s="5">
        <f t="shared" si="12"/>
        <v>0.05</v>
      </c>
      <c r="V13" s="5">
        <f t="shared" si="12"/>
        <v>0.05</v>
      </c>
      <c r="W13" s="5">
        <f t="shared" si="12"/>
        <v>0.05</v>
      </c>
      <c r="X13" s="5">
        <f t="shared" si="12"/>
        <v>0.05</v>
      </c>
      <c r="Y13" s="5">
        <f t="shared" si="12"/>
        <v>0.05</v>
      </c>
      <c r="Z13" s="5">
        <f t="shared" si="12"/>
        <v>0.05</v>
      </c>
      <c r="AA13" s="5">
        <f t="shared" si="12"/>
        <v>0.05</v>
      </c>
      <c r="AB13" s="5">
        <f t="shared" si="12"/>
        <v>0.05</v>
      </c>
      <c r="AC13" s="5">
        <f t="shared" si="12"/>
        <v>0.05</v>
      </c>
      <c r="AD13" s="5">
        <f t="shared" si="12"/>
        <v>0.05</v>
      </c>
      <c r="AE13" s="5">
        <f t="shared" si="12"/>
        <v>0.05</v>
      </c>
      <c r="AF13" s="5">
        <f t="shared" si="12"/>
        <v>0.05</v>
      </c>
      <c r="AG13" s="5">
        <f t="shared" si="12"/>
        <v>0.05</v>
      </c>
      <c r="AH13" s="5">
        <f t="shared" si="12"/>
        <v>0.05</v>
      </c>
      <c r="AI13" s="5">
        <f t="shared" si="12"/>
        <v>0.05</v>
      </c>
    </row>
    <row r="14" spans="1:35" x14ac:dyDescent="0.25">
      <c r="A14" s="1" t="s">
        <v>37</v>
      </c>
      <c r="B14" s="5">
        <f>'Start Year Taxes'!B6</f>
        <v>0.10387508175277957</v>
      </c>
      <c r="C14" s="5">
        <f>B14</f>
        <v>0.10387508175277957</v>
      </c>
      <c r="D14" s="5">
        <f t="shared" ref="D14:AI14" si="13">C14</f>
        <v>0.10387508175277957</v>
      </c>
      <c r="E14" s="5">
        <f t="shared" si="13"/>
        <v>0.10387508175277957</v>
      </c>
      <c r="F14" s="5">
        <f t="shared" si="13"/>
        <v>0.10387508175277957</v>
      </c>
      <c r="G14" s="5">
        <f t="shared" si="13"/>
        <v>0.10387508175277957</v>
      </c>
      <c r="H14" s="5">
        <f t="shared" si="13"/>
        <v>0.10387508175277957</v>
      </c>
      <c r="I14" s="5">
        <f t="shared" si="13"/>
        <v>0.10387508175277957</v>
      </c>
      <c r="J14" s="5">
        <f t="shared" si="13"/>
        <v>0.10387508175277957</v>
      </c>
      <c r="K14" s="5">
        <f t="shared" si="13"/>
        <v>0.10387508175277957</v>
      </c>
      <c r="L14" s="5">
        <f t="shared" si="13"/>
        <v>0.10387508175277957</v>
      </c>
      <c r="M14" s="5">
        <f t="shared" si="13"/>
        <v>0.10387508175277957</v>
      </c>
      <c r="N14" s="5">
        <f t="shared" si="13"/>
        <v>0.10387508175277957</v>
      </c>
      <c r="O14" s="5">
        <f t="shared" si="13"/>
        <v>0.10387508175277957</v>
      </c>
      <c r="P14" s="5">
        <f t="shared" si="13"/>
        <v>0.10387508175277957</v>
      </c>
      <c r="Q14" s="5">
        <f t="shared" si="13"/>
        <v>0.10387508175277957</v>
      </c>
      <c r="R14" s="5">
        <f t="shared" si="13"/>
        <v>0.10387508175277957</v>
      </c>
      <c r="S14" s="5">
        <f t="shared" si="13"/>
        <v>0.10387508175277957</v>
      </c>
      <c r="T14" s="5">
        <f t="shared" si="13"/>
        <v>0.10387508175277957</v>
      </c>
      <c r="U14" s="5">
        <f t="shared" si="13"/>
        <v>0.10387508175277957</v>
      </c>
      <c r="V14" s="5">
        <f t="shared" si="13"/>
        <v>0.10387508175277957</v>
      </c>
      <c r="W14" s="5">
        <f t="shared" si="13"/>
        <v>0.10387508175277957</v>
      </c>
      <c r="X14" s="5">
        <f t="shared" si="13"/>
        <v>0.10387508175277957</v>
      </c>
      <c r="Y14" s="5">
        <f t="shared" si="13"/>
        <v>0.10387508175277957</v>
      </c>
      <c r="Z14" s="5">
        <f t="shared" si="13"/>
        <v>0.10387508175277957</v>
      </c>
      <c r="AA14" s="5">
        <f t="shared" si="13"/>
        <v>0.10387508175277957</v>
      </c>
      <c r="AB14" s="5">
        <f t="shared" si="13"/>
        <v>0.10387508175277957</v>
      </c>
      <c r="AC14" s="5">
        <f t="shared" si="13"/>
        <v>0.10387508175277957</v>
      </c>
      <c r="AD14" s="5">
        <f t="shared" si="13"/>
        <v>0.10387508175277957</v>
      </c>
      <c r="AE14" s="5">
        <f t="shared" si="13"/>
        <v>0.10387508175277957</v>
      </c>
      <c r="AF14" s="5">
        <f t="shared" si="13"/>
        <v>0.10387508175277957</v>
      </c>
      <c r="AG14" s="5">
        <f t="shared" si="13"/>
        <v>0.10387508175277957</v>
      </c>
      <c r="AH14" s="5">
        <f t="shared" si="13"/>
        <v>0.10387508175277957</v>
      </c>
      <c r="AI14" s="5">
        <f t="shared" si="13"/>
        <v>0.10387508175277957</v>
      </c>
    </row>
    <row r="15" spans="1:35" x14ac:dyDescent="0.25">
      <c r="A15" s="1" t="s">
        <v>38</v>
      </c>
      <c r="B15" s="5">
        <v>0</v>
      </c>
      <c r="C15" s="5">
        <f t="shared" ref="C15:C17" si="14">B15</f>
        <v>0</v>
      </c>
      <c r="D15" s="5">
        <f t="shared" ref="D15:AI15" si="15">C15</f>
        <v>0</v>
      </c>
      <c r="E15" s="5">
        <f t="shared" si="15"/>
        <v>0</v>
      </c>
      <c r="F15" s="5">
        <f t="shared" si="15"/>
        <v>0</v>
      </c>
      <c r="G15" s="5">
        <f t="shared" si="15"/>
        <v>0</v>
      </c>
      <c r="H15" s="5">
        <f t="shared" si="15"/>
        <v>0</v>
      </c>
      <c r="I15" s="5">
        <f t="shared" si="15"/>
        <v>0</v>
      </c>
      <c r="J15" s="5">
        <f t="shared" si="15"/>
        <v>0</v>
      </c>
      <c r="K15" s="5">
        <f t="shared" si="15"/>
        <v>0</v>
      </c>
      <c r="L15" s="5">
        <f t="shared" si="15"/>
        <v>0</v>
      </c>
      <c r="M15" s="5">
        <f t="shared" si="15"/>
        <v>0</v>
      </c>
      <c r="N15" s="5">
        <f t="shared" si="15"/>
        <v>0</v>
      </c>
      <c r="O15" s="5">
        <f t="shared" si="15"/>
        <v>0</v>
      </c>
      <c r="P15" s="5">
        <f t="shared" si="15"/>
        <v>0</v>
      </c>
      <c r="Q15" s="5">
        <f t="shared" si="15"/>
        <v>0</v>
      </c>
      <c r="R15" s="5">
        <f t="shared" si="15"/>
        <v>0</v>
      </c>
      <c r="S15" s="5">
        <f t="shared" si="15"/>
        <v>0</v>
      </c>
      <c r="T15" s="5">
        <f t="shared" si="15"/>
        <v>0</v>
      </c>
      <c r="U15" s="5">
        <f t="shared" si="15"/>
        <v>0</v>
      </c>
      <c r="V15" s="5">
        <f t="shared" si="15"/>
        <v>0</v>
      </c>
      <c r="W15" s="5">
        <f t="shared" si="15"/>
        <v>0</v>
      </c>
      <c r="X15" s="5">
        <f t="shared" si="15"/>
        <v>0</v>
      </c>
      <c r="Y15" s="5">
        <f t="shared" si="15"/>
        <v>0</v>
      </c>
      <c r="Z15" s="5">
        <f t="shared" si="15"/>
        <v>0</v>
      </c>
      <c r="AA15" s="5">
        <f t="shared" si="15"/>
        <v>0</v>
      </c>
      <c r="AB15" s="5">
        <f t="shared" si="15"/>
        <v>0</v>
      </c>
      <c r="AC15" s="5">
        <f t="shared" si="15"/>
        <v>0</v>
      </c>
      <c r="AD15" s="5">
        <f t="shared" si="15"/>
        <v>0</v>
      </c>
      <c r="AE15" s="5">
        <f t="shared" si="15"/>
        <v>0</v>
      </c>
      <c r="AF15" s="5">
        <f t="shared" si="15"/>
        <v>0</v>
      </c>
      <c r="AG15" s="5">
        <f t="shared" si="15"/>
        <v>0</v>
      </c>
      <c r="AH15" s="5">
        <f t="shared" si="15"/>
        <v>0</v>
      </c>
      <c r="AI15" s="5">
        <f t="shared" si="15"/>
        <v>0</v>
      </c>
    </row>
    <row r="16" spans="1:35" x14ac:dyDescent="0.25">
      <c r="A16" s="1" t="s">
        <v>39</v>
      </c>
      <c r="B16" s="5">
        <f>0</f>
        <v>0</v>
      </c>
      <c r="C16" s="5">
        <f t="shared" si="14"/>
        <v>0</v>
      </c>
      <c r="D16" s="5">
        <f t="shared" ref="D16:AI16" si="16">C16</f>
        <v>0</v>
      </c>
      <c r="E16" s="5">
        <f t="shared" si="16"/>
        <v>0</v>
      </c>
      <c r="F16" s="5">
        <f t="shared" si="16"/>
        <v>0</v>
      </c>
      <c r="G16" s="5">
        <f t="shared" si="16"/>
        <v>0</v>
      </c>
      <c r="H16" s="5">
        <f t="shared" si="16"/>
        <v>0</v>
      </c>
      <c r="I16" s="5">
        <f t="shared" si="16"/>
        <v>0</v>
      </c>
      <c r="J16" s="5">
        <f t="shared" si="16"/>
        <v>0</v>
      </c>
      <c r="K16" s="5">
        <f t="shared" si="16"/>
        <v>0</v>
      </c>
      <c r="L16" s="5">
        <f t="shared" si="16"/>
        <v>0</v>
      </c>
      <c r="M16" s="5">
        <f t="shared" si="16"/>
        <v>0</v>
      </c>
      <c r="N16" s="5">
        <f t="shared" si="16"/>
        <v>0</v>
      </c>
      <c r="O16" s="5">
        <f t="shared" si="16"/>
        <v>0</v>
      </c>
      <c r="P16" s="5">
        <f t="shared" si="16"/>
        <v>0</v>
      </c>
      <c r="Q16" s="5">
        <f t="shared" si="16"/>
        <v>0</v>
      </c>
      <c r="R16" s="5">
        <f t="shared" si="16"/>
        <v>0</v>
      </c>
      <c r="S16" s="5">
        <f t="shared" si="16"/>
        <v>0</v>
      </c>
      <c r="T16" s="5">
        <f t="shared" si="16"/>
        <v>0</v>
      </c>
      <c r="U16" s="5">
        <f t="shared" si="16"/>
        <v>0</v>
      </c>
      <c r="V16" s="5">
        <f t="shared" si="16"/>
        <v>0</v>
      </c>
      <c r="W16" s="5">
        <f t="shared" si="16"/>
        <v>0</v>
      </c>
      <c r="X16" s="5">
        <f t="shared" si="16"/>
        <v>0</v>
      </c>
      <c r="Y16" s="5">
        <f t="shared" si="16"/>
        <v>0</v>
      </c>
      <c r="Z16" s="5">
        <f t="shared" si="16"/>
        <v>0</v>
      </c>
      <c r="AA16" s="5">
        <f t="shared" si="16"/>
        <v>0</v>
      </c>
      <c r="AB16" s="5">
        <f t="shared" si="16"/>
        <v>0</v>
      </c>
      <c r="AC16" s="5">
        <f t="shared" si="16"/>
        <v>0</v>
      </c>
      <c r="AD16" s="5">
        <f t="shared" si="16"/>
        <v>0</v>
      </c>
      <c r="AE16" s="5">
        <f t="shared" si="16"/>
        <v>0</v>
      </c>
      <c r="AF16" s="5">
        <f t="shared" si="16"/>
        <v>0</v>
      </c>
      <c r="AG16" s="5">
        <f t="shared" si="16"/>
        <v>0</v>
      </c>
      <c r="AH16" s="5">
        <f t="shared" si="16"/>
        <v>0</v>
      </c>
      <c r="AI16" s="5">
        <f t="shared" si="16"/>
        <v>0</v>
      </c>
    </row>
    <row r="17" spans="1:35" x14ac:dyDescent="0.25">
      <c r="A17" s="1" t="s">
        <v>40</v>
      </c>
      <c r="B17" s="5">
        <f>'Start Year Taxes'!B11</f>
        <v>0.19727706611116066</v>
      </c>
      <c r="C17" s="5">
        <f t="shared" si="14"/>
        <v>0.19727706611116066</v>
      </c>
      <c r="D17" s="5">
        <f t="shared" ref="D17:AI22" si="17">C17</f>
        <v>0.19727706611116066</v>
      </c>
      <c r="E17" s="5">
        <f t="shared" si="17"/>
        <v>0.19727706611116066</v>
      </c>
      <c r="F17" s="5">
        <f t="shared" si="17"/>
        <v>0.19727706611116066</v>
      </c>
      <c r="G17" s="5">
        <f t="shared" si="17"/>
        <v>0.19727706611116066</v>
      </c>
      <c r="H17" s="5">
        <f t="shared" si="17"/>
        <v>0.19727706611116066</v>
      </c>
      <c r="I17" s="5">
        <f t="shared" si="17"/>
        <v>0.19727706611116066</v>
      </c>
      <c r="J17" s="5">
        <f t="shared" si="17"/>
        <v>0.19727706611116066</v>
      </c>
      <c r="K17" s="5">
        <f t="shared" si="17"/>
        <v>0.19727706611116066</v>
      </c>
      <c r="L17" s="5">
        <f t="shared" si="17"/>
        <v>0.19727706611116066</v>
      </c>
      <c r="M17" s="5">
        <f t="shared" si="17"/>
        <v>0.19727706611116066</v>
      </c>
      <c r="N17" s="5">
        <f t="shared" si="17"/>
        <v>0.19727706611116066</v>
      </c>
      <c r="O17" s="5">
        <f t="shared" si="17"/>
        <v>0.19727706611116066</v>
      </c>
      <c r="P17" s="5">
        <f t="shared" si="17"/>
        <v>0.19727706611116066</v>
      </c>
      <c r="Q17" s="5">
        <f t="shared" si="17"/>
        <v>0.19727706611116066</v>
      </c>
      <c r="R17" s="5">
        <f t="shared" si="17"/>
        <v>0.19727706611116066</v>
      </c>
      <c r="S17" s="5">
        <f t="shared" si="17"/>
        <v>0.19727706611116066</v>
      </c>
      <c r="T17" s="5">
        <f t="shared" si="17"/>
        <v>0.19727706611116066</v>
      </c>
      <c r="U17" s="5">
        <f t="shared" si="17"/>
        <v>0.19727706611116066</v>
      </c>
      <c r="V17" s="5">
        <f t="shared" si="17"/>
        <v>0.19727706611116066</v>
      </c>
      <c r="W17" s="5">
        <f t="shared" si="17"/>
        <v>0.19727706611116066</v>
      </c>
      <c r="X17" s="5">
        <f t="shared" si="17"/>
        <v>0.19727706611116066</v>
      </c>
      <c r="Y17" s="5">
        <f t="shared" si="17"/>
        <v>0.19727706611116066</v>
      </c>
      <c r="Z17" s="5">
        <f t="shared" si="17"/>
        <v>0.19727706611116066</v>
      </c>
      <c r="AA17" s="5">
        <f t="shared" si="17"/>
        <v>0.19727706611116066</v>
      </c>
      <c r="AB17" s="5">
        <f t="shared" si="17"/>
        <v>0.19727706611116066</v>
      </c>
      <c r="AC17" s="5">
        <f t="shared" si="17"/>
        <v>0.19727706611116066</v>
      </c>
      <c r="AD17" s="5">
        <f t="shared" si="17"/>
        <v>0.19727706611116066</v>
      </c>
      <c r="AE17" s="5">
        <f t="shared" si="17"/>
        <v>0.19727706611116066</v>
      </c>
      <c r="AF17" s="5">
        <f t="shared" si="17"/>
        <v>0.19727706611116066</v>
      </c>
      <c r="AG17" s="5">
        <f t="shared" si="17"/>
        <v>0.19727706611116066</v>
      </c>
      <c r="AH17" s="5">
        <f t="shared" si="17"/>
        <v>0.19727706611116066</v>
      </c>
      <c r="AI17" s="5">
        <f t="shared" si="17"/>
        <v>0.19727706611116066</v>
      </c>
    </row>
    <row r="18" spans="1:35" x14ac:dyDescent="0.25">
      <c r="A18" s="1" t="s">
        <v>307</v>
      </c>
      <c r="B18" s="5">
        <f>'Start Year Taxes'!B12</f>
        <v>4.9553227013645E-2</v>
      </c>
      <c r="C18" s="5">
        <f>B18</f>
        <v>4.9553227013645E-2</v>
      </c>
      <c r="D18" s="5">
        <f t="shared" si="17"/>
        <v>4.9553227013645E-2</v>
      </c>
      <c r="E18" s="5">
        <f t="shared" si="17"/>
        <v>4.9553227013645E-2</v>
      </c>
      <c r="F18" s="5">
        <f t="shared" si="17"/>
        <v>4.9553227013645E-2</v>
      </c>
      <c r="G18" s="5">
        <f t="shared" si="17"/>
        <v>4.9553227013645E-2</v>
      </c>
      <c r="H18" s="5">
        <f t="shared" si="17"/>
        <v>4.9553227013645E-2</v>
      </c>
      <c r="I18" s="5">
        <f t="shared" si="17"/>
        <v>4.9553227013645E-2</v>
      </c>
      <c r="J18" s="5">
        <f t="shared" si="17"/>
        <v>4.9553227013645E-2</v>
      </c>
      <c r="K18" s="5">
        <f t="shared" si="17"/>
        <v>4.9553227013645E-2</v>
      </c>
      <c r="L18" s="5">
        <f t="shared" si="17"/>
        <v>4.9553227013645E-2</v>
      </c>
      <c r="M18" s="5">
        <f t="shared" si="17"/>
        <v>4.9553227013645E-2</v>
      </c>
      <c r="N18" s="5">
        <f t="shared" si="17"/>
        <v>4.9553227013645E-2</v>
      </c>
      <c r="O18" s="5">
        <f t="shared" si="17"/>
        <v>4.9553227013645E-2</v>
      </c>
      <c r="P18" s="5">
        <f t="shared" si="17"/>
        <v>4.9553227013645E-2</v>
      </c>
      <c r="Q18" s="5">
        <f t="shared" si="17"/>
        <v>4.9553227013645E-2</v>
      </c>
      <c r="R18" s="5">
        <f t="shared" si="17"/>
        <v>4.9553227013645E-2</v>
      </c>
      <c r="S18" s="5">
        <f t="shared" si="17"/>
        <v>4.9553227013645E-2</v>
      </c>
      <c r="T18" s="5">
        <f t="shared" si="17"/>
        <v>4.9553227013645E-2</v>
      </c>
      <c r="U18" s="5">
        <f t="shared" si="17"/>
        <v>4.9553227013645E-2</v>
      </c>
      <c r="V18" s="5">
        <f t="shared" si="17"/>
        <v>4.9553227013645E-2</v>
      </c>
      <c r="W18" s="5">
        <f t="shared" si="17"/>
        <v>4.9553227013645E-2</v>
      </c>
      <c r="X18" s="5">
        <f t="shared" si="17"/>
        <v>4.9553227013645E-2</v>
      </c>
      <c r="Y18" s="5">
        <f t="shared" si="17"/>
        <v>4.9553227013645E-2</v>
      </c>
      <c r="Z18" s="5">
        <f t="shared" si="17"/>
        <v>4.9553227013645E-2</v>
      </c>
      <c r="AA18" s="5">
        <f t="shared" si="17"/>
        <v>4.9553227013645E-2</v>
      </c>
      <c r="AB18" s="5">
        <f t="shared" si="17"/>
        <v>4.9553227013645E-2</v>
      </c>
      <c r="AC18" s="5">
        <f t="shared" si="17"/>
        <v>4.9553227013645E-2</v>
      </c>
      <c r="AD18" s="5">
        <f t="shared" si="17"/>
        <v>4.9553227013645E-2</v>
      </c>
      <c r="AE18" s="5">
        <f t="shared" si="17"/>
        <v>4.9553227013645E-2</v>
      </c>
      <c r="AF18" s="5">
        <f t="shared" si="17"/>
        <v>4.9553227013645E-2</v>
      </c>
      <c r="AG18" s="5">
        <f t="shared" si="17"/>
        <v>4.9553227013645E-2</v>
      </c>
      <c r="AH18" s="5">
        <f t="shared" si="17"/>
        <v>4.9553227013645E-2</v>
      </c>
      <c r="AI18" s="5">
        <f t="shared" si="17"/>
        <v>4.9553227013645E-2</v>
      </c>
    </row>
    <row r="19" spans="1:35" x14ac:dyDescent="0.25">
      <c r="A19" s="1" t="s">
        <v>308</v>
      </c>
      <c r="B19" s="5">
        <f>'Start Year Taxes'!B13</f>
        <v>0.18</v>
      </c>
      <c r="C19" s="5">
        <f>B19</f>
        <v>0.18</v>
      </c>
      <c r="D19" s="5">
        <f t="shared" si="17"/>
        <v>0.18</v>
      </c>
      <c r="E19" s="5">
        <f t="shared" si="17"/>
        <v>0.18</v>
      </c>
      <c r="F19" s="5">
        <f t="shared" si="17"/>
        <v>0.18</v>
      </c>
      <c r="G19" s="5">
        <f t="shared" si="17"/>
        <v>0.18</v>
      </c>
      <c r="H19" s="5">
        <f t="shared" si="17"/>
        <v>0.18</v>
      </c>
      <c r="I19" s="5">
        <f t="shared" si="17"/>
        <v>0.18</v>
      </c>
      <c r="J19" s="5">
        <f t="shared" si="17"/>
        <v>0.18</v>
      </c>
      <c r="K19" s="5">
        <f t="shared" si="17"/>
        <v>0.18</v>
      </c>
      <c r="L19" s="5">
        <f t="shared" si="17"/>
        <v>0.18</v>
      </c>
      <c r="M19" s="5">
        <f t="shared" si="17"/>
        <v>0.18</v>
      </c>
      <c r="N19" s="5">
        <f t="shared" si="17"/>
        <v>0.18</v>
      </c>
      <c r="O19" s="5">
        <f t="shared" si="17"/>
        <v>0.18</v>
      </c>
      <c r="P19" s="5">
        <f t="shared" si="17"/>
        <v>0.18</v>
      </c>
      <c r="Q19" s="5">
        <f t="shared" si="17"/>
        <v>0.18</v>
      </c>
      <c r="R19" s="5">
        <f t="shared" si="17"/>
        <v>0.18</v>
      </c>
      <c r="S19" s="5">
        <f t="shared" si="17"/>
        <v>0.18</v>
      </c>
      <c r="T19" s="5">
        <f t="shared" si="17"/>
        <v>0.18</v>
      </c>
      <c r="U19" s="5">
        <f t="shared" si="17"/>
        <v>0.18</v>
      </c>
      <c r="V19" s="5">
        <f t="shared" si="17"/>
        <v>0.18</v>
      </c>
      <c r="W19" s="5">
        <f t="shared" si="17"/>
        <v>0.18</v>
      </c>
      <c r="X19" s="5">
        <f t="shared" si="17"/>
        <v>0.18</v>
      </c>
      <c r="Y19" s="5">
        <f t="shared" si="17"/>
        <v>0.18</v>
      </c>
      <c r="Z19" s="5">
        <f t="shared" si="17"/>
        <v>0.18</v>
      </c>
      <c r="AA19" s="5">
        <f t="shared" si="17"/>
        <v>0.18</v>
      </c>
      <c r="AB19" s="5">
        <f t="shared" si="17"/>
        <v>0.18</v>
      </c>
      <c r="AC19" s="5">
        <f t="shared" si="17"/>
        <v>0.18</v>
      </c>
      <c r="AD19" s="5">
        <f t="shared" si="17"/>
        <v>0.18</v>
      </c>
      <c r="AE19" s="5">
        <f t="shared" si="17"/>
        <v>0.18</v>
      </c>
      <c r="AF19" s="5">
        <f t="shared" si="17"/>
        <v>0.18</v>
      </c>
      <c r="AG19" s="5">
        <f t="shared" si="17"/>
        <v>0.18</v>
      </c>
      <c r="AH19" s="5">
        <f t="shared" si="17"/>
        <v>0.18</v>
      </c>
      <c r="AI19" s="5">
        <f t="shared" si="17"/>
        <v>0.18</v>
      </c>
    </row>
    <row r="20" spans="1:35" x14ac:dyDescent="0.25">
      <c r="A20" s="1" t="s">
        <v>309</v>
      </c>
      <c r="B20" s="5">
        <f>'Start Year Taxes'!B14</f>
        <v>0.05</v>
      </c>
      <c r="C20" s="5">
        <f>B20</f>
        <v>0.05</v>
      </c>
      <c r="D20" s="5">
        <f t="shared" si="17"/>
        <v>0.05</v>
      </c>
      <c r="E20" s="5">
        <f t="shared" si="17"/>
        <v>0.05</v>
      </c>
      <c r="F20" s="5">
        <f t="shared" si="17"/>
        <v>0.05</v>
      </c>
      <c r="G20" s="5">
        <f t="shared" si="17"/>
        <v>0.05</v>
      </c>
      <c r="H20" s="5">
        <f t="shared" si="17"/>
        <v>0.05</v>
      </c>
      <c r="I20" s="5">
        <f t="shared" si="17"/>
        <v>0.05</v>
      </c>
      <c r="J20" s="5">
        <f t="shared" si="17"/>
        <v>0.05</v>
      </c>
      <c r="K20" s="5">
        <f t="shared" si="17"/>
        <v>0.05</v>
      </c>
      <c r="L20" s="5">
        <f t="shared" si="17"/>
        <v>0.05</v>
      </c>
      <c r="M20" s="5">
        <f t="shared" si="17"/>
        <v>0.05</v>
      </c>
      <c r="N20" s="5">
        <f t="shared" si="17"/>
        <v>0.05</v>
      </c>
      <c r="O20" s="5">
        <f t="shared" si="17"/>
        <v>0.05</v>
      </c>
      <c r="P20" s="5">
        <f t="shared" si="17"/>
        <v>0.05</v>
      </c>
      <c r="Q20" s="5">
        <f t="shared" si="17"/>
        <v>0.05</v>
      </c>
      <c r="R20" s="5">
        <f t="shared" si="17"/>
        <v>0.05</v>
      </c>
      <c r="S20" s="5">
        <f t="shared" si="17"/>
        <v>0.05</v>
      </c>
      <c r="T20" s="5">
        <f t="shared" si="17"/>
        <v>0.05</v>
      </c>
      <c r="U20" s="5">
        <f t="shared" si="17"/>
        <v>0.05</v>
      </c>
      <c r="V20" s="5">
        <f t="shared" si="17"/>
        <v>0.05</v>
      </c>
      <c r="W20" s="5">
        <f t="shared" si="17"/>
        <v>0.05</v>
      </c>
      <c r="X20" s="5">
        <f t="shared" si="17"/>
        <v>0.05</v>
      </c>
      <c r="Y20" s="5">
        <f t="shared" si="17"/>
        <v>0.05</v>
      </c>
      <c r="Z20" s="5">
        <f t="shared" si="17"/>
        <v>0.05</v>
      </c>
      <c r="AA20" s="5">
        <f t="shared" si="17"/>
        <v>0.05</v>
      </c>
      <c r="AB20" s="5">
        <f t="shared" si="17"/>
        <v>0.05</v>
      </c>
      <c r="AC20" s="5">
        <f t="shared" si="17"/>
        <v>0.05</v>
      </c>
      <c r="AD20" s="5">
        <f t="shared" si="17"/>
        <v>0.05</v>
      </c>
      <c r="AE20" s="5">
        <f t="shared" si="17"/>
        <v>0.05</v>
      </c>
      <c r="AF20" s="5">
        <f t="shared" si="17"/>
        <v>0.05</v>
      </c>
      <c r="AG20" s="5">
        <f t="shared" si="17"/>
        <v>0.05</v>
      </c>
      <c r="AH20" s="5">
        <f t="shared" si="17"/>
        <v>0.05</v>
      </c>
      <c r="AI20" s="5">
        <f t="shared" si="17"/>
        <v>0.05</v>
      </c>
    </row>
    <row r="21" spans="1:35" x14ac:dyDescent="0.25">
      <c r="A21" s="1" t="s">
        <v>310</v>
      </c>
      <c r="B21" s="5">
        <f>'Start Year Taxes'!B15</f>
        <v>0</v>
      </c>
      <c r="C21" s="5">
        <f>B21</f>
        <v>0</v>
      </c>
      <c r="D21" s="5">
        <f t="shared" si="17"/>
        <v>0</v>
      </c>
      <c r="E21" s="5">
        <f t="shared" si="17"/>
        <v>0</v>
      </c>
      <c r="F21" s="5">
        <f t="shared" si="17"/>
        <v>0</v>
      </c>
      <c r="G21" s="5">
        <f t="shared" si="17"/>
        <v>0</v>
      </c>
      <c r="H21" s="5">
        <f t="shared" si="17"/>
        <v>0</v>
      </c>
      <c r="I21" s="5">
        <f t="shared" si="17"/>
        <v>0</v>
      </c>
      <c r="J21" s="5">
        <f t="shared" si="17"/>
        <v>0</v>
      </c>
      <c r="K21" s="5">
        <f t="shared" si="17"/>
        <v>0</v>
      </c>
      <c r="L21" s="5">
        <f t="shared" si="17"/>
        <v>0</v>
      </c>
      <c r="M21" s="5">
        <f t="shared" si="17"/>
        <v>0</v>
      </c>
      <c r="N21" s="5">
        <f t="shared" si="17"/>
        <v>0</v>
      </c>
      <c r="O21" s="5">
        <f t="shared" si="17"/>
        <v>0</v>
      </c>
      <c r="P21" s="5">
        <f t="shared" si="17"/>
        <v>0</v>
      </c>
      <c r="Q21" s="5">
        <f t="shared" si="17"/>
        <v>0</v>
      </c>
      <c r="R21" s="5">
        <f t="shared" si="17"/>
        <v>0</v>
      </c>
      <c r="S21" s="5">
        <f t="shared" si="17"/>
        <v>0</v>
      </c>
      <c r="T21" s="5">
        <f t="shared" si="17"/>
        <v>0</v>
      </c>
      <c r="U21" s="5">
        <f t="shared" si="17"/>
        <v>0</v>
      </c>
      <c r="V21" s="5">
        <f t="shared" si="17"/>
        <v>0</v>
      </c>
      <c r="W21" s="5">
        <f t="shared" si="17"/>
        <v>0</v>
      </c>
      <c r="X21" s="5">
        <f t="shared" si="17"/>
        <v>0</v>
      </c>
      <c r="Y21" s="5">
        <f t="shared" si="17"/>
        <v>0</v>
      </c>
      <c r="Z21" s="5">
        <f t="shared" si="17"/>
        <v>0</v>
      </c>
      <c r="AA21" s="5">
        <f t="shared" si="17"/>
        <v>0</v>
      </c>
      <c r="AB21" s="5">
        <f t="shared" si="17"/>
        <v>0</v>
      </c>
      <c r="AC21" s="5">
        <f t="shared" si="17"/>
        <v>0</v>
      </c>
      <c r="AD21" s="5">
        <f t="shared" si="17"/>
        <v>0</v>
      </c>
      <c r="AE21" s="5">
        <f t="shared" si="17"/>
        <v>0</v>
      </c>
      <c r="AF21" s="5">
        <f t="shared" si="17"/>
        <v>0</v>
      </c>
      <c r="AG21" s="5">
        <f t="shared" si="17"/>
        <v>0</v>
      </c>
      <c r="AH21" s="5">
        <f t="shared" si="17"/>
        <v>0</v>
      </c>
      <c r="AI21" s="5">
        <f t="shared" si="17"/>
        <v>0</v>
      </c>
    </row>
    <row r="22" spans="1:35" x14ac:dyDescent="0.25">
      <c r="A22" s="1" t="s">
        <v>311</v>
      </c>
      <c r="B22" s="5">
        <f>'Start Year Taxes'!B16</f>
        <v>0</v>
      </c>
      <c r="C22" s="5">
        <f>B22</f>
        <v>0</v>
      </c>
      <c r="D22" s="5">
        <f t="shared" si="17"/>
        <v>0</v>
      </c>
      <c r="E22" s="5">
        <f t="shared" si="17"/>
        <v>0</v>
      </c>
      <c r="F22" s="5">
        <f t="shared" si="17"/>
        <v>0</v>
      </c>
      <c r="G22" s="5">
        <f t="shared" si="17"/>
        <v>0</v>
      </c>
      <c r="H22" s="5">
        <f t="shared" si="17"/>
        <v>0</v>
      </c>
      <c r="I22" s="5">
        <f t="shared" si="17"/>
        <v>0</v>
      </c>
      <c r="J22" s="5">
        <f t="shared" si="17"/>
        <v>0</v>
      </c>
      <c r="K22" s="5">
        <f t="shared" si="17"/>
        <v>0</v>
      </c>
      <c r="L22" s="5">
        <f t="shared" si="17"/>
        <v>0</v>
      </c>
      <c r="M22" s="5">
        <f t="shared" si="17"/>
        <v>0</v>
      </c>
      <c r="N22" s="5">
        <f t="shared" si="17"/>
        <v>0</v>
      </c>
      <c r="O22" s="5">
        <f t="shared" si="17"/>
        <v>0</v>
      </c>
      <c r="P22" s="5">
        <f t="shared" si="17"/>
        <v>0</v>
      </c>
      <c r="Q22" s="5">
        <f t="shared" si="17"/>
        <v>0</v>
      </c>
      <c r="R22" s="5">
        <f t="shared" si="17"/>
        <v>0</v>
      </c>
      <c r="S22" s="5">
        <f t="shared" si="17"/>
        <v>0</v>
      </c>
      <c r="T22" s="5">
        <f t="shared" si="17"/>
        <v>0</v>
      </c>
      <c r="U22" s="5">
        <f t="shared" si="17"/>
        <v>0</v>
      </c>
      <c r="V22" s="5">
        <f t="shared" si="17"/>
        <v>0</v>
      </c>
      <c r="W22" s="5">
        <f t="shared" si="17"/>
        <v>0</v>
      </c>
      <c r="X22" s="5">
        <f t="shared" si="17"/>
        <v>0</v>
      </c>
      <c r="Y22" s="5">
        <f t="shared" si="17"/>
        <v>0</v>
      </c>
      <c r="Z22" s="5">
        <f t="shared" si="17"/>
        <v>0</v>
      </c>
      <c r="AA22" s="5">
        <f t="shared" si="17"/>
        <v>0</v>
      </c>
      <c r="AB22" s="5">
        <f t="shared" si="17"/>
        <v>0</v>
      </c>
      <c r="AC22" s="5">
        <f t="shared" si="17"/>
        <v>0</v>
      </c>
      <c r="AD22" s="5">
        <f t="shared" si="17"/>
        <v>0</v>
      </c>
      <c r="AE22" s="5">
        <f t="shared" si="17"/>
        <v>0</v>
      </c>
      <c r="AF22" s="5">
        <f t="shared" si="17"/>
        <v>0</v>
      </c>
      <c r="AG22" s="5">
        <f t="shared" si="17"/>
        <v>0</v>
      </c>
      <c r="AH22" s="5">
        <f t="shared" si="17"/>
        <v>0</v>
      </c>
      <c r="AI22" s="5">
        <f t="shared" si="1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C1" sqref="C1"/>
    </sheetView>
  </sheetViews>
  <sheetFormatPr defaultRowHeight="15" x14ac:dyDescent="0.25"/>
  <cols>
    <col min="1" max="1" width="50.28515625" customWidth="1"/>
  </cols>
  <sheetData>
    <row r="1" spans="1:4" x14ac:dyDescent="0.25">
      <c r="A1" t="s">
        <v>317</v>
      </c>
    </row>
    <row r="2" spans="1:4" x14ac:dyDescent="0.25">
      <c r="A2" t="s">
        <v>316</v>
      </c>
    </row>
    <row r="3" spans="1:4" x14ac:dyDescent="0.25">
      <c r="A3" t="s">
        <v>318</v>
      </c>
      <c r="B3" t="s">
        <v>320</v>
      </c>
      <c r="C3" t="s">
        <v>319</v>
      </c>
    </row>
    <row r="4" spans="1:4" x14ac:dyDescent="0.25">
      <c r="A4" t="s">
        <v>321</v>
      </c>
      <c r="B4">
        <v>39.450000000000003</v>
      </c>
      <c r="C4">
        <v>45.31</v>
      </c>
    </row>
    <row r="5" spans="1:4" x14ac:dyDescent="0.25">
      <c r="A5" t="s">
        <v>322</v>
      </c>
      <c r="B5" s="95">
        <v>17.98</v>
      </c>
      <c r="C5" s="95">
        <v>13.83</v>
      </c>
      <c r="D5" t="s">
        <v>328</v>
      </c>
    </row>
    <row r="6" spans="1:4" x14ac:dyDescent="0.25">
      <c r="A6" t="s">
        <v>323</v>
      </c>
      <c r="B6" s="95">
        <v>3.64</v>
      </c>
      <c r="C6" s="95">
        <v>2.5499999999999998</v>
      </c>
      <c r="D6" t="s">
        <v>329</v>
      </c>
    </row>
    <row r="7" spans="1:4" x14ac:dyDescent="0.25">
      <c r="A7" t="s">
        <v>324</v>
      </c>
      <c r="B7" s="95">
        <v>16.489999999999998</v>
      </c>
      <c r="C7" s="95">
        <v>10.62</v>
      </c>
      <c r="D7" t="s">
        <v>328</v>
      </c>
    </row>
    <row r="8" spans="1:4" x14ac:dyDescent="0.25">
      <c r="A8" s="1" t="s">
        <v>325</v>
      </c>
      <c r="B8" s="1">
        <v>77.56</v>
      </c>
      <c r="C8" s="1">
        <v>72.31</v>
      </c>
    </row>
    <row r="9" spans="1:4" x14ac:dyDescent="0.25">
      <c r="A9" s="1" t="s">
        <v>326</v>
      </c>
      <c r="B9" s="97">
        <f>SUM(B5:B7)/B8</f>
        <v>0.49136152656008247</v>
      </c>
      <c r="C9" s="97">
        <f>SUM(C5:C7)/C8</f>
        <v>0.37339233854238696</v>
      </c>
    </row>
    <row r="11" spans="1:4" x14ac:dyDescent="0.25">
      <c r="A11" s="96" t="s">
        <v>339</v>
      </c>
    </row>
    <row r="12" spans="1:4" x14ac:dyDescent="0.25">
      <c r="A12" s="96" t="s">
        <v>315</v>
      </c>
    </row>
    <row r="14" spans="1:4" x14ac:dyDescent="0.25">
      <c r="A14" s="98" t="s">
        <v>327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topLeftCell="L4" workbookViewId="0">
      <selection activeCell="Z8" sqref="Z8"/>
    </sheetView>
  </sheetViews>
  <sheetFormatPr defaultRowHeight="15" x14ac:dyDescent="0.25"/>
  <cols>
    <col min="24" max="24" width="12.140625" customWidth="1"/>
    <col min="25" max="25" width="13.140625" customWidth="1"/>
    <col min="26" max="26" width="16.28515625" customWidth="1"/>
  </cols>
  <sheetData>
    <row r="1" spans="1:26" ht="15.75" x14ac:dyDescent="0.25">
      <c r="A1" s="128" t="s">
        <v>313</v>
      </c>
      <c r="B1" s="129"/>
      <c r="C1" s="129"/>
      <c r="D1" s="129"/>
      <c r="E1" s="129"/>
      <c r="F1" s="129"/>
      <c r="G1" s="129"/>
      <c r="H1" s="130"/>
      <c r="I1" s="1" t="s">
        <v>333</v>
      </c>
      <c r="J1" s="1"/>
      <c r="K1" s="1"/>
      <c r="L1" s="1"/>
      <c r="M1" s="1"/>
      <c r="N1" s="1"/>
    </row>
    <row r="2" spans="1:26" x14ac:dyDescent="0.25">
      <c r="A2" s="131" t="s">
        <v>332</v>
      </c>
      <c r="B2" s="132"/>
      <c r="C2" s="132"/>
      <c r="D2" s="132"/>
      <c r="E2" s="132"/>
      <c r="F2" s="132"/>
      <c r="G2" s="132"/>
      <c r="H2" s="133"/>
    </row>
    <row r="3" spans="1:26" x14ac:dyDescent="0.25">
      <c r="A3" s="134" t="s">
        <v>84</v>
      </c>
      <c r="B3" s="135"/>
      <c r="C3" s="135"/>
      <c r="D3" s="135"/>
      <c r="E3" s="135"/>
      <c r="F3" s="135"/>
      <c r="G3" s="135"/>
      <c r="H3" s="136"/>
    </row>
    <row r="4" spans="1:26" ht="157.5" x14ac:dyDescent="0.25">
      <c r="A4" s="25" t="s">
        <v>92</v>
      </c>
      <c r="B4" s="25" t="s">
        <v>93</v>
      </c>
      <c r="C4" s="59" t="s">
        <v>94</v>
      </c>
      <c r="D4" s="25" t="s">
        <v>95</v>
      </c>
      <c r="E4" s="25" t="s">
        <v>96</v>
      </c>
      <c r="F4" s="25" t="s">
        <v>97</v>
      </c>
      <c r="G4" s="25" t="s">
        <v>98</v>
      </c>
      <c r="H4" s="25" t="s">
        <v>99</v>
      </c>
      <c r="I4" s="18" t="s">
        <v>85</v>
      </c>
      <c r="J4" s="18" t="s">
        <v>86</v>
      </c>
      <c r="K4" s="19" t="s">
        <v>87</v>
      </c>
      <c r="L4" s="18" t="s">
        <v>88</v>
      </c>
      <c r="M4" s="19" t="s">
        <v>89</v>
      </c>
      <c r="N4" s="19" t="s">
        <v>90</v>
      </c>
      <c r="O4" s="19" t="s">
        <v>91</v>
      </c>
      <c r="P4" s="39" t="s">
        <v>133</v>
      </c>
      <c r="Q4" s="29" t="s">
        <v>134</v>
      </c>
      <c r="R4" s="30" t="s">
        <v>135</v>
      </c>
      <c r="S4" s="18" t="s">
        <v>136</v>
      </c>
      <c r="T4" s="19" t="s">
        <v>137</v>
      </c>
      <c r="U4" s="19" t="s">
        <v>138</v>
      </c>
      <c r="V4" s="18" t="s">
        <v>139</v>
      </c>
      <c r="W4" s="18" t="s">
        <v>140</v>
      </c>
      <c r="Y4" s="41" t="s">
        <v>155</v>
      </c>
      <c r="Z4" s="40" t="s">
        <v>179</v>
      </c>
    </row>
    <row r="5" spans="1:26" x14ac:dyDescent="0.25">
      <c r="A5" s="26">
        <v>-1</v>
      </c>
      <c r="B5" s="26">
        <v>-2</v>
      </c>
      <c r="C5" s="26">
        <v>-3</v>
      </c>
      <c r="D5" s="26">
        <v>-4</v>
      </c>
      <c r="E5" s="26">
        <v>-5</v>
      </c>
      <c r="F5" s="26">
        <v>-6</v>
      </c>
      <c r="G5" s="26">
        <v>-7</v>
      </c>
      <c r="H5" s="26">
        <v>-8</v>
      </c>
      <c r="I5" s="20">
        <v>-9</v>
      </c>
      <c r="J5" s="20">
        <v>-10</v>
      </c>
      <c r="K5" s="20">
        <v>-11</v>
      </c>
      <c r="L5" s="20">
        <v>-12</v>
      </c>
      <c r="M5" s="20">
        <v>-13</v>
      </c>
      <c r="N5" s="20">
        <v>-14</v>
      </c>
      <c r="O5" s="20">
        <v>-15</v>
      </c>
      <c r="P5" s="20">
        <v>-16</v>
      </c>
      <c r="Q5" s="20">
        <v>-17</v>
      </c>
      <c r="R5" s="20">
        <v>-18</v>
      </c>
      <c r="S5" s="20">
        <v>-19</v>
      </c>
      <c r="T5" s="20">
        <v>-20</v>
      </c>
      <c r="U5" s="20">
        <v>-21</v>
      </c>
      <c r="V5" s="20">
        <v>-22</v>
      </c>
      <c r="W5" s="20">
        <v>-23</v>
      </c>
    </row>
    <row r="6" spans="1:26" ht="18" x14ac:dyDescent="0.25">
      <c r="A6" s="27" t="s">
        <v>100</v>
      </c>
      <c r="B6" s="31">
        <v>0.05</v>
      </c>
      <c r="C6" s="44">
        <v>0.14499999999999999</v>
      </c>
      <c r="D6" s="137"/>
      <c r="E6" s="127"/>
      <c r="F6" s="138"/>
      <c r="G6" s="139"/>
      <c r="H6" s="31"/>
      <c r="I6" s="32"/>
      <c r="J6" s="32"/>
      <c r="K6" s="23"/>
      <c r="L6" s="32"/>
      <c r="M6" s="32"/>
      <c r="N6" s="21"/>
      <c r="O6" s="33"/>
      <c r="P6" s="44">
        <v>0</v>
      </c>
      <c r="Q6" s="33"/>
      <c r="R6" s="32"/>
      <c r="S6" s="32"/>
      <c r="T6" s="21"/>
      <c r="U6" s="32"/>
      <c r="V6" s="32"/>
      <c r="W6" s="33"/>
      <c r="X6" s="27" t="str">
        <f>A6</f>
        <v>Andhra Pradesh</v>
      </c>
      <c r="Y6">
        <f>IFERROR(INDEX('Petroleum Products Consumption'!$F$5:$F$40,MATCH('Tax Rates'!A6,'Petroleum Products Consumption'!$A$5:$A$40,0),1),0)</f>
        <v>76</v>
      </c>
      <c r="Z6" s="95">
        <f>SUMIFS('NG Sales'!$H$6:$H$74,'NG Sales'!$I$6:$I$74,'Tax Rates'!A6,'NG Sales'!$A$6:$A$74,"Net Production (sales)")</f>
        <v>911.21</v>
      </c>
    </row>
    <row r="7" spans="1:26" ht="18" x14ac:dyDescent="0.25">
      <c r="A7" s="27" t="s">
        <v>101</v>
      </c>
      <c r="B7" s="31">
        <v>0.04</v>
      </c>
      <c r="C7" s="44">
        <v>0.2</v>
      </c>
      <c r="D7" s="126"/>
      <c r="E7" s="127"/>
      <c r="F7" s="126"/>
      <c r="G7" s="127"/>
      <c r="H7" s="31"/>
      <c r="I7" s="32"/>
      <c r="J7" s="32"/>
      <c r="K7" s="32"/>
      <c r="L7" s="32"/>
      <c r="M7" s="32"/>
      <c r="N7" s="32"/>
      <c r="O7" s="33"/>
      <c r="P7" s="44">
        <v>0</v>
      </c>
      <c r="Q7" s="22"/>
      <c r="R7" s="32"/>
      <c r="S7" s="32"/>
      <c r="T7" s="32"/>
      <c r="U7" s="32"/>
      <c r="V7" s="32"/>
      <c r="W7" s="33"/>
      <c r="X7" s="27" t="str">
        <f t="shared" ref="X7:X39" si="0">A7</f>
        <v>Arunachal Pradesh</v>
      </c>
      <c r="Y7">
        <f>IFERROR(INDEX('Petroleum Products Consumption'!$F$5:$F$40,MATCH('Tax Rates'!A7,'Petroleum Products Consumption'!$A$5:$A$40,0),1),0)</f>
        <v>1</v>
      </c>
      <c r="Z7" s="95">
        <f>SUMIFS('NG Sales'!$H$6:$H$74,'NG Sales'!$I$6:$I$74,'Tax Rates'!A7,'NG Sales'!$A$6:$A$74,"Net Production (sales)")</f>
        <v>0</v>
      </c>
    </row>
    <row r="8" spans="1:26" x14ac:dyDescent="0.25">
      <c r="A8" s="27" t="s">
        <v>102</v>
      </c>
      <c r="B8" s="31">
        <v>0.05</v>
      </c>
      <c r="C8" s="44">
        <v>0.14499999999999999</v>
      </c>
      <c r="D8" s="27"/>
      <c r="E8" s="31"/>
      <c r="F8" s="27"/>
      <c r="G8" s="31"/>
      <c r="H8" s="23"/>
      <c r="I8" s="32"/>
      <c r="J8" s="32"/>
      <c r="K8" s="32"/>
      <c r="L8" s="32"/>
      <c r="M8" s="32"/>
      <c r="N8" s="24"/>
      <c r="O8" s="33"/>
      <c r="P8" s="44">
        <v>0</v>
      </c>
      <c r="Q8" s="22"/>
      <c r="R8" s="32"/>
      <c r="S8" s="23"/>
      <c r="T8" s="32"/>
      <c r="U8" s="23"/>
      <c r="V8" s="32"/>
      <c r="W8" s="33"/>
      <c r="X8" s="27" t="str">
        <f t="shared" si="0"/>
        <v>Assam</v>
      </c>
      <c r="Y8">
        <f>IFERROR(INDEX('Petroleum Products Consumption'!$F$5:$F$40,MATCH('Tax Rates'!A8,'Petroleum Products Consumption'!$A$5:$A$40,0),1),0)</f>
        <v>146</v>
      </c>
      <c r="Z8" s="95">
        <f>SUMIFS('NG Sales'!$H$6:$H$74,'NG Sales'!$I$6:$I$74,'Tax Rates'!A8,'NG Sales'!$A$6:$A$74,"Net Production (sales)")</f>
        <v>2410.63</v>
      </c>
    </row>
    <row r="9" spans="1:26" x14ac:dyDescent="0.25">
      <c r="A9" s="27" t="s">
        <v>103</v>
      </c>
      <c r="B9" s="31">
        <v>0.06</v>
      </c>
      <c r="C9" s="44">
        <v>0.2</v>
      </c>
      <c r="D9" s="138"/>
      <c r="E9" s="139"/>
      <c r="F9" s="138"/>
      <c r="G9" s="139"/>
      <c r="H9" s="31"/>
      <c r="I9" s="32"/>
      <c r="J9" s="32"/>
      <c r="K9" s="32"/>
      <c r="L9" s="32"/>
      <c r="M9" s="32"/>
      <c r="N9" s="32"/>
      <c r="O9" s="33"/>
      <c r="P9" s="42">
        <v>0.28999999999999998</v>
      </c>
      <c r="Q9" s="23"/>
      <c r="R9" s="32"/>
      <c r="S9" s="32"/>
      <c r="T9" s="24"/>
      <c r="U9" s="32"/>
      <c r="V9" s="32"/>
      <c r="W9" s="33"/>
      <c r="X9" s="27" t="str">
        <f t="shared" si="0"/>
        <v>Bihar</v>
      </c>
      <c r="Y9">
        <f>IFERROR(INDEX('Petroleum Products Consumption'!$F$5:$F$40,MATCH('Tax Rates'!A9,'Petroleum Products Consumption'!$A$5:$A$40,0),1),0)</f>
        <v>26</v>
      </c>
      <c r="Z9">
        <f>SUMIFS('NG Sales'!$H$6:$H$74,'NG Sales'!$I$6:$I$74,'Tax Rates'!A9,'NG Sales'!$A$6:$A$74,"Net Production (sales)")</f>
        <v>0</v>
      </c>
    </row>
    <row r="10" spans="1:26" x14ac:dyDescent="0.25">
      <c r="A10" s="27" t="s">
        <v>104</v>
      </c>
      <c r="B10" s="31">
        <v>0.04</v>
      </c>
      <c r="C10" s="44">
        <v>0.05</v>
      </c>
      <c r="D10" s="137"/>
      <c r="E10" s="127"/>
      <c r="F10" s="138"/>
      <c r="G10" s="139"/>
      <c r="H10" s="31"/>
      <c r="I10" s="32"/>
      <c r="J10" s="32"/>
      <c r="K10" s="23"/>
      <c r="L10" s="32"/>
      <c r="M10" s="32"/>
      <c r="N10" s="32"/>
      <c r="O10" s="33"/>
      <c r="P10" s="42">
        <v>0.2</v>
      </c>
      <c r="Q10" s="23"/>
      <c r="R10" s="32"/>
      <c r="S10" s="32"/>
      <c r="T10" s="21"/>
      <c r="U10" s="32"/>
      <c r="V10" s="32"/>
      <c r="W10" s="32"/>
      <c r="X10" s="27" t="str">
        <f t="shared" si="0"/>
        <v>Chandigarh</v>
      </c>
      <c r="Y10">
        <f>IFERROR(INDEX('Petroleum Products Consumption'!$F$5:$F$40,MATCH('Tax Rates'!A10,'Petroleum Products Consumption'!$A$5:$A$40,0),1),0)</f>
        <v>28</v>
      </c>
      <c r="Z10">
        <f>SUMIFS('NG Sales'!$H$6:$H$74,'NG Sales'!$I$6:$I$74,'Tax Rates'!A10,'NG Sales'!$A$6:$A$74,"Net Production (sales)")</f>
        <v>0</v>
      </c>
    </row>
    <row r="11" spans="1:26" x14ac:dyDescent="0.25">
      <c r="A11" s="27" t="s">
        <v>105</v>
      </c>
      <c r="B11" s="31">
        <v>0.05</v>
      </c>
      <c r="C11" s="44">
        <v>0.25</v>
      </c>
      <c r="D11" s="137"/>
      <c r="E11" s="127"/>
      <c r="F11" s="137"/>
      <c r="G11" s="127"/>
      <c r="H11" s="31"/>
      <c r="I11" s="32"/>
      <c r="J11" s="32"/>
      <c r="K11" s="32"/>
      <c r="L11" s="32"/>
      <c r="M11" s="32"/>
      <c r="N11" s="32"/>
      <c r="O11" s="33"/>
      <c r="P11" s="44">
        <v>0.25</v>
      </c>
      <c r="Q11" s="23"/>
      <c r="R11" s="32"/>
      <c r="S11" s="32"/>
      <c r="T11" s="32"/>
      <c r="U11" s="32"/>
      <c r="V11" s="32"/>
      <c r="W11" s="32"/>
      <c r="X11" s="27" t="str">
        <f t="shared" si="0"/>
        <v>Chhattisgarh</v>
      </c>
      <c r="Y11">
        <f>IFERROR(INDEX('Petroleum Products Consumption'!$F$5:$F$40,MATCH('Tax Rates'!A11,'Petroleum Products Consumption'!$A$5:$A$40,0),1),0)</f>
        <v>32</v>
      </c>
      <c r="Z11">
        <f>SUMIFS('NG Sales'!$H$6:$H$74,'NG Sales'!$I$6:$I$74,'Tax Rates'!A11,'NG Sales'!$A$6:$A$74,"Net Production (sales)")</f>
        <v>0</v>
      </c>
    </row>
    <row r="12" spans="1:26" x14ac:dyDescent="0.25">
      <c r="A12" s="27" t="s">
        <v>106</v>
      </c>
      <c r="B12" s="31">
        <v>0.125</v>
      </c>
      <c r="C12" s="44">
        <v>0</v>
      </c>
      <c r="D12" s="31"/>
      <c r="E12" s="23"/>
      <c r="F12" s="27"/>
      <c r="G12" s="27"/>
      <c r="H12" s="31"/>
      <c r="I12" s="32"/>
      <c r="J12" s="32"/>
      <c r="K12" s="23"/>
      <c r="L12" s="32"/>
      <c r="M12" s="32"/>
      <c r="N12" s="32"/>
      <c r="O12" s="33"/>
      <c r="P12" s="44">
        <v>0</v>
      </c>
      <c r="Q12" s="33"/>
      <c r="R12" s="32"/>
      <c r="S12" s="32"/>
      <c r="T12" s="21"/>
      <c r="U12" s="21"/>
      <c r="V12" s="32"/>
      <c r="W12" s="33"/>
      <c r="X12" s="27" t="str">
        <f t="shared" si="0"/>
        <v>Delhi</v>
      </c>
      <c r="Y12">
        <f>IFERROR(INDEX('Petroleum Products Consumption'!$F$5:$F$40,MATCH('Tax Rates'!A12,'Petroleum Products Consumption'!$A$5:$A$40,0),1),0)</f>
        <v>1726</v>
      </c>
      <c r="Z12">
        <f>SUMIFS('NG Sales'!$H$6:$H$74,'NG Sales'!$I$6:$I$74,'Tax Rates'!A12,'NG Sales'!$A$6:$A$74,"Net Production (sales)")</f>
        <v>0</v>
      </c>
    </row>
    <row r="13" spans="1:26" x14ac:dyDescent="0.25">
      <c r="A13" s="27" t="s">
        <v>107</v>
      </c>
      <c r="B13" s="31">
        <v>0.05</v>
      </c>
      <c r="C13" s="44">
        <v>0.3</v>
      </c>
      <c r="D13" s="138"/>
      <c r="E13" s="139"/>
      <c r="F13" s="138"/>
      <c r="G13" s="139"/>
      <c r="H13" s="31"/>
      <c r="I13" s="32"/>
      <c r="J13" s="32"/>
      <c r="K13" s="32"/>
      <c r="L13" s="32"/>
      <c r="M13" s="32"/>
      <c r="N13" s="22"/>
      <c r="O13" s="33"/>
      <c r="P13" s="44">
        <v>0.18</v>
      </c>
      <c r="Q13" s="23"/>
      <c r="R13" s="32"/>
      <c r="S13" s="32"/>
      <c r="T13" s="32"/>
      <c r="U13" s="32"/>
      <c r="V13" s="33"/>
      <c r="W13" s="33"/>
      <c r="X13" s="27" t="str">
        <f t="shared" si="0"/>
        <v>Goa</v>
      </c>
      <c r="Y13">
        <f>IFERROR(INDEX('Petroleum Products Consumption'!$F$5:$F$40,MATCH('Tax Rates'!A13,'Petroleum Products Consumption'!$A$5:$A$40,0),1),0)</f>
        <v>138</v>
      </c>
      <c r="Z13">
        <f>SUMIFS('NG Sales'!$H$6:$H$74,'NG Sales'!$I$6:$I$74,'Tax Rates'!A13,'NG Sales'!$A$6:$A$74,"Net Production (sales)")</f>
        <v>0</v>
      </c>
    </row>
    <row r="14" spans="1:26" x14ac:dyDescent="0.25">
      <c r="A14" s="27" t="s">
        <v>108</v>
      </c>
      <c r="B14" s="31">
        <v>0.04</v>
      </c>
      <c r="C14" s="44">
        <v>0.15</v>
      </c>
      <c r="D14" s="138"/>
      <c r="E14" s="139"/>
      <c r="F14" s="138"/>
      <c r="G14" s="139"/>
      <c r="H14" s="27"/>
      <c r="I14" s="23"/>
      <c r="J14" s="24"/>
      <c r="K14" s="21"/>
      <c r="L14" s="24"/>
      <c r="M14" s="21"/>
      <c r="N14" s="21"/>
      <c r="O14" s="24"/>
      <c r="P14" s="45">
        <v>0.38</v>
      </c>
      <c r="Q14" s="33"/>
      <c r="R14" s="21"/>
      <c r="S14" s="21"/>
      <c r="T14" s="21"/>
      <c r="U14" s="24"/>
      <c r="V14" s="21"/>
      <c r="W14" s="21"/>
      <c r="X14" s="27" t="str">
        <f t="shared" si="0"/>
        <v>Gujarat</v>
      </c>
      <c r="Y14">
        <f>IFERROR(INDEX('Petroleum Products Consumption'!$F$5:$F$40,MATCH('Tax Rates'!A14,'Petroleum Products Consumption'!$A$5:$A$40,0),1),0)</f>
        <v>231</v>
      </c>
      <c r="Z14" s="95">
        <f>SUMIFS('NG Sales'!$H$6:$H$74,'NG Sales'!$I$6:$I$74,'Tax Rates'!A14,'NG Sales'!$A$6:$A$74,"Net Production (sales)")</f>
        <v>1133.3</v>
      </c>
    </row>
    <row r="15" spans="1:26" x14ac:dyDescent="0.25">
      <c r="A15" s="27" t="s">
        <v>109</v>
      </c>
      <c r="B15" s="31">
        <v>0.125</v>
      </c>
      <c r="C15" s="42">
        <v>0.125</v>
      </c>
      <c r="D15" s="27"/>
      <c r="E15" s="31"/>
      <c r="F15" s="27"/>
      <c r="G15" s="31"/>
      <c r="H15" s="24"/>
      <c r="I15" s="32"/>
      <c r="J15" s="24"/>
      <c r="K15" s="21"/>
      <c r="L15" s="32"/>
      <c r="M15" s="21"/>
      <c r="N15" s="21"/>
      <c r="O15" s="21"/>
      <c r="P15" s="45">
        <v>0</v>
      </c>
      <c r="Q15" s="33"/>
      <c r="R15" s="32"/>
      <c r="S15" s="21"/>
      <c r="T15" s="21"/>
      <c r="U15" s="24"/>
      <c r="V15" s="21"/>
      <c r="W15" s="24"/>
      <c r="X15" s="27" t="str">
        <f t="shared" si="0"/>
        <v>Haryana</v>
      </c>
      <c r="Y15">
        <f>IFERROR(INDEX('Petroleum Products Consumption'!$F$5:$F$40,MATCH('Tax Rates'!A15,'Petroleum Products Consumption'!$A$5:$A$40,0),1),0)</f>
        <v>40</v>
      </c>
      <c r="Z15">
        <f>SUMIFS('NG Sales'!$H$6:$H$74,'NG Sales'!$I$6:$I$74,'Tax Rates'!A15,'NG Sales'!$A$6:$A$74,"Net Production (sales)")</f>
        <v>0</v>
      </c>
    </row>
    <row r="16" spans="1:26" ht="18" x14ac:dyDescent="0.25">
      <c r="A16" s="27" t="s">
        <v>110</v>
      </c>
      <c r="B16" s="31">
        <v>0.04</v>
      </c>
      <c r="C16" s="44">
        <v>0.04</v>
      </c>
      <c r="D16" s="126"/>
      <c r="E16" s="127"/>
      <c r="F16" s="126"/>
      <c r="G16" s="127"/>
      <c r="H16" s="31"/>
      <c r="I16" s="32"/>
      <c r="J16" s="32"/>
      <c r="K16" s="32"/>
      <c r="L16" s="32"/>
      <c r="M16" s="32"/>
      <c r="N16" s="32"/>
      <c r="O16" s="33"/>
      <c r="P16" s="44">
        <v>0.26</v>
      </c>
      <c r="Q16" s="23"/>
      <c r="R16" s="32"/>
      <c r="S16" s="32"/>
      <c r="T16" s="32"/>
      <c r="U16" s="32"/>
      <c r="V16" s="32"/>
      <c r="W16" s="22"/>
      <c r="X16" s="27" t="str">
        <f t="shared" si="0"/>
        <v>Himachal Pradesh</v>
      </c>
      <c r="Y16">
        <f>IFERROR(INDEX('Petroleum Products Consumption'!$F$5:$F$40,MATCH('Tax Rates'!A16,'Petroleum Products Consumption'!$A$5:$A$40,0),1),0)</f>
        <v>7</v>
      </c>
      <c r="Z16">
        <f>SUMIFS('NG Sales'!$H$6:$H$74,'NG Sales'!$I$6:$I$74,'Tax Rates'!A16,'NG Sales'!$A$6:$A$74,"Net Production (sales)")</f>
        <v>0</v>
      </c>
    </row>
    <row r="17" spans="1:26" x14ac:dyDescent="0.25">
      <c r="A17" s="27" t="s">
        <v>111</v>
      </c>
      <c r="B17" s="31">
        <v>0.05</v>
      </c>
      <c r="C17" s="44">
        <v>0.14499999999999999</v>
      </c>
      <c r="D17" s="138"/>
      <c r="E17" s="139"/>
      <c r="F17" s="138"/>
      <c r="G17" s="139"/>
      <c r="H17" s="31"/>
      <c r="I17" s="32"/>
      <c r="J17" s="32"/>
      <c r="K17" s="32"/>
      <c r="L17" s="32"/>
      <c r="M17" s="32"/>
      <c r="N17" s="32"/>
      <c r="O17" s="33"/>
      <c r="P17" s="45">
        <v>0.25</v>
      </c>
      <c r="Q17" s="23"/>
      <c r="R17" s="22"/>
      <c r="S17" s="32"/>
      <c r="T17" s="21"/>
      <c r="U17" s="32"/>
      <c r="V17" s="32"/>
      <c r="W17" s="32"/>
      <c r="X17" s="27" t="str">
        <f t="shared" si="0"/>
        <v>J &amp; K</v>
      </c>
      <c r="Y17">
        <f>IFERROR(INDEX('Petroleum Products Consumption'!$F$5:$F$40,MATCH('Tax Rates'!A17,'Petroleum Products Consumption'!$A$5:$A$40,0),1),0)</f>
        <v>0</v>
      </c>
      <c r="Z17">
        <f>SUMIFS('NG Sales'!$H$6:$H$74,'NG Sales'!$I$6:$I$74,'Tax Rates'!A17,'NG Sales'!$A$6:$A$74,"Net Production (sales)")</f>
        <v>0</v>
      </c>
    </row>
    <row r="18" spans="1:26" x14ac:dyDescent="0.25">
      <c r="A18" s="27" t="s">
        <v>112</v>
      </c>
      <c r="B18" s="31">
        <v>0.05</v>
      </c>
      <c r="C18" s="44">
        <v>0.14000000000000001</v>
      </c>
      <c r="D18" s="138"/>
      <c r="E18" s="139"/>
      <c r="F18" s="138"/>
      <c r="G18" s="139"/>
      <c r="H18" s="31"/>
      <c r="I18" s="32"/>
      <c r="J18" s="32"/>
      <c r="K18" s="32"/>
      <c r="L18" s="32"/>
      <c r="M18" s="32"/>
      <c r="N18" s="32"/>
      <c r="O18" s="33"/>
      <c r="P18" s="44">
        <v>0.04</v>
      </c>
      <c r="Q18" s="23"/>
      <c r="R18" s="32"/>
      <c r="S18" s="32"/>
      <c r="T18" s="23"/>
      <c r="U18" s="32"/>
      <c r="V18" s="32"/>
      <c r="W18" s="33"/>
      <c r="X18" s="27" t="str">
        <f t="shared" si="0"/>
        <v>Jharkhand</v>
      </c>
      <c r="Y18">
        <f>IFERROR(INDEX('Petroleum Products Consumption'!$F$5:$F$40,MATCH('Tax Rates'!A18,'Petroleum Products Consumption'!$A$5:$A$40,0),1),0)</f>
        <v>33</v>
      </c>
      <c r="Z18" s="95">
        <f>SUMIFS('NG Sales'!$H$6:$H$74,'NG Sales'!$I$6:$I$74,'Tax Rates'!A18,'NG Sales'!$A$6:$A$74,"Net Production (sales)")</f>
        <v>3.47</v>
      </c>
    </row>
    <row r="19" spans="1:26" x14ac:dyDescent="0.25">
      <c r="A19" s="27" t="s">
        <v>113</v>
      </c>
      <c r="B19" s="31">
        <v>0</v>
      </c>
      <c r="C19" s="44">
        <v>0.14499999999999999</v>
      </c>
      <c r="D19" s="31"/>
      <c r="E19" s="31"/>
      <c r="F19" s="27"/>
      <c r="G19" s="31"/>
      <c r="H19" s="31"/>
      <c r="I19" s="32"/>
      <c r="J19" s="32"/>
      <c r="K19" s="32"/>
      <c r="L19" s="32"/>
      <c r="M19" s="32"/>
      <c r="N19" s="24"/>
      <c r="O19" s="33"/>
      <c r="P19" s="44">
        <v>0</v>
      </c>
      <c r="Q19" s="33"/>
      <c r="R19" s="32"/>
      <c r="S19" s="32"/>
      <c r="T19" s="21"/>
      <c r="U19" s="32"/>
      <c r="V19" s="33"/>
      <c r="W19" s="32"/>
      <c r="X19" s="27" t="str">
        <f t="shared" si="0"/>
        <v>Karnataka</v>
      </c>
      <c r="Y19">
        <f>IFERROR(INDEX('Petroleum Products Consumption'!$F$5:$F$40,MATCH('Tax Rates'!A19,'Petroleum Products Consumption'!$A$5:$A$40,0),1),0)</f>
        <v>479</v>
      </c>
      <c r="Z19">
        <f>SUMIFS('NG Sales'!$H$6:$H$74,'NG Sales'!$I$6:$I$74,'Tax Rates'!A19,'NG Sales'!$A$6:$A$74,"Net Production (sales)")</f>
        <v>0</v>
      </c>
    </row>
    <row r="20" spans="1:26" x14ac:dyDescent="0.25">
      <c r="A20" s="27" t="s">
        <v>114</v>
      </c>
      <c r="B20" s="31">
        <v>0.05</v>
      </c>
      <c r="C20" s="42">
        <v>0.14499999999999999</v>
      </c>
      <c r="D20" s="138"/>
      <c r="E20" s="139"/>
      <c r="F20" s="138"/>
      <c r="G20" s="139"/>
      <c r="H20" s="31"/>
      <c r="I20" s="32"/>
      <c r="J20" s="32"/>
      <c r="K20" s="32"/>
      <c r="L20" s="32"/>
      <c r="M20" s="32"/>
      <c r="N20" s="32"/>
      <c r="O20" s="33"/>
      <c r="P20" s="46">
        <v>0</v>
      </c>
      <c r="Q20" s="23"/>
      <c r="R20" s="32"/>
      <c r="S20" s="32"/>
      <c r="T20" s="21"/>
      <c r="U20" s="32"/>
      <c r="V20" s="32"/>
      <c r="W20" s="32"/>
      <c r="X20" s="27" t="str">
        <f t="shared" si="0"/>
        <v>Kerala</v>
      </c>
      <c r="Y20">
        <f>IFERROR(INDEX('Petroleum Products Consumption'!$F$5:$F$40,MATCH('Tax Rates'!A20,'Petroleum Products Consumption'!$A$5:$A$40,0),1),0)</f>
        <v>426</v>
      </c>
      <c r="Z20">
        <f>SUMIFS('NG Sales'!$H$6:$H$74,'NG Sales'!$I$6:$I$74,'Tax Rates'!A20,'NG Sales'!$A$6:$A$74,"Net Production (sales)")</f>
        <v>0</v>
      </c>
    </row>
    <row r="21" spans="1:26" ht="18" x14ac:dyDescent="0.25">
      <c r="A21" s="27" t="s">
        <v>115</v>
      </c>
      <c r="B21" s="31">
        <v>0.05</v>
      </c>
      <c r="C21" s="44">
        <v>0.14000000000000001</v>
      </c>
      <c r="D21" s="138"/>
      <c r="E21" s="139"/>
      <c r="F21" s="138"/>
      <c r="G21" s="139"/>
      <c r="H21" s="31"/>
      <c r="I21" s="32"/>
      <c r="J21" s="32"/>
      <c r="K21" s="32"/>
      <c r="L21" s="32"/>
      <c r="M21" s="32"/>
      <c r="N21" s="32"/>
      <c r="O21" s="33"/>
      <c r="P21" s="44">
        <v>0.04</v>
      </c>
      <c r="Q21" s="23"/>
      <c r="R21" s="32"/>
      <c r="S21" s="32"/>
      <c r="T21" s="32"/>
      <c r="U21" s="32"/>
      <c r="V21" s="33"/>
      <c r="W21" s="32"/>
      <c r="X21" s="27" t="str">
        <f t="shared" si="0"/>
        <v>Madhya Pradesh</v>
      </c>
      <c r="Y21">
        <f>IFERROR(INDEX('Petroleum Products Consumption'!$F$5:$F$40,MATCH('Tax Rates'!A21,'Petroleum Products Consumption'!$A$5:$A$40,0),1),0)</f>
        <v>78</v>
      </c>
      <c r="Z21" s="95">
        <f>SUMIFS('NG Sales'!$H$6:$H$74,'NG Sales'!$I$6:$I$74,'Tax Rates'!A21,'NG Sales'!$A$6:$A$74,"Net Production (sales)")</f>
        <v>184.13</v>
      </c>
    </row>
    <row r="22" spans="1:26" x14ac:dyDescent="0.25">
      <c r="A22" s="27" t="s">
        <v>116</v>
      </c>
      <c r="B22" s="31">
        <v>0.05</v>
      </c>
      <c r="C22" s="44">
        <v>0.13500000000000001</v>
      </c>
      <c r="D22" s="138"/>
      <c r="E22" s="139"/>
      <c r="F22" s="138"/>
      <c r="G22" s="139"/>
      <c r="H22" s="31"/>
      <c r="I22" s="32"/>
      <c r="J22" s="32"/>
      <c r="K22" s="32"/>
      <c r="L22" s="32"/>
      <c r="M22" s="32"/>
      <c r="N22" s="32"/>
      <c r="O22" s="33"/>
      <c r="P22" s="46">
        <v>0.3</v>
      </c>
      <c r="Q22" s="33"/>
      <c r="R22" s="32"/>
      <c r="S22" s="33"/>
      <c r="T22" s="32"/>
      <c r="U22" s="32"/>
      <c r="V22" s="33"/>
      <c r="W22" s="33"/>
      <c r="X22" s="27" t="str">
        <f t="shared" si="0"/>
        <v>Maharashtra</v>
      </c>
      <c r="Y22">
        <f>IFERROR(INDEX('Petroleum Products Consumption'!$F$5:$F$40,MATCH('Tax Rates'!A22,'Petroleum Products Consumption'!$A$5:$A$40,0),1),0)</f>
        <v>1466</v>
      </c>
      <c r="Z22">
        <f>SUMIFS('NG Sales'!$H$6:$H$74,'NG Sales'!$I$6:$I$74,'Tax Rates'!A22,'NG Sales'!$A$6:$A$74,"Net Production (sales)")</f>
        <v>0</v>
      </c>
    </row>
    <row r="23" spans="1:26" x14ac:dyDescent="0.25">
      <c r="A23" s="27" t="s">
        <v>117</v>
      </c>
      <c r="B23" s="31">
        <v>0.05</v>
      </c>
      <c r="C23" s="44">
        <v>0.13500000000000001</v>
      </c>
      <c r="D23" s="126"/>
      <c r="E23" s="127"/>
      <c r="F23" s="126"/>
      <c r="G23" s="127"/>
      <c r="H23" s="31"/>
      <c r="I23" s="32"/>
      <c r="J23" s="32"/>
      <c r="K23" s="32"/>
      <c r="L23" s="32"/>
      <c r="M23" s="32"/>
      <c r="N23" s="32"/>
      <c r="O23" s="33"/>
      <c r="P23" s="44">
        <v>0</v>
      </c>
      <c r="Q23" s="22"/>
      <c r="R23" s="32"/>
      <c r="S23" s="32"/>
      <c r="T23" s="32"/>
      <c r="U23" s="32"/>
      <c r="V23" s="33"/>
      <c r="W23" s="33"/>
      <c r="X23" s="27" t="str">
        <f t="shared" si="0"/>
        <v>Manipur</v>
      </c>
      <c r="Y23">
        <f>IFERROR(INDEX('Petroleum Products Consumption'!$F$5:$F$40,MATCH('Tax Rates'!A23,'Petroleum Products Consumption'!$A$5:$A$40,0),1),0)</f>
        <v>3</v>
      </c>
      <c r="Z23">
        <f>SUMIFS('NG Sales'!$H$6:$H$74,'NG Sales'!$I$6:$I$74,'Tax Rates'!A23,'NG Sales'!$A$6:$A$74,"Net Production (sales)")</f>
        <v>0</v>
      </c>
    </row>
    <row r="24" spans="1:26" x14ac:dyDescent="0.25">
      <c r="A24" s="27" t="s">
        <v>118</v>
      </c>
      <c r="B24" s="31">
        <v>0.04</v>
      </c>
      <c r="C24" s="44">
        <v>0.14499999999999999</v>
      </c>
      <c r="D24" s="28"/>
      <c r="E24" s="23"/>
      <c r="F24" s="138"/>
      <c r="G24" s="139"/>
      <c r="H24" s="31"/>
      <c r="I24" s="32"/>
      <c r="J24" s="32"/>
      <c r="K24" s="32"/>
      <c r="L24" s="32"/>
      <c r="M24" s="32"/>
      <c r="N24" s="32"/>
      <c r="O24" s="32"/>
      <c r="P24" s="45">
        <v>0</v>
      </c>
      <c r="Q24" s="22"/>
      <c r="R24" s="32"/>
      <c r="S24" s="32"/>
      <c r="T24" s="21"/>
      <c r="U24" s="32"/>
      <c r="V24" s="32"/>
      <c r="W24" s="33"/>
      <c r="X24" s="27" t="str">
        <f t="shared" si="0"/>
        <v>Meghalaya</v>
      </c>
      <c r="Y24">
        <f>IFERROR(INDEX('Petroleum Products Consumption'!$F$5:$F$40,MATCH('Tax Rates'!A24,'Petroleum Products Consumption'!$A$5:$A$40,0),1),0)</f>
        <v>0</v>
      </c>
      <c r="Z24">
        <f>SUMIFS('NG Sales'!$H$6:$H$74,'NG Sales'!$I$6:$I$74,'Tax Rates'!A24,'NG Sales'!$A$6:$A$74,"Net Production (sales)")</f>
        <v>0</v>
      </c>
    </row>
    <row r="25" spans="1:26" x14ac:dyDescent="0.25">
      <c r="A25" s="27" t="s">
        <v>119</v>
      </c>
      <c r="B25" s="31">
        <v>0.05</v>
      </c>
      <c r="C25" s="44">
        <v>0.13500000000000001</v>
      </c>
      <c r="D25" s="126"/>
      <c r="E25" s="127"/>
      <c r="F25" s="126"/>
      <c r="G25" s="127"/>
      <c r="H25" s="31"/>
      <c r="I25" s="32"/>
      <c r="J25" s="32"/>
      <c r="K25" s="32"/>
      <c r="L25" s="22"/>
      <c r="M25" s="22"/>
      <c r="N25" s="32"/>
      <c r="O25" s="33"/>
      <c r="P25" s="44">
        <v>0</v>
      </c>
      <c r="Q25" s="22"/>
      <c r="R25" s="32"/>
      <c r="S25" s="32"/>
      <c r="T25" s="32"/>
      <c r="U25" s="32"/>
      <c r="V25" s="32"/>
      <c r="W25" s="33"/>
      <c r="X25" s="27" t="str">
        <f t="shared" si="0"/>
        <v>Mizoram</v>
      </c>
      <c r="Y25">
        <f>IFERROR(INDEX('Petroleum Products Consumption'!$F$5:$F$40,MATCH('Tax Rates'!A25,'Petroleum Products Consumption'!$A$5:$A$40,0),1),0)</f>
        <v>1</v>
      </c>
      <c r="Z25">
        <f>SUMIFS('NG Sales'!$H$6:$H$74,'NG Sales'!$I$6:$I$74,'Tax Rates'!A25,'NG Sales'!$A$6:$A$74,"Net Production (sales)")</f>
        <v>0</v>
      </c>
    </row>
    <row r="26" spans="1:26" x14ac:dyDescent="0.25">
      <c r="A26" s="27" t="s">
        <v>120</v>
      </c>
      <c r="B26" s="31">
        <v>0.05</v>
      </c>
      <c r="C26" s="42">
        <v>0.05</v>
      </c>
      <c r="D26" s="138"/>
      <c r="E26" s="139"/>
      <c r="F26" s="138"/>
      <c r="G26" s="139"/>
      <c r="H26" s="31"/>
      <c r="I26" s="24"/>
      <c r="J26" s="21"/>
      <c r="K26" s="21"/>
      <c r="L26" s="21"/>
      <c r="M26" s="21"/>
      <c r="N26" s="32"/>
      <c r="O26" s="32"/>
      <c r="P26" s="45">
        <v>0</v>
      </c>
      <c r="Q26" s="22"/>
      <c r="R26" s="21"/>
      <c r="S26" s="32"/>
      <c r="T26" s="21"/>
      <c r="U26" s="24"/>
      <c r="V26" s="32"/>
      <c r="W26" s="33"/>
      <c r="X26" s="27" t="str">
        <f t="shared" si="0"/>
        <v>Nagaland</v>
      </c>
      <c r="Y26">
        <f>IFERROR(INDEX('Petroleum Products Consumption'!$F$5:$F$40,MATCH('Tax Rates'!A26,'Petroleum Products Consumption'!$A$5:$A$40,0),1),0)</f>
        <v>3</v>
      </c>
      <c r="Z26">
        <f>SUMIFS('NG Sales'!$H$6:$H$74,'NG Sales'!$I$6:$I$74,'Tax Rates'!A26,'NG Sales'!$A$6:$A$74,"Net Production (sales)")</f>
        <v>0</v>
      </c>
    </row>
    <row r="27" spans="1:26" x14ac:dyDescent="0.25">
      <c r="A27" s="27" t="s">
        <v>121</v>
      </c>
      <c r="B27" s="31">
        <v>0.05</v>
      </c>
      <c r="C27" s="44">
        <v>0.15</v>
      </c>
      <c r="D27" s="126"/>
      <c r="E27" s="127"/>
      <c r="F27" s="126"/>
      <c r="G27" s="127"/>
      <c r="H27" s="31"/>
      <c r="I27" s="21"/>
      <c r="J27" s="32"/>
      <c r="K27" s="32"/>
      <c r="L27" s="21"/>
      <c r="M27" s="32"/>
      <c r="N27" s="24"/>
      <c r="O27" s="33"/>
      <c r="P27" s="44">
        <v>0</v>
      </c>
      <c r="Q27" s="23"/>
      <c r="R27" s="32"/>
      <c r="S27" s="32"/>
      <c r="T27" s="32"/>
      <c r="U27" s="32"/>
      <c r="V27" s="33"/>
      <c r="W27" s="33"/>
      <c r="X27" s="27" t="str">
        <f t="shared" si="0"/>
        <v>Odisha</v>
      </c>
      <c r="Y27">
        <f>IFERROR(INDEX('Petroleum Products Consumption'!$F$5:$F$40,MATCH('Tax Rates'!A27,'Petroleum Products Consumption'!$A$5:$A$40,0),1),0)</f>
        <v>62</v>
      </c>
      <c r="Z27">
        <f>SUMIFS('NG Sales'!$H$6:$H$74,'NG Sales'!$I$6:$I$74,'Tax Rates'!A27,'NG Sales'!$A$6:$A$74,"Net Production (sales)")</f>
        <v>0</v>
      </c>
    </row>
    <row r="28" spans="1:26" x14ac:dyDescent="0.25">
      <c r="A28" s="27" t="s">
        <v>122</v>
      </c>
      <c r="B28" s="31">
        <v>0</v>
      </c>
      <c r="C28" s="44">
        <v>0.14499999999999999</v>
      </c>
      <c r="D28" s="138"/>
      <c r="E28" s="139"/>
      <c r="F28" s="31"/>
      <c r="G28" s="31"/>
      <c r="H28" s="31"/>
      <c r="I28" s="32"/>
      <c r="J28" s="32"/>
      <c r="K28" s="32"/>
      <c r="L28" s="32"/>
      <c r="M28" s="32"/>
      <c r="N28" s="32"/>
      <c r="O28" s="33"/>
      <c r="P28" s="44">
        <v>0.05</v>
      </c>
      <c r="Q28" s="33"/>
      <c r="R28" s="32"/>
      <c r="S28" s="33"/>
      <c r="T28" s="32"/>
      <c r="U28" s="32"/>
      <c r="V28" s="32"/>
      <c r="W28" s="33"/>
      <c r="X28" s="27" t="str">
        <f t="shared" si="0"/>
        <v>Pondicherry</v>
      </c>
      <c r="Y28">
        <f>IFERROR(INDEX('Petroleum Products Consumption'!$F$5:$F$40,MATCH('Tax Rates'!A28,'Petroleum Products Consumption'!$A$5:$A$40,0),1),0)</f>
        <v>0</v>
      </c>
      <c r="Z28">
        <f>SUMIFS('NG Sales'!$H$6:$H$74,'NG Sales'!$I$6:$I$74,'Tax Rates'!A28,'NG Sales'!$A$6:$A$74,"Net Production (sales)")</f>
        <v>0</v>
      </c>
    </row>
    <row r="29" spans="1:26" ht="81" customHeight="1" x14ac:dyDescent="0.25">
      <c r="A29" s="27" t="s">
        <v>123</v>
      </c>
      <c r="B29" s="31">
        <v>4.4999999999999998E-2</v>
      </c>
      <c r="C29" s="42">
        <v>0.14299999999999999</v>
      </c>
      <c r="D29" s="138"/>
      <c r="E29" s="139"/>
      <c r="F29" s="28"/>
      <c r="G29" s="28"/>
      <c r="H29" s="24"/>
      <c r="I29" s="24"/>
      <c r="J29" s="21"/>
      <c r="K29" s="21"/>
      <c r="L29" s="21"/>
      <c r="M29" s="21"/>
      <c r="N29" s="21"/>
      <c r="O29" s="24"/>
      <c r="P29" s="47">
        <v>0.13</v>
      </c>
      <c r="Q29" s="43"/>
      <c r="R29" s="21"/>
      <c r="S29" s="24"/>
      <c r="T29" s="23"/>
      <c r="U29" s="21"/>
      <c r="V29" s="24"/>
      <c r="W29" s="24"/>
      <c r="X29" s="27" t="str">
        <f t="shared" si="0"/>
        <v>Punjab</v>
      </c>
      <c r="Y29">
        <f>IFERROR(INDEX('Petroleum Products Consumption'!$F$5:$F$40,MATCH('Tax Rates'!A29,'Petroleum Products Consumption'!$A$5:$A$40,0),1),0)</f>
        <v>106</v>
      </c>
      <c r="Z29">
        <f>SUMIFS('NG Sales'!$H$6:$H$74,'NG Sales'!$I$6:$I$74,'Tax Rates'!A29,'NG Sales'!$A$6:$A$74,"Net Production (sales)")</f>
        <v>0</v>
      </c>
    </row>
    <row r="30" spans="1:26" x14ac:dyDescent="0.25">
      <c r="A30" s="27" t="s">
        <v>124</v>
      </c>
      <c r="B30" s="31">
        <v>5.5E-2</v>
      </c>
      <c r="C30" s="44">
        <v>5.5E-2</v>
      </c>
      <c r="D30" s="138"/>
      <c r="E30" s="139"/>
      <c r="F30" s="138"/>
      <c r="G30" s="139"/>
      <c r="H30" s="31"/>
      <c r="I30" s="32"/>
      <c r="J30" s="32"/>
      <c r="K30" s="32"/>
      <c r="L30" s="32"/>
      <c r="M30" s="32"/>
      <c r="N30" s="32"/>
      <c r="O30" s="32"/>
      <c r="P30" s="44">
        <f>Q30</f>
        <v>0</v>
      </c>
      <c r="Q30" s="33"/>
      <c r="R30" s="32"/>
      <c r="S30" s="33"/>
      <c r="T30" s="32"/>
      <c r="U30" s="32"/>
      <c r="V30" s="32"/>
      <c r="W30" s="33"/>
      <c r="X30" s="27" t="str">
        <f t="shared" si="0"/>
        <v>Rajasthan</v>
      </c>
      <c r="Y30">
        <f>IFERROR(INDEX('Petroleum Products Consumption'!$F$5:$F$40,MATCH('Tax Rates'!A30,'Petroleum Products Consumption'!$A$5:$A$40,0),1),0)</f>
        <v>151</v>
      </c>
      <c r="Z30" s="95">
        <f>SUMIFS('NG Sales'!$H$6:$H$74,'NG Sales'!$I$6:$I$74,'Tax Rates'!A30,'NG Sales'!$A$6:$A$74,"Net Production (sales)")</f>
        <v>743.1</v>
      </c>
    </row>
    <row r="31" spans="1:26" x14ac:dyDescent="0.25">
      <c r="A31" s="27" t="s">
        <v>125</v>
      </c>
      <c r="B31" s="31">
        <v>4.4999999999999998E-2</v>
      </c>
      <c r="C31" s="44">
        <v>4.4999999999999998E-2</v>
      </c>
      <c r="D31" s="138"/>
      <c r="E31" s="139"/>
      <c r="F31" s="137"/>
      <c r="G31" s="127"/>
      <c r="H31" s="31"/>
      <c r="I31" s="32"/>
      <c r="J31" s="32"/>
      <c r="K31" s="23"/>
      <c r="L31" s="32"/>
      <c r="M31" s="32"/>
      <c r="N31" s="32"/>
      <c r="O31" s="33"/>
      <c r="P31" s="46">
        <v>0</v>
      </c>
      <c r="Q31" s="22"/>
      <c r="R31" s="32"/>
      <c r="S31" s="32"/>
      <c r="T31" s="24"/>
      <c r="U31" s="32"/>
      <c r="V31" s="32"/>
      <c r="W31" s="33"/>
      <c r="X31" s="27" t="str">
        <f t="shared" si="0"/>
        <v>Sikkim</v>
      </c>
      <c r="Y31">
        <f>IFERROR(INDEX('Petroleum Products Consumption'!$F$5:$F$40,MATCH('Tax Rates'!A31,'Petroleum Products Consumption'!$A$5:$A$40,0),1),0)</f>
        <v>0</v>
      </c>
      <c r="Z31">
        <f>SUMIFS('NG Sales'!$H$6:$H$74,'NG Sales'!$I$6:$I$74,'Tax Rates'!A31,'NG Sales'!$A$6:$A$74,"Net Production (sales)")</f>
        <v>0</v>
      </c>
    </row>
    <row r="32" spans="1:26" ht="18" x14ac:dyDescent="0.25">
      <c r="A32" s="27" t="s">
        <v>126</v>
      </c>
      <c r="B32" s="31">
        <v>0.05</v>
      </c>
      <c r="C32" s="44">
        <v>0.125</v>
      </c>
      <c r="D32" s="126"/>
      <c r="E32" s="127"/>
      <c r="F32" s="126"/>
      <c r="G32" s="127"/>
      <c r="H32" s="31"/>
      <c r="I32" s="32"/>
      <c r="J32" s="32"/>
      <c r="K32" s="32"/>
      <c r="L32" s="32"/>
      <c r="M32" s="32"/>
      <c r="N32" s="32"/>
      <c r="O32" s="32"/>
      <c r="P32" s="44">
        <v>0.2</v>
      </c>
      <c r="Q32" s="33"/>
      <c r="R32" s="21"/>
      <c r="S32" s="32"/>
      <c r="T32" s="32"/>
      <c r="U32" s="32"/>
      <c r="V32" s="32"/>
      <c r="W32" s="32"/>
      <c r="X32" s="27" t="str">
        <f t="shared" si="0"/>
        <v>Silvassa/DNH</v>
      </c>
      <c r="Y32">
        <f>IFERROR(INDEX('Petroleum Products Consumption'!$F$5:$F$40,MATCH('Tax Rates'!A32,'Petroleum Products Consumption'!$A$5:$A$40,0),1),0)</f>
        <v>0</v>
      </c>
      <c r="Z32">
        <f>SUMIFS('NG Sales'!$H$6:$H$74,'NG Sales'!$I$6:$I$74,'Tax Rates'!A32,'NG Sales'!$A$6:$A$74,"Net Production (sales)")</f>
        <v>0</v>
      </c>
    </row>
    <row r="33" spans="1:26" x14ac:dyDescent="0.25">
      <c r="A33" s="27" t="s">
        <v>127</v>
      </c>
      <c r="B33" s="31">
        <v>0.05</v>
      </c>
      <c r="C33" s="44">
        <v>0.05</v>
      </c>
      <c r="D33" s="138"/>
      <c r="E33" s="139"/>
      <c r="F33" s="138"/>
      <c r="G33" s="139"/>
      <c r="H33" s="31"/>
      <c r="I33" s="32"/>
      <c r="J33" s="32"/>
      <c r="K33" s="32"/>
      <c r="L33" s="32"/>
      <c r="M33" s="32"/>
      <c r="N33" s="32"/>
      <c r="O33" s="33"/>
      <c r="P33" s="44">
        <v>0.05</v>
      </c>
      <c r="Q33" s="33"/>
      <c r="R33" s="32"/>
      <c r="S33" s="32"/>
      <c r="T33" s="32"/>
      <c r="U33" s="32"/>
      <c r="V33" s="32"/>
      <c r="W33" s="32"/>
      <c r="X33" s="27" t="str">
        <f t="shared" si="0"/>
        <v>Tamil Nadu</v>
      </c>
      <c r="Y33">
        <f>IFERROR(INDEX('Petroleum Products Consumption'!$F$5:$F$40,MATCH('Tax Rates'!A33,'Petroleum Products Consumption'!$A$5:$A$40,0),1),0)</f>
        <v>0</v>
      </c>
      <c r="Z33" s="95">
        <f>SUMIFS('NG Sales'!$H$6:$H$74,'NG Sales'!$I$6:$I$74,'Tax Rates'!A33,'NG Sales'!$A$6:$A$74,"Net Production (sales)")</f>
        <v>1178.73</v>
      </c>
    </row>
    <row r="34" spans="1:26" x14ac:dyDescent="0.25">
      <c r="A34" s="27" t="s">
        <v>128</v>
      </c>
      <c r="B34" s="31">
        <v>0.05</v>
      </c>
      <c r="C34" s="44">
        <v>0.14499999999999999</v>
      </c>
      <c r="D34" s="126"/>
      <c r="E34" s="127"/>
      <c r="F34" s="126"/>
      <c r="G34" s="127"/>
      <c r="H34" s="31"/>
      <c r="I34" s="32"/>
      <c r="J34" s="32"/>
      <c r="K34" s="32"/>
      <c r="L34" s="32"/>
      <c r="M34" s="32"/>
      <c r="N34" s="21"/>
      <c r="O34" s="33"/>
      <c r="P34" s="44">
        <v>0</v>
      </c>
      <c r="Q34" s="33"/>
      <c r="R34" s="32"/>
      <c r="S34" s="32"/>
      <c r="T34" s="32"/>
      <c r="U34" s="32"/>
      <c r="V34" s="32"/>
      <c r="W34" s="33"/>
      <c r="X34" s="27" t="str">
        <f t="shared" si="0"/>
        <v>Telangana</v>
      </c>
      <c r="Y34">
        <f>IFERROR(INDEX('Petroleum Products Consumption'!$F$5:$F$40,MATCH('Tax Rates'!A34,'Petroleum Products Consumption'!$A$5:$A$40,0),1),0)</f>
        <v>312</v>
      </c>
      <c r="Z34">
        <f>SUMIFS('NG Sales'!$H$6:$H$74,'NG Sales'!$I$6:$I$74,'Tax Rates'!A34,'NG Sales'!$A$6:$A$74,"Net Production (sales)")</f>
        <v>0</v>
      </c>
    </row>
    <row r="35" spans="1:26" x14ac:dyDescent="0.25">
      <c r="A35" s="27" t="s">
        <v>129</v>
      </c>
      <c r="B35" s="31">
        <v>0.05</v>
      </c>
      <c r="C35" s="44">
        <v>0.14499999999999999</v>
      </c>
      <c r="D35" s="126"/>
      <c r="E35" s="127"/>
      <c r="F35" s="126"/>
      <c r="G35" s="127"/>
      <c r="H35" s="31"/>
      <c r="I35" s="32"/>
      <c r="J35" s="32"/>
      <c r="K35" s="32"/>
      <c r="L35" s="22"/>
      <c r="M35" s="32"/>
      <c r="N35" s="32"/>
      <c r="O35" s="33"/>
      <c r="P35" s="44">
        <v>0</v>
      </c>
      <c r="Q35" s="22"/>
      <c r="R35" s="32"/>
      <c r="S35" s="32"/>
      <c r="T35" s="32"/>
      <c r="U35" s="32"/>
      <c r="V35" s="32"/>
      <c r="W35" s="33"/>
      <c r="X35" s="27" t="str">
        <f t="shared" si="0"/>
        <v>Tripura</v>
      </c>
      <c r="Y35">
        <f>IFERROR(INDEX('Petroleum Products Consumption'!$F$5:$F$40,MATCH('Tax Rates'!A35,'Petroleum Products Consumption'!$A$5:$A$40,0),1),0)</f>
        <v>4</v>
      </c>
      <c r="Z35" s="95">
        <f>SUMIFS('NG Sales'!$H$6:$H$74,'NG Sales'!$I$6:$I$74,'Tax Rates'!A35,'NG Sales'!$A$6:$A$74,"Net Production (sales)")</f>
        <v>1437.16</v>
      </c>
    </row>
    <row r="36" spans="1:26" x14ac:dyDescent="0.25">
      <c r="A36" s="27" t="s">
        <v>130</v>
      </c>
      <c r="B36" s="31">
        <v>0.04</v>
      </c>
      <c r="C36" s="45">
        <v>0.21</v>
      </c>
      <c r="D36" s="138"/>
      <c r="E36" s="139"/>
      <c r="F36" s="140"/>
      <c r="G36" s="141"/>
      <c r="H36" s="31"/>
      <c r="I36" s="32"/>
      <c r="J36" s="21"/>
      <c r="K36" s="21"/>
      <c r="L36" s="21"/>
      <c r="M36" s="21"/>
      <c r="N36" s="32"/>
      <c r="O36" s="33"/>
      <c r="P36" s="46">
        <v>0.21</v>
      </c>
      <c r="Q36" s="33"/>
      <c r="R36" s="32"/>
      <c r="S36" s="22"/>
      <c r="T36" s="21"/>
      <c r="U36" s="32"/>
      <c r="V36" s="22"/>
      <c r="W36" s="24"/>
      <c r="X36" s="27" t="str">
        <f t="shared" si="0"/>
        <v>Uttar Pradesh</v>
      </c>
      <c r="Y36">
        <f>IFERROR(INDEX('Petroleum Products Consumption'!$F$5:$F$40,MATCH('Tax Rates'!A36,'Petroleum Products Consumption'!$A$5:$A$40,0),1),0)</f>
        <v>190</v>
      </c>
      <c r="Z36">
        <f>SUMIFS('NG Sales'!$H$6:$H$74,'NG Sales'!$I$6:$I$74,'Tax Rates'!A36,'NG Sales'!$A$6:$A$74,"Net Production (sales)")</f>
        <v>0</v>
      </c>
    </row>
    <row r="37" spans="1:26" x14ac:dyDescent="0.25">
      <c r="A37" s="27" t="s">
        <v>131</v>
      </c>
      <c r="B37" s="31">
        <v>0.05</v>
      </c>
      <c r="C37" s="46">
        <v>0.2</v>
      </c>
      <c r="D37" s="138"/>
      <c r="E37" s="139"/>
      <c r="F37" s="138"/>
      <c r="G37" s="139"/>
      <c r="H37" s="31"/>
      <c r="I37" s="32"/>
      <c r="J37" s="32"/>
      <c r="K37" s="23"/>
      <c r="L37" s="32"/>
      <c r="M37" s="32"/>
      <c r="N37" s="32"/>
      <c r="O37" s="33"/>
      <c r="P37" s="44">
        <v>0.2</v>
      </c>
      <c r="Q37" s="33"/>
      <c r="R37" s="32"/>
      <c r="S37" s="32"/>
      <c r="T37" s="32"/>
      <c r="U37" s="32"/>
      <c r="V37" s="33"/>
      <c r="W37" s="33"/>
      <c r="X37" s="27" t="str">
        <f t="shared" si="0"/>
        <v>Uttarakhand</v>
      </c>
      <c r="Y37">
        <f>IFERROR(INDEX('Petroleum Products Consumption'!$F$5:$F$40,MATCH('Tax Rates'!A37,'Petroleum Products Consumption'!$A$5:$A$40,0),1),0)</f>
        <v>9</v>
      </c>
      <c r="Z37">
        <f>SUMIFS('NG Sales'!$H$6:$H$74,'NG Sales'!$I$6:$I$74,'Tax Rates'!A37,'NG Sales'!$A$6:$A$74,"Net Production (sales)")</f>
        <v>0</v>
      </c>
    </row>
    <row r="38" spans="1:26" x14ac:dyDescent="0.25">
      <c r="A38" s="27" t="s">
        <v>132</v>
      </c>
      <c r="B38" s="31">
        <v>0.05</v>
      </c>
      <c r="C38" s="44">
        <v>0.05</v>
      </c>
      <c r="D38" s="138"/>
      <c r="E38" s="139"/>
      <c r="F38" s="138"/>
      <c r="G38" s="139"/>
      <c r="H38" s="31"/>
      <c r="I38" s="32"/>
      <c r="J38" s="21"/>
      <c r="K38" s="32"/>
      <c r="L38" s="32"/>
      <c r="M38" s="32"/>
      <c r="N38" s="32"/>
      <c r="O38" s="33"/>
      <c r="P38" s="46">
        <v>0</v>
      </c>
      <c r="Q38" s="22"/>
      <c r="R38" s="33"/>
      <c r="S38" s="33"/>
      <c r="T38" s="22"/>
      <c r="U38" s="32"/>
      <c r="V38" s="32"/>
      <c r="W38" s="33"/>
      <c r="X38" s="27" t="str">
        <f t="shared" si="0"/>
        <v>West Bengal</v>
      </c>
      <c r="Y38">
        <f>IFERROR(INDEX('Petroleum Products Consumption'!$F$5:$F$40,MATCH('Tax Rates'!A38,'Petroleum Products Consumption'!$A$5:$A$40,0),1),0)</f>
        <v>342</v>
      </c>
      <c r="Z38" s="95">
        <f>SUMIFS('NG Sales'!$H$6:$H$74,'NG Sales'!$I$6:$I$74,'Tax Rates'!A38,'NG Sales'!$A$6:$A$74,"Net Production (sales)")</f>
        <v>296</v>
      </c>
    </row>
    <row r="39" spans="1:26" ht="27" x14ac:dyDescent="0.25">
      <c r="A39" s="99" t="s">
        <v>331</v>
      </c>
      <c r="B39" s="101">
        <v>0.06</v>
      </c>
      <c r="C39" s="100">
        <v>0.1</v>
      </c>
      <c r="P39" s="100">
        <v>0</v>
      </c>
      <c r="X39" s="27" t="str">
        <f t="shared" si="0"/>
        <v>Andaman &amp; Nicobar Islands</v>
      </c>
      <c r="Y39">
        <f>IFERROR(INDEX('Petroleum Products Consumption'!$F$5:$F$40,MATCH('Tax Rates'!A39,'Petroleum Products Consumption'!$A$5:$A$40,0),1),0)</f>
        <v>0</v>
      </c>
      <c r="Z39">
        <f>SUMIFS('NG Sales'!$H$6:$H$74,'NG Sales'!$I$6:$I$74,'Tax Rates'!A39,'NG Sales'!$A$6:$A$74,"Net Production (sales)")</f>
        <v>0</v>
      </c>
    </row>
    <row r="41" spans="1:26" x14ac:dyDescent="0.25">
      <c r="A41" s="96" t="s">
        <v>340</v>
      </c>
    </row>
    <row r="42" spans="1:26" x14ac:dyDescent="0.25">
      <c r="A42" s="96" t="s">
        <v>342</v>
      </c>
    </row>
  </sheetData>
  <mergeCells count="58">
    <mergeCell ref="D38:E38"/>
    <mergeCell ref="F38:G38"/>
    <mergeCell ref="D35:E35"/>
    <mergeCell ref="F35:G35"/>
    <mergeCell ref="D36:E36"/>
    <mergeCell ref="F36:G36"/>
    <mergeCell ref="D37:E37"/>
    <mergeCell ref="F37:G37"/>
    <mergeCell ref="D32:E32"/>
    <mergeCell ref="F32:G32"/>
    <mergeCell ref="D33:E33"/>
    <mergeCell ref="F33:G33"/>
    <mergeCell ref="D34:E34"/>
    <mergeCell ref="F34:G34"/>
    <mergeCell ref="D28:E28"/>
    <mergeCell ref="D29:E29"/>
    <mergeCell ref="D30:E30"/>
    <mergeCell ref="F30:G30"/>
    <mergeCell ref="D31:E31"/>
    <mergeCell ref="F31:G31"/>
    <mergeCell ref="D27:E27"/>
    <mergeCell ref="F27:G27"/>
    <mergeCell ref="D21:E21"/>
    <mergeCell ref="F21:G21"/>
    <mergeCell ref="D22:E22"/>
    <mergeCell ref="F22:G22"/>
    <mergeCell ref="D23:E23"/>
    <mergeCell ref="F23:G23"/>
    <mergeCell ref="F24:G24"/>
    <mergeCell ref="D25:E25"/>
    <mergeCell ref="F25:G25"/>
    <mergeCell ref="D26:E26"/>
    <mergeCell ref="F26:G26"/>
    <mergeCell ref="D17:E17"/>
    <mergeCell ref="F17:G17"/>
    <mergeCell ref="D18:E18"/>
    <mergeCell ref="F18:G18"/>
    <mergeCell ref="D20:E20"/>
    <mergeCell ref="F20:G20"/>
    <mergeCell ref="D13:E13"/>
    <mergeCell ref="F13:G13"/>
    <mergeCell ref="D14:E14"/>
    <mergeCell ref="F14:G14"/>
    <mergeCell ref="D16:E16"/>
    <mergeCell ref="F16:G16"/>
    <mergeCell ref="D9:E9"/>
    <mergeCell ref="F9:G9"/>
    <mergeCell ref="D10:E10"/>
    <mergeCell ref="F10:G10"/>
    <mergeCell ref="D11:E11"/>
    <mergeCell ref="F11:G11"/>
    <mergeCell ref="D7:E7"/>
    <mergeCell ref="F7:G7"/>
    <mergeCell ref="A1:H1"/>
    <mergeCell ref="A2:H2"/>
    <mergeCell ref="A3:H3"/>
    <mergeCell ref="D6:E6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workbookViewId="0">
      <selection activeCell="C1" sqref="C1"/>
    </sheetView>
  </sheetViews>
  <sheetFormatPr defaultRowHeight="15" x14ac:dyDescent="0.25"/>
  <cols>
    <col min="1" max="1" width="22.140625" bestFit="1" customWidth="1"/>
    <col min="2" max="2" width="27" bestFit="1" customWidth="1"/>
    <col min="3" max="4" width="20.42578125" bestFit="1" customWidth="1"/>
    <col min="5" max="5" width="28.85546875" bestFit="1" customWidth="1"/>
    <col min="6" max="6" width="20.42578125" bestFit="1" customWidth="1"/>
    <col min="7" max="7" width="9.85546875" bestFit="1" customWidth="1"/>
  </cols>
  <sheetData>
    <row r="1" spans="1:7" x14ac:dyDescent="0.25">
      <c r="A1" s="2" t="s">
        <v>230</v>
      </c>
      <c r="B1" s="2"/>
      <c r="C1" s="2"/>
      <c r="D1" s="2"/>
      <c r="E1" s="2"/>
      <c r="F1" s="2"/>
      <c r="G1" s="2"/>
    </row>
    <row r="2" spans="1:7" ht="15.75" thickBot="1" x14ac:dyDescent="0.3">
      <c r="A2" s="60" t="s">
        <v>180</v>
      </c>
      <c r="B2" s="61" t="s">
        <v>181</v>
      </c>
      <c r="C2" s="61" t="s">
        <v>182</v>
      </c>
      <c r="D2" s="61" t="s">
        <v>183</v>
      </c>
      <c r="E2" s="61" t="s">
        <v>184</v>
      </c>
      <c r="F2" s="61" t="s">
        <v>185</v>
      </c>
      <c r="G2" s="78" t="s">
        <v>186</v>
      </c>
    </row>
    <row r="3" spans="1:7" ht="15.75" thickBot="1" x14ac:dyDescent="0.3">
      <c r="A3" s="62" t="s">
        <v>3</v>
      </c>
      <c r="B3" s="63">
        <v>6</v>
      </c>
      <c r="C3" s="63">
        <v>6</v>
      </c>
      <c r="D3" s="63"/>
      <c r="E3" s="63">
        <v>6</v>
      </c>
      <c r="F3" s="63">
        <v>6</v>
      </c>
      <c r="G3" s="79"/>
    </row>
    <row r="4" spans="1:7" ht="15.75" thickBot="1" x14ac:dyDescent="0.3">
      <c r="A4" s="62" t="s">
        <v>4</v>
      </c>
      <c r="B4" s="63">
        <v>10</v>
      </c>
      <c r="C4" s="63">
        <v>10</v>
      </c>
      <c r="D4" s="63">
        <v>10</v>
      </c>
      <c r="E4" s="63">
        <v>10</v>
      </c>
      <c r="F4" s="63">
        <v>10</v>
      </c>
      <c r="G4" s="79"/>
    </row>
    <row r="5" spans="1:7" ht="15.75" thickBot="1" x14ac:dyDescent="0.3">
      <c r="A5" s="62" t="s">
        <v>5</v>
      </c>
      <c r="B5" s="64">
        <v>0.06</v>
      </c>
      <c r="C5" s="64">
        <v>0.06</v>
      </c>
      <c r="D5" s="63">
        <v>4</v>
      </c>
      <c r="E5" s="64">
        <v>0.06</v>
      </c>
      <c r="F5" s="64">
        <v>0.06</v>
      </c>
      <c r="G5" s="80">
        <v>0.06</v>
      </c>
    </row>
    <row r="6" spans="1:7" ht="15.75" thickBot="1" x14ac:dyDescent="0.3">
      <c r="A6" s="62" t="s">
        <v>24</v>
      </c>
      <c r="B6" s="63">
        <v>9</v>
      </c>
      <c r="C6" s="63">
        <v>11</v>
      </c>
      <c r="D6" s="63"/>
      <c r="E6" s="63">
        <v>11</v>
      </c>
      <c r="F6" s="63">
        <v>11</v>
      </c>
      <c r="G6" s="79"/>
    </row>
    <row r="7" spans="1:7" ht="15.75" thickBot="1" x14ac:dyDescent="0.3">
      <c r="A7" s="62" t="s">
        <v>6</v>
      </c>
      <c r="B7" s="64">
        <v>0.05</v>
      </c>
      <c r="C7" s="64">
        <v>0.05</v>
      </c>
      <c r="D7" s="64">
        <v>0.05</v>
      </c>
      <c r="E7" s="64">
        <v>0.05</v>
      </c>
      <c r="F7" s="64">
        <v>0.05</v>
      </c>
      <c r="G7" s="80">
        <v>0.05</v>
      </c>
    </row>
    <row r="8" spans="1:7" ht="15.75" thickBot="1" x14ac:dyDescent="0.3">
      <c r="A8" s="62" t="s">
        <v>7</v>
      </c>
      <c r="B8" s="63">
        <v>20</v>
      </c>
      <c r="C8" s="63">
        <v>70</v>
      </c>
      <c r="D8" s="63">
        <v>20</v>
      </c>
      <c r="E8" s="63">
        <v>70</v>
      </c>
      <c r="F8" s="63">
        <v>70</v>
      </c>
      <c r="G8" s="79"/>
    </row>
    <row r="9" spans="1:7" ht="15.75" thickBot="1" x14ac:dyDescent="0.3">
      <c r="A9" s="62" t="s">
        <v>8</v>
      </c>
      <c r="B9" s="75">
        <f>AVERAGE(0.075,0.15)</f>
        <v>0.11249999999999999</v>
      </c>
      <c r="C9" s="64">
        <v>0.25</v>
      </c>
      <c r="D9" s="63"/>
      <c r="E9" s="64">
        <v>0.1</v>
      </c>
      <c r="F9" s="64">
        <v>0.15</v>
      </c>
      <c r="G9" s="79"/>
    </row>
    <row r="10" spans="1:7" ht="15.75" thickBot="1" x14ac:dyDescent="0.3">
      <c r="A10" s="62" t="s">
        <v>9</v>
      </c>
      <c r="B10" s="63">
        <v>15</v>
      </c>
      <c r="C10" s="63">
        <v>15</v>
      </c>
      <c r="D10" s="63"/>
      <c r="E10" s="63">
        <v>15</v>
      </c>
      <c r="F10" s="63">
        <v>15</v>
      </c>
      <c r="G10" s="79"/>
    </row>
    <row r="11" spans="1:7" ht="15.75" thickBot="1" x14ac:dyDescent="0.3">
      <c r="A11" s="62" t="s">
        <v>10</v>
      </c>
      <c r="B11" s="64">
        <v>0.03</v>
      </c>
      <c r="C11" s="64">
        <v>0.08</v>
      </c>
      <c r="D11" s="64">
        <v>0.1</v>
      </c>
      <c r="E11" s="63">
        <f>0.125</f>
        <v>0.125</v>
      </c>
      <c r="F11" s="64">
        <v>0.17</v>
      </c>
      <c r="G11" s="79"/>
    </row>
    <row r="12" spans="1:7" ht="15.75" thickBot="1" x14ac:dyDescent="0.3">
      <c r="A12" s="62" t="s">
        <v>187</v>
      </c>
      <c r="B12" s="63">
        <f>AVERAGE(0.14,0.22)</f>
        <v>0.18</v>
      </c>
      <c r="C12" s="63">
        <f>AVERAGE(0.14,0.22)</f>
        <v>0.18</v>
      </c>
      <c r="D12" s="64">
        <v>0.22</v>
      </c>
      <c r="E12" s="64">
        <v>0.22</v>
      </c>
      <c r="F12" s="64">
        <v>0.22</v>
      </c>
      <c r="G12" s="79"/>
    </row>
    <row r="13" spans="1:7" ht="15.75" thickBot="1" x14ac:dyDescent="0.3">
      <c r="A13" s="62" t="s">
        <v>12</v>
      </c>
      <c r="B13" s="63">
        <f>AVERAGE(20,22)</f>
        <v>21</v>
      </c>
      <c r="C13" s="63">
        <f>AVERAGE(24,30)</f>
        <v>27</v>
      </c>
      <c r="D13" s="63">
        <v>2</v>
      </c>
      <c r="E13" s="63">
        <v>5</v>
      </c>
      <c r="F13" s="63">
        <v>5</v>
      </c>
      <c r="G13" s="79">
        <v>15</v>
      </c>
    </row>
    <row r="14" spans="1:7" ht="15.75" thickBot="1" x14ac:dyDescent="0.3">
      <c r="A14" s="62" t="s">
        <v>13</v>
      </c>
      <c r="B14" s="64">
        <v>0.06</v>
      </c>
      <c r="C14" s="64">
        <v>0.06</v>
      </c>
      <c r="D14" s="63"/>
      <c r="E14" s="64">
        <v>0.06</v>
      </c>
      <c r="F14" s="64">
        <v>0.06</v>
      </c>
      <c r="G14" s="80">
        <v>0.06</v>
      </c>
    </row>
    <row r="15" spans="1:7" ht="15.75" thickBot="1" x14ac:dyDescent="0.3">
      <c r="A15" s="62" t="s">
        <v>14</v>
      </c>
      <c r="B15" s="64">
        <v>0.1</v>
      </c>
      <c r="C15" s="64">
        <v>0.1</v>
      </c>
      <c r="D15" s="64">
        <v>0.1</v>
      </c>
      <c r="E15" s="64">
        <v>0.1</v>
      </c>
      <c r="F15" s="64">
        <v>0.1</v>
      </c>
      <c r="G15" s="79"/>
    </row>
    <row r="16" spans="1:7" ht="15.75" thickBot="1" x14ac:dyDescent="0.3">
      <c r="A16" s="62" t="s">
        <v>15</v>
      </c>
      <c r="B16" s="75">
        <f>AVERAGE(0.09,0.15)</f>
        <v>0.12</v>
      </c>
      <c r="C16" s="75">
        <f>AVERAGE(0.09,0.15)</f>
        <v>0.12</v>
      </c>
      <c r="D16" s="63"/>
      <c r="E16" s="64">
        <v>0.09</v>
      </c>
      <c r="F16" s="64">
        <v>0.15</v>
      </c>
      <c r="G16" s="79"/>
    </row>
    <row r="17" spans="1:7" ht="15.75" thickBot="1" x14ac:dyDescent="0.3">
      <c r="A17" s="62" t="s">
        <v>188</v>
      </c>
      <c r="B17" s="64">
        <v>0.15</v>
      </c>
      <c r="C17" s="64">
        <v>0.17</v>
      </c>
      <c r="D17" s="63"/>
      <c r="E17" s="64">
        <v>0.09</v>
      </c>
      <c r="F17" s="64">
        <v>0.09</v>
      </c>
      <c r="G17" s="79"/>
    </row>
    <row r="18" spans="1:7" ht="15.75" thickBot="1" x14ac:dyDescent="0.3">
      <c r="A18" s="62" t="s">
        <v>16</v>
      </c>
      <c r="B18" s="64">
        <v>0.1</v>
      </c>
      <c r="C18" s="64">
        <v>0.1</v>
      </c>
      <c r="D18" s="64">
        <v>0.1</v>
      </c>
      <c r="E18" s="63">
        <v>0.1</v>
      </c>
      <c r="F18" s="63">
        <v>0.1</v>
      </c>
      <c r="G18" s="79"/>
    </row>
    <row r="19" spans="1:7" ht="15.75" thickBot="1" x14ac:dyDescent="0.3">
      <c r="A19" s="62" t="s">
        <v>17</v>
      </c>
      <c r="B19" s="63">
        <v>5</v>
      </c>
      <c r="C19" s="63">
        <v>6</v>
      </c>
      <c r="D19" s="63">
        <v>6</v>
      </c>
      <c r="E19" s="64">
        <v>0.02</v>
      </c>
      <c r="F19" s="64">
        <v>0.02</v>
      </c>
      <c r="G19" s="79"/>
    </row>
    <row r="20" spans="1:7" ht="15.75" thickBot="1" x14ac:dyDescent="0.3">
      <c r="A20" s="62" t="s">
        <v>189</v>
      </c>
      <c r="B20" s="64">
        <v>0.04</v>
      </c>
      <c r="C20" s="64">
        <v>0.04</v>
      </c>
      <c r="D20" s="64">
        <v>0.02</v>
      </c>
      <c r="E20" s="64">
        <v>0.04</v>
      </c>
      <c r="F20" s="64">
        <v>7.0000000000000007E-2</v>
      </c>
      <c r="G20" s="79"/>
    </row>
    <row r="21" spans="1:7" ht="15.75" thickBot="1" x14ac:dyDescent="0.3">
      <c r="A21" s="62" t="s">
        <v>18</v>
      </c>
      <c r="B21" s="64">
        <v>0.13</v>
      </c>
      <c r="C21" s="64">
        <v>0.13</v>
      </c>
      <c r="D21" s="63"/>
      <c r="E21" s="64">
        <v>0.13</v>
      </c>
      <c r="F21" s="64">
        <v>0.13</v>
      </c>
      <c r="G21" s="80">
        <v>0.13</v>
      </c>
    </row>
    <row r="22" spans="1:7" ht="15.75" thickBot="1" x14ac:dyDescent="0.3">
      <c r="A22" s="62" t="s">
        <v>19</v>
      </c>
      <c r="B22" s="63">
        <v>40</v>
      </c>
      <c r="C22" s="63">
        <v>40</v>
      </c>
      <c r="D22" s="63">
        <v>4</v>
      </c>
      <c r="E22" s="63">
        <v>40</v>
      </c>
      <c r="F22" s="63">
        <v>40</v>
      </c>
      <c r="G22" s="79"/>
    </row>
    <row r="23" spans="1:7" ht="15.75" thickBot="1" x14ac:dyDescent="0.3">
      <c r="A23" s="62" t="s">
        <v>20</v>
      </c>
      <c r="B23" s="63"/>
      <c r="C23" s="64">
        <v>0.05</v>
      </c>
      <c r="D23" s="63"/>
      <c r="E23" s="64">
        <v>0.05</v>
      </c>
      <c r="F23" s="64">
        <v>0.05</v>
      </c>
      <c r="G23" s="79"/>
    </row>
    <row r="24" spans="1:7" ht="15.75" thickBot="1" x14ac:dyDescent="0.3">
      <c r="A24" s="62" t="s">
        <v>21</v>
      </c>
      <c r="B24" s="63">
        <v>15</v>
      </c>
      <c r="C24" s="63">
        <v>15</v>
      </c>
      <c r="D24" s="63">
        <v>15</v>
      </c>
      <c r="E24" s="63">
        <v>20</v>
      </c>
      <c r="F24" s="63">
        <v>25</v>
      </c>
      <c r="G24" s="79"/>
    </row>
    <row r="25" spans="1:7" ht="15.75" thickBot="1" x14ac:dyDescent="0.3">
      <c r="A25" s="62" t="s">
        <v>22</v>
      </c>
      <c r="B25" s="63">
        <v>5</v>
      </c>
      <c r="C25" s="63">
        <v>7.5</v>
      </c>
      <c r="D25" s="63">
        <v>7.5</v>
      </c>
      <c r="E25" s="63">
        <v>7.5</v>
      </c>
      <c r="F25" s="63">
        <v>7.5</v>
      </c>
      <c r="G25" s="79"/>
    </row>
    <row r="26" spans="1:7" ht="15.75" thickBot="1" x14ac:dyDescent="0.3">
      <c r="A26" s="65" t="s">
        <v>23</v>
      </c>
      <c r="B26" s="66">
        <v>0.1</v>
      </c>
      <c r="C26" s="77">
        <v>0.125</v>
      </c>
      <c r="D26" s="67"/>
      <c r="E26" s="67">
        <f>AVERAGE(0.025,0.125)</f>
        <v>7.4999999999999997E-2</v>
      </c>
      <c r="F26" s="66">
        <v>0.15</v>
      </c>
      <c r="G26" s="81"/>
    </row>
    <row r="27" spans="1:7" x14ac:dyDescent="0.25">
      <c r="A27" s="105" t="s">
        <v>343</v>
      </c>
    </row>
    <row r="28" spans="1:7" x14ac:dyDescent="0.25">
      <c r="A28" s="2" t="s">
        <v>231</v>
      </c>
      <c r="B28" s="2"/>
      <c r="C28" s="2"/>
      <c r="D28" s="2"/>
      <c r="E28" s="2"/>
      <c r="F28" s="2"/>
      <c r="G28" s="2"/>
    </row>
    <row r="29" spans="1:7" ht="15.75" thickBot="1" x14ac:dyDescent="0.3">
      <c r="A29" s="60" t="s">
        <v>180</v>
      </c>
      <c r="B29" s="61" t="s">
        <v>181</v>
      </c>
      <c r="C29" s="61" t="s">
        <v>182</v>
      </c>
      <c r="D29" s="61" t="s">
        <v>183</v>
      </c>
      <c r="E29" s="61" t="s">
        <v>184</v>
      </c>
      <c r="F29" s="61" t="s">
        <v>185</v>
      </c>
      <c r="G29" s="78" t="s">
        <v>186</v>
      </c>
    </row>
    <row r="30" spans="1:7" ht="15.75" thickBot="1" x14ac:dyDescent="0.3">
      <c r="A30" s="62" t="s">
        <v>3</v>
      </c>
      <c r="B30" s="76">
        <f>IF(B3&lt;1,B3,B3/INDEX('Electricity Tariffs and Consump'!$C$4:$I$35,MATCH('Electricity Tax Rates'!$A3,'Electricity Tariffs and Consump'!$B$4:$B$35,0),MATCH('Electricity Tax Rates'!B$2,'Electricity Tariffs and Consump'!$C$3:$I$3,0)))</f>
        <v>1.9966722129783693E-2</v>
      </c>
      <c r="C30" s="76">
        <f>IF(C3&lt;1,C3,C3/INDEX('Electricity Tariffs and Consump'!$C$4:$I$35,MATCH('Electricity Tax Rates'!$A3,'Electricity Tariffs and Consump'!$B$4:$B$35,0),MATCH('Electricity Tax Rates'!C$2,'Electricity Tariffs and Consump'!$C$3:$I$3,0)))</f>
        <v>5.5287309719509051E-3</v>
      </c>
      <c r="D30" s="76">
        <f>IF(D3&lt;1,D3,D3/INDEX('Electricity Tariffs and Consump'!$C$4:$I$35,MATCH('Electricity Tax Rates'!$A3,'Electricity Tariffs and Consump'!$B$4:$B$35,0),MATCH('Electricity Tax Rates'!D$2,'Electricity Tariffs and Consump'!$C$3:$I$3,0)))</f>
        <v>0</v>
      </c>
      <c r="E30" s="76">
        <f>IF(E3&lt;1,E3,E3/INDEX('Electricity Tariffs and Consump'!$C$4:$I$35,MATCH('Electricity Tax Rates'!$A3,'Electricity Tariffs and Consump'!$B$4:$B$35,0),MATCH("Industry",'Electricity Tariffs and Consump'!$C$3:$I$3,0)))</f>
        <v>1.3120202925805253E-2</v>
      </c>
      <c r="F30" s="76">
        <f>IF(F3&lt;1,F3,F3/INDEX('Electricity Tariffs and Consump'!$C$4:$I$35,MATCH('Electricity Tax Rates'!$A3,'Electricity Tariffs and Consump'!$B$4:$B$35,0),MATCH("Industry",'Electricity Tariffs and Consump'!$C$3:$I$3,0)))</f>
        <v>1.3120202925805253E-2</v>
      </c>
      <c r="G30" s="76">
        <f>IF(G3&lt;1,G3,G3/INDEX('Electricity Tariffs and Consump'!$C$4:$I$35,MATCH('Electricity Tax Rates'!$A3,'Electricity Tariffs and Consump'!$B$4:$B$35,0),MATCH("Railway",'Electricity Tariffs and Consump'!$C$3:$I$3,0)))</f>
        <v>0</v>
      </c>
    </row>
    <row r="31" spans="1:7" ht="15.75" thickBot="1" x14ac:dyDescent="0.3">
      <c r="A31" s="62" t="s">
        <v>4</v>
      </c>
      <c r="B31" s="76">
        <f>IF(B4&lt;1,B4,B4/INDEX('Electricity Tariffs and Consump'!$C$4:$I$35,MATCH('Electricity Tax Rates'!$A4,'Electricity Tariffs and Consump'!$B$4:$B$35,0),MATCH('Electricity Tax Rates'!B$2,'Electricity Tariffs and Consump'!$C$3:$I$3,0)))</f>
        <v>2.5510204081632654E-2</v>
      </c>
      <c r="C31" s="76">
        <f>IF(C4&lt;1,C4,C4/INDEX('Electricity Tariffs and Consump'!$C$4:$I$35,MATCH('Electricity Tax Rates'!$A4,'Electricity Tariffs and Consump'!$B$4:$B$35,0),MATCH('Electricity Tax Rates'!C$2,'Electricity Tariffs and Consump'!$C$3:$I$3,0)))</f>
        <v>1.8450184501845018E-2</v>
      </c>
      <c r="D31" s="76">
        <f>IF(D4&lt;1,D4,D4/INDEX('Electricity Tariffs and Consump'!$C$4:$I$35,MATCH('Electricity Tax Rates'!$A4,'Electricity Tariffs and Consump'!$B$4:$B$35,0),MATCH('Electricity Tax Rates'!D$2,'Electricity Tariffs and Consump'!$C$3:$I$3,0)))</f>
        <v>2.5656156194678915E-2</v>
      </c>
      <c r="E31" s="76">
        <f>IF(E4&lt;1,E4,E4/INDEX('Electricity Tariffs and Consump'!$C$4:$I$35,MATCH('Electricity Tax Rates'!$A4,'Electricity Tariffs and Consump'!$B$4:$B$35,0),MATCH("Industry",'Electricity Tariffs and Consump'!$C$3:$I$3,0)))</f>
        <v>2.2371364653243849E-2</v>
      </c>
      <c r="F31" s="76">
        <f>IF(F4&lt;1,F4,F4/INDEX('Electricity Tariffs and Consump'!$C$4:$I$35,MATCH('Electricity Tax Rates'!$A4,'Electricity Tariffs and Consump'!$B$4:$B$35,0),MATCH("Industry",'Electricity Tariffs and Consump'!$C$3:$I$3,0)))</f>
        <v>2.2371364653243849E-2</v>
      </c>
      <c r="G31" s="76">
        <f>IF(G4&lt;1,G4,G4/INDEX('Electricity Tariffs and Consump'!$C$4:$I$35,MATCH('Electricity Tax Rates'!$A4,'Electricity Tariffs and Consump'!$B$4:$B$35,0),MATCH("Railway",'Electricity Tariffs and Consump'!$C$3:$I$3,0)))</f>
        <v>0</v>
      </c>
    </row>
    <row r="32" spans="1:7" ht="15.75" thickBot="1" x14ac:dyDescent="0.3">
      <c r="A32" s="62" t="s">
        <v>5</v>
      </c>
      <c r="B32" s="76">
        <f>IF(B5&lt;1,B5,B5/INDEX('Electricity Tariffs and Consump'!$C$4:$I$35,MATCH('Electricity Tax Rates'!$A5,'Electricity Tariffs and Consump'!$B$4:$B$35,0),MATCH('Electricity Tax Rates'!B$2,'Electricity Tariffs and Consump'!$C$3:$I$3,0)))</f>
        <v>0.06</v>
      </c>
      <c r="C32" s="76">
        <f>IF(C5&lt;1,C5,C5/INDEX('Electricity Tariffs and Consump'!$C$4:$I$35,MATCH('Electricity Tax Rates'!$A5,'Electricity Tariffs and Consump'!$B$4:$B$35,0),MATCH('Electricity Tax Rates'!C$2,'Electricity Tariffs and Consump'!$C$3:$I$3,0)))</f>
        <v>0.06</v>
      </c>
      <c r="D32" s="76">
        <f>IF(D5&lt;1,D5,D5/INDEX('Electricity Tariffs and Consump'!$C$4:$I$35,MATCH('Electricity Tax Rates'!$A5,'Electricity Tariffs and Consump'!$B$4:$B$35,0),MATCH('Electricity Tax Rates'!D$2,'Electricity Tariffs and Consump'!$C$3:$I$3,0)))</f>
        <v>1.789308879445314E-2</v>
      </c>
      <c r="E32" s="76">
        <f>IF(E5&lt;1,E5,E5/INDEX('Electricity Tariffs and Consump'!$C$4:$I$35,MATCH('Electricity Tax Rates'!$A5,'Electricity Tariffs and Consump'!$B$4:$B$35,0),MATCH("Industry",'Electricity Tariffs and Consump'!$C$3:$I$3,0)))</f>
        <v>0.06</v>
      </c>
      <c r="F32" s="76">
        <f>IF(F5&lt;1,F5,F5/INDEX('Electricity Tariffs and Consump'!$C$4:$I$35,MATCH('Electricity Tax Rates'!$A5,'Electricity Tariffs and Consump'!$B$4:$B$35,0),MATCH("Industry",'Electricity Tariffs and Consump'!$C$3:$I$3,0)))</f>
        <v>0.06</v>
      </c>
      <c r="G32" s="76">
        <f>IF(G5&lt;1,G5,G5/INDEX('Electricity Tariffs and Consump'!$C$4:$I$35,MATCH('Electricity Tax Rates'!$A5,'Electricity Tariffs and Consump'!$B$4:$B$35,0),MATCH("Railway",'Electricity Tariffs and Consump'!$C$3:$I$3,0)))</f>
        <v>0.06</v>
      </c>
    </row>
    <row r="33" spans="1:7" ht="15.75" thickBot="1" x14ac:dyDescent="0.3">
      <c r="A33" s="62" t="s">
        <v>24</v>
      </c>
      <c r="B33" s="76">
        <v>0</v>
      </c>
      <c r="C33" s="76">
        <v>0</v>
      </c>
      <c r="D33" s="76">
        <f>IF(D6&lt;1,D6,D6/INDEX('Electricity Tariffs and Consump'!$C$4:$I$35,MATCH('Electricity Tax Rates'!$A6,'Electricity Tariffs and Consump'!$B$4:$B$35,0),MATCH('Electricity Tax Rates'!D$2,'Electricity Tariffs and Consump'!$C$3:$I$3,0)))</f>
        <v>0</v>
      </c>
      <c r="E33" s="76">
        <v>0</v>
      </c>
      <c r="F33" s="76">
        <v>0</v>
      </c>
      <c r="G33" s="76">
        <f>IF(G6&lt;1,G6,G6/INDEX('Electricity Tariffs and Consump'!$C$4:$I$35,MATCH('Electricity Tax Rates'!$A6,'Electricity Tariffs and Consump'!$B$4:$B$35,0),MATCH("Railway",'Electricity Tariffs and Consump'!$C$3:$I$3,0)))</f>
        <v>0</v>
      </c>
    </row>
    <row r="34" spans="1:7" ht="15.75" thickBot="1" x14ac:dyDescent="0.3">
      <c r="A34" s="62" t="s">
        <v>6</v>
      </c>
      <c r="B34" s="76">
        <f>IF(B7&lt;1,B7,B7/INDEX('Electricity Tariffs and Consump'!$C$4:$I$35,MATCH('Electricity Tax Rates'!$A7,'Electricity Tariffs and Consump'!$B$4:$B$35,0),MATCH('Electricity Tax Rates'!B$2,'Electricity Tariffs and Consump'!$C$3:$I$3,0)))</f>
        <v>0.05</v>
      </c>
      <c r="C34" s="76">
        <f>IF(C7&lt;1,C7,C7/INDEX('Electricity Tariffs and Consump'!$C$4:$I$35,MATCH('Electricity Tax Rates'!$A7,'Electricity Tariffs and Consump'!$B$4:$B$35,0),MATCH('Electricity Tax Rates'!C$2,'Electricity Tariffs and Consump'!$C$3:$I$3,0)))</f>
        <v>0.05</v>
      </c>
      <c r="D34" s="76">
        <f>IF(D7&lt;1,D7,D7/INDEX('Electricity Tariffs and Consump'!$C$4:$I$35,MATCH('Electricity Tax Rates'!$A7,'Electricity Tariffs and Consump'!$B$4:$B$35,0),MATCH('Electricity Tax Rates'!D$2,'Electricity Tariffs and Consump'!$C$3:$I$3,0)))</f>
        <v>0.05</v>
      </c>
      <c r="E34" s="76">
        <f>IF(E7&lt;1,E7,E7/INDEX('Electricity Tariffs and Consump'!$C$4:$I$35,MATCH('Electricity Tax Rates'!$A7,'Electricity Tariffs and Consump'!$B$4:$B$35,0),MATCH("Industry",'Electricity Tariffs and Consump'!$C$3:$I$3,0)))</f>
        <v>0.05</v>
      </c>
      <c r="F34" s="76">
        <f>IF(F7&lt;1,F7,F7/INDEX('Electricity Tariffs and Consump'!$C$4:$I$35,MATCH('Electricity Tax Rates'!$A7,'Electricity Tariffs and Consump'!$B$4:$B$35,0),MATCH("Industry",'Electricity Tariffs and Consump'!$C$3:$I$3,0)))</f>
        <v>0.05</v>
      </c>
      <c r="G34" s="76">
        <f>IF(G7&lt;1,G7,G7/INDEX('Electricity Tariffs and Consump'!$C$4:$I$35,MATCH('Electricity Tax Rates'!$A7,'Electricity Tariffs and Consump'!$B$4:$B$35,0),MATCH("Railway",'Electricity Tariffs and Consump'!$C$3:$I$3,0)))</f>
        <v>0.05</v>
      </c>
    </row>
    <row r="35" spans="1:7" ht="15.75" thickBot="1" x14ac:dyDescent="0.3">
      <c r="A35" s="62" t="s">
        <v>7</v>
      </c>
      <c r="B35" s="76">
        <f>IF(B8&lt;1,B8,B8/INDEX('Electricity Tariffs and Consump'!$C$4:$I$35,MATCH('Electricity Tax Rates'!$A8,'Electricity Tariffs and Consump'!$B$4:$B$35,0),MATCH('Electricity Tax Rates'!B$2,'Electricity Tariffs and Consump'!$C$3:$I$3,0)))</f>
        <v>0.13083867591259976</v>
      </c>
      <c r="C35" s="76">
        <f>IF(C8&lt;1,C8,C8/INDEX('Electricity Tariffs and Consump'!$C$4:$I$35,MATCH('Electricity Tax Rates'!$A8,'Electricity Tariffs and Consump'!$B$4:$B$35,0),MATCH('Electricity Tax Rates'!C$2,'Electricity Tariffs and Consump'!$C$3:$I$3,0)))</f>
        <v>0.29048053780396715</v>
      </c>
      <c r="D35" s="76">
        <f>IF(D8&lt;1,D8,D8/INDEX('Electricity Tariffs and Consump'!$C$4:$I$35,MATCH('Electricity Tax Rates'!$A8,'Electricity Tariffs and Consump'!$B$4:$B$35,0),MATCH('Electricity Tax Rates'!D$2,'Electricity Tariffs and Consump'!$C$3:$I$3,0)))</f>
        <v>0.17801513128615934</v>
      </c>
      <c r="E35" s="76">
        <f>IF(E8&lt;1,E8,E8/INDEX('Electricity Tariffs and Consump'!$C$4:$I$35,MATCH('Electricity Tax Rates'!$A8,'Electricity Tariffs and Consump'!$B$4:$B$35,0),MATCH("Industry",'Electricity Tariffs and Consump'!$C$3:$I$3,0)))</f>
        <v>0.15801711099573354</v>
      </c>
      <c r="F35" s="76">
        <f>IF(F8&lt;1,F8,F8/INDEX('Electricity Tariffs and Consump'!$C$4:$I$35,MATCH('Electricity Tax Rates'!$A8,'Electricity Tariffs and Consump'!$B$4:$B$35,0),MATCH("Industry",'Electricity Tariffs and Consump'!$C$3:$I$3,0)))</f>
        <v>0.15801711099573354</v>
      </c>
      <c r="G35" s="76">
        <f>IF(G8&lt;1,G8,G8/INDEX('Electricity Tariffs and Consump'!$C$4:$I$35,MATCH('Electricity Tax Rates'!$A8,'Electricity Tariffs and Consump'!$B$4:$B$35,0),MATCH("Railway",'Electricity Tariffs and Consump'!$C$3:$I$3,0)))</f>
        <v>0</v>
      </c>
    </row>
    <row r="36" spans="1:7" ht="15.75" thickBot="1" x14ac:dyDescent="0.3">
      <c r="A36" s="62" t="s">
        <v>8</v>
      </c>
      <c r="B36" s="76">
        <f>IF(B9&lt;1,B9,B9/INDEX('Electricity Tariffs and Consump'!$C$4:$I$35,MATCH('Electricity Tax Rates'!$A9,'Electricity Tariffs and Consump'!$B$4:$B$35,0),MATCH('Electricity Tax Rates'!B$2,'Electricity Tariffs and Consump'!$C$3:$I$3,0)))</f>
        <v>0.11249999999999999</v>
      </c>
      <c r="C36" s="76">
        <f>IF(C9&lt;1,C9,C9/INDEX('Electricity Tariffs and Consump'!$C$4:$I$35,MATCH('Electricity Tax Rates'!$A9,'Electricity Tariffs and Consump'!$B$4:$B$35,0),MATCH('Electricity Tax Rates'!C$2,'Electricity Tariffs and Consump'!$C$3:$I$3,0)))</f>
        <v>0.25</v>
      </c>
      <c r="D36" s="76">
        <f>IF(D9&lt;1,D9,D9/INDEX('Electricity Tariffs and Consump'!$C$4:$I$35,MATCH('Electricity Tax Rates'!$A9,'Electricity Tariffs and Consump'!$B$4:$B$35,0),MATCH('Electricity Tax Rates'!D$2,'Electricity Tariffs and Consump'!$C$3:$I$3,0)))</f>
        <v>0</v>
      </c>
      <c r="E36" s="76">
        <f>IF(E9&lt;1,E9,E9/INDEX('Electricity Tariffs and Consump'!$C$4:$I$35,MATCH('Electricity Tax Rates'!$A9,'Electricity Tariffs and Consump'!$B$4:$B$35,0),MATCH("Industry",'Electricity Tariffs and Consump'!$C$3:$I$3,0)))</f>
        <v>0.1</v>
      </c>
      <c r="F36" s="76">
        <f>IF(F9&lt;1,F9,F9/INDEX('Electricity Tariffs and Consump'!$C$4:$I$35,MATCH('Electricity Tax Rates'!$A9,'Electricity Tariffs and Consump'!$B$4:$B$35,0),MATCH("Industry",'Electricity Tariffs and Consump'!$C$3:$I$3,0)))</f>
        <v>0.15</v>
      </c>
      <c r="G36" s="76">
        <f>IF(G9&lt;1,G9,G9/INDEX('Electricity Tariffs and Consump'!$C$4:$I$35,MATCH('Electricity Tax Rates'!$A9,'Electricity Tariffs and Consump'!$B$4:$B$35,0),MATCH("Railway",'Electricity Tariffs and Consump'!$C$3:$I$3,0)))</f>
        <v>0</v>
      </c>
    </row>
    <row r="37" spans="1:7" ht="15.75" thickBot="1" x14ac:dyDescent="0.3">
      <c r="A37" s="62" t="s">
        <v>9</v>
      </c>
      <c r="B37" s="76">
        <f>IF(B10&lt;1,B10,B10/INDEX('Electricity Tariffs and Consump'!$C$4:$I$35,MATCH('Electricity Tax Rates'!$A10,'Electricity Tariffs and Consump'!$B$4:$B$35,0),MATCH('Electricity Tax Rates'!B$2,'Electricity Tariffs and Consump'!$C$3:$I$3,0)))</f>
        <v>4.3303790525130635E-2</v>
      </c>
      <c r="C37" s="76">
        <f>IF(C10&lt;1,C10,C10/INDEX('Electricity Tariffs and Consump'!$C$4:$I$35,MATCH('Electricity Tax Rates'!$A10,'Electricity Tariffs and Consump'!$B$4:$B$35,0),MATCH('Electricity Tax Rates'!C$2,'Electricity Tariffs and Consump'!$C$3:$I$3,0)))</f>
        <v>3.3266061963584746E-2</v>
      </c>
      <c r="D37" s="76">
        <f>IF(D10&lt;1,D10,D10/INDEX('Electricity Tariffs and Consump'!$C$4:$I$35,MATCH('Electricity Tax Rates'!$A10,'Electricity Tariffs and Consump'!$B$4:$B$35,0),MATCH('Electricity Tax Rates'!D$2,'Electricity Tariffs and Consump'!$C$3:$I$3,0)))</f>
        <v>0</v>
      </c>
      <c r="E37" s="76">
        <f>IF(E10&lt;1,E10,E10/INDEX('Electricity Tariffs and Consump'!$C$4:$I$35,MATCH('Electricity Tax Rates'!$A10,'Electricity Tariffs and Consump'!$B$4:$B$35,0),MATCH("Industry",'Electricity Tariffs and Consump'!$C$3:$I$3,0)))</f>
        <v>3.164223183208522E-2</v>
      </c>
      <c r="F37" s="76">
        <f>IF(F10&lt;1,F10,F10/INDEX('Electricity Tariffs and Consump'!$C$4:$I$35,MATCH('Electricity Tax Rates'!$A10,'Electricity Tariffs and Consump'!$B$4:$B$35,0),MATCH("Industry",'Electricity Tariffs and Consump'!$C$3:$I$3,0)))</f>
        <v>3.164223183208522E-2</v>
      </c>
      <c r="G37" s="76">
        <f>IF(G10&lt;1,G10,G10/INDEX('Electricity Tariffs and Consump'!$C$4:$I$35,MATCH('Electricity Tax Rates'!$A10,'Electricity Tariffs and Consump'!$B$4:$B$35,0),MATCH("Railway",'Electricity Tariffs and Consump'!$C$3:$I$3,0)))</f>
        <v>0</v>
      </c>
    </row>
    <row r="38" spans="1:7" ht="15.75" thickBot="1" x14ac:dyDescent="0.3">
      <c r="A38" s="62" t="s">
        <v>10</v>
      </c>
      <c r="B38" s="76">
        <f>IF(B11&lt;1,B11,B11/INDEX('Electricity Tariffs and Consump'!$C$4:$I$35,MATCH('Electricity Tax Rates'!$A11,'Electricity Tariffs and Consump'!$B$4:$B$35,0),MATCH('Electricity Tax Rates'!B$2,'Electricity Tariffs and Consump'!$C$3:$I$3,0)))</f>
        <v>0.03</v>
      </c>
      <c r="C38" s="76">
        <f>IF(C11&lt;1,C11,C11/INDEX('Electricity Tariffs and Consump'!$C$4:$I$35,MATCH('Electricity Tax Rates'!$A11,'Electricity Tariffs and Consump'!$B$4:$B$35,0),MATCH('Electricity Tax Rates'!C$2,'Electricity Tariffs and Consump'!$C$3:$I$3,0)))</f>
        <v>0.08</v>
      </c>
      <c r="D38" s="76">
        <f>IF(D11&lt;1,D11,D11/INDEX('Electricity Tariffs and Consump'!$C$4:$I$35,MATCH('Electricity Tax Rates'!$A11,'Electricity Tariffs and Consump'!$B$4:$B$35,0),MATCH('Electricity Tax Rates'!D$2,'Electricity Tariffs and Consump'!$C$3:$I$3,0)))</f>
        <v>0.1</v>
      </c>
      <c r="E38" s="76">
        <f>IF(E11&lt;1,E11,E11/INDEX('Electricity Tariffs and Consump'!$C$4:$I$35,MATCH('Electricity Tax Rates'!$A11,'Electricity Tariffs and Consump'!$B$4:$B$35,0),MATCH("Industry",'Electricity Tariffs and Consump'!$C$3:$I$3,0)))</f>
        <v>0.125</v>
      </c>
      <c r="F38" s="76">
        <f>IF(F11&lt;1,F11,F11/INDEX('Electricity Tariffs and Consump'!$C$4:$I$35,MATCH('Electricity Tax Rates'!$A11,'Electricity Tariffs and Consump'!$B$4:$B$35,0),MATCH("Industry",'Electricity Tariffs and Consump'!$C$3:$I$3,0)))</f>
        <v>0.17</v>
      </c>
      <c r="G38" s="76">
        <f>IF(G11&lt;1,G11,G11/INDEX('Electricity Tariffs and Consump'!$C$4:$I$35,MATCH('Electricity Tax Rates'!$A11,'Electricity Tariffs and Consump'!$B$4:$B$35,0),MATCH("Railway",'Electricity Tariffs and Consump'!$C$3:$I$3,0)))</f>
        <v>0</v>
      </c>
    </row>
    <row r="39" spans="1:7" ht="15.75" thickBot="1" x14ac:dyDescent="0.3">
      <c r="A39" s="62" t="s">
        <v>187</v>
      </c>
      <c r="B39" s="76">
        <f>IF(B12&lt;1,B12,B12/INDEX('Electricity Tariffs and Consump'!$C$4:$I$35,MATCH('Electricity Tax Rates'!$A12,'Electricity Tariffs and Consump'!$B$4:$B$35,0),MATCH('Electricity Tax Rates'!B$2,'Electricity Tariffs and Consump'!$C$3:$I$3,0)))</f>
        <v>0.18</v>
      </c>
      <c r="C39" s="76">
        <f>IF(C12&lt;1,C12,C12/INDEX('Electricity Tariffs and Consump'!$C$4:$I$35,MATCH('Electricity Tax Rates'!$A12,'Electricity Tariffs and Consump'!$B$4:$B$35,0),MATCH('Electricity Tax Rates'!C$2,'Electricity Tariffs and Consump'!$C$3:$I$3,0)))</f>
        <v>0.18</v>
      </c>
      <c r="D39" s="76">
        <f>IF(D12&lt;1,D12,D12/INDEX('Electricity Tariffs and Consump'!$C$4:$I$35,MATCH('Electricity Tax Rates'!$A12,'Electricity Tariffs and Consump'!$B$4:$B$35,0),MATCH('Electricity Tax Rates'!D$2,'Electricity Tariffs and Consump'!$C$3:$I$3,0)))</f>
        <v>0.22</v>
      </c>
      <c r="E39" s="76">
        <f>IF(E12&lt;1,E12,E12/INDEX('Electricity Tariffs and Consump'!$C$4:$I$35,MATCH('Electricity Tax Rates'!$A12,'Electricity Tariffs and Consump'!$B$4:$B$35,0),MATCH("Industry",'Electricity Tariffs and Consump'!$C$3:$I$3,0)))</f>
        <v>0.22</v>
      </c>
      <c r="F39" s="76">
        <f>IF(F12&lt;1,F12,F12/INDEX('Electricity Tariffs and Consump'!$C$4:$I$35,MATCH('Electricity Tax Rates'!$A12,'Electricity Tariffs and Consump'!$B$4:$B$35,0),MATCH("Industry",'Electricity Tariffs and Consump'!$C$3:$I$3,0)))</f>
        <v>0.22</v>
      </c>
      <c r="G39" s="76">
        <f>IF(G12&lt;1,G12,G12/INDEX('Electricity Tariffs and Consump'!$C$4:$I$35,MATCH('Electricity Tax Rates'!$A12,'Electricity Tariffs and Consump'!$B$4:$B$35,0),MATCH("Railway",'Electricity Tariffs and Consump'!$C$3:$I$3,0)))</f>
        <v>0</v>
      </c>
    </row>
    <row r="40" spans="1:7" ht="15.75" thickBot="1" x14ac:dyDescent="0.3">
      <c r="A40" s="62" t="s">
        <v>12</v>
      </c>
      <c r="B40" s="76">
        <f>IF(B13&lt;1,B13,B13/INDEX('Electricity Tariffs and Consump'!$C$4:$I$35,MATCH('Electricity Tax Rates'!$A13,'Electricity Tariffs and Consump'!$B$4:$B$35,0),MATCH('Electricity Tax Rates'!B$2,'Electricity Tariffs and Consump'!$C$3:$I$3,0)))</f>
        <v>0.22639068564036222</v>
      </c>
      <c r="C40" s="76">
        <f>IF(C13&lt;1,C13,C13/INDEX('Electricity Tariffs and Consump'!$C$4:$I$35,MATCH('Electricity Tax Rates'!$A13,'Electricity Tariffs and Consump'!$B$4:$B$35,0),MATCH('Electricity Tax Rates'!C$2,'Electricity Tariffs and Consump'!$C$3:$I$3,0)))</f>
        <v>5.808075375911545E-2</v>
      </c>
      <c r="D40" s="76">
        <f>IF(D13&lt;1,D13,D13/INDEX('Electricity Tariffs and Consump'!$C$4:$I$35,MATCH('Electricity Tax Rates'!$A13,'Electricity Tariffs and Consump'!$B$4:$B$35,0),MATCH('Electricity Tax Rates'!D$2,'Electricity Tariffs and Consump'!$C$3:$I$3,0)))</f>
        <v>4.1937513105472848E-2</v>
      </c>
      <c r="E40" s="76">
        <f>IF(E13&lt;1,E13,E13/INDEX('Electricity Tariffs and Consump'!$C$4:$I$35,MATCH('Electricity Tax Rates'!$A13,'Electricity Tariffs and Consump'!$B$4:$B$35,0),MATCH("Industry",'Electricity Tariffs and Consump'!$C$3:$I$3,0)))</f>
        <v>1.0830012129613585E-2</v>
      </c>
      <c r="F40" s="76">
        <f>IF(F13&lt;1,F13,F13/INDEX('Electricity Tariffs and Consump'!$C$4:$I$35,MATCH('Electricity Tax Rates'!$A13,'Electricity Tariffs and Consump'!$B$4:$B$35,0),MATCH("Industry",'Electricity Tariffs and Consump'!$C$3:$I$3,0)))</f>
        <v>1.0830012129613585E-2</v>
      </c>
      <c r="G40" s="76">
        <f>IF(G13&lt;1,G13,G13/INDEX('Electricity Tariffs and Consump'!$C$4:$I$35,MATCH('Electricity Tax Rates'!$A13,'Electricity Tariffs and Consump'!$B$4:$B$35,0),MATCH("Railway",'Electricity Tariffs and Consump'!$C$3:$I$3,0)))</f>
        <v>2.9200490568241543E-2</v>
      </c>
    </row>
    <row r="41" spans="1:7" ht="15.75" thickBot="1" x14ac:dyDescent="0.3">
      <c r="A41" s="62" t="s">
        <v>13</v>
      </c>
      <c r="B41" s="76">
        <f>IF(B14&lt;1,B14,B14/INDEX('Electricity Tariffs and Consump'!$C$4:$I$35,MATCH('Electricity Tax Rates'!$A14,'Electricity Tariffs and Consump'!$B$4:$B$35,0),MATCH('Electricity Tax Rates'!B$2,'Electricity Tariffs and Consump'!$C$3:$I$3,0)))</f>
        <v>0.06</v>
      </c>
      <c r="C41" s="76">
        <f>IF(C14&lt;1,C14,C14/INDEX('Electricity Tariffs and Consump'!$C$4:$I$35,MATCH('Electricity Tax Rates'!$A14,'Electricity Tariffs and Consump'!$B$4:$B$35,0),MATCH('Electricity Tax Rates'!C$2,'Electricity Tariffs and Consump'!$C$3:$I$3,0)))</f>
        <v>0.06</v>
      </c>
      <c r="D41" s="76">
        <f>IF(D14&lt;1,D14,D14/INDEX('Electricity Tariffs and Consump'!$C$4:$I$35,MATCH('Electricity Tax Rates'!$A14,'Electricity Tariffs and Consump'!$B$4:$B$35,0),MATCH('Electricity Tax Rates'!D$2,'Electricity Tariffs and Consump'!$C$3:$I$3,0)))</f>
        <v>0</v>
      </c>
      <c r="E41" s="76">
        <f>IF(E14&lt;1,E14,E14/INDEX('Electricity Tariffs and Consump'!$C$4:$I$35,MATCH('Electricity Tax Rates'!$A14,'Electricity Tariffs and Consump'!$B$4:$B$35,0),MATCH("Industry",'Electricity Tariffs and Consump'!$C$3:$I$3,0)))</f>
        <v>0.06</v>
      </c>
      <c r="F41" s="76">
        <f>IF(F14&lt;1,F14,F14/INDEX('Electricity Tariffs and Consump'!$C$4:$I$35,MATCH('Electricity Tax Rates'!$A14,'Electricity Tariffs and Consump'!$B$4:$B$35,0),MATCH("Industry",'Electricity Tariffs and Consump'!$C$3:$I$3,0)))</f>
        <v>0.06</v>
      </c>
      <c r="G41" s="76">
        <f>IF(G14&lt;1,G14,G14/INDEX('Electricity Tariffs and Consump'!$C$4:$I$35,MATCH('Electricity Tax Rates'!$A14,'Electricity Tariffs and Consump'!$B$4:$B$35,0),MATCH("Railway",'Electricity Tariffs and Consump'!$C$3:$I$3,0)))</f>
        <v>0.06</v>
      </c>
    </row>
    <row r="42" spans="1:7" ht="15.75" thickBot="1" x14ac:dyDescent="0.3">
      <c r="A42" s="62" t="s">
        <v>14</v>
      </c>
      <c r="B42" s="76">
        <f>IF(B15&lt;1,B15,B15/INDEX('Electricity Tariffs and Consump'!$C$4:$I$35,MATCH('Electricity Tax Rates'!$A15,'Electricity Tariffs and Consump'!$B$4:$B$35,0),MATCH('Electricity Tax Rates'!B$2,'Electricity Tariffs and Consump'!$C$3:$I$3,0)))</f>
        <v>0.1</v>
      </c>
      <c r="C42" s="76">
        <f>IF(C15&lt;1,C15,C15/INDEX('Electricity Tariffs and Consump'!$C$4:$I$35,MATCH('Electricity Tax Rates'!$A15,'Electricity Tariffs and Consump'!$B$4:$B$35,0),MATCH('Electricity Tax Rates'!C$2,'Electricity Tariffs and Consump'!$C$3:$I$3,0)))</f>
        <v>0.1</v>
      </c>
      <c r="D42" s="76">
        <f>IF(D15&lt;1,D15,D15/INDEX('Electricity Tariffs and Consump'!$C$4:$I$35,MATCH('Electricity Tax Rates'!$A15,'Electricity Tariffs and Consump'!$B$4:$B$35,0),MATCH('Electricity Tax Rates'!D$2,'Electricity Tariffs and Consump'!$C$3:$I$3,0)))</f>
        <v>0.1</v>
      </c>
      <c r="E42" s="76">
        <f>IF(E15&lt;1,E15,E15/INDEX('Electricity Tariffs and Consump'!$C$4:$I$35,MATCH('Electricity Tax Rates'!$A15,'Electricity Tariffs and Consump'!$B$4:$B$35,0),MATCH("Industry",'Electricity Tariffs and Consump'!$C$3:$I$3,0)))</f>
        <v>0.1</v>
      </c>
      <c r="F42" s="76">
        <f>IF(F15&lt;1,F15,F15/INDEX('Electricity Tariffs and Consump'!$C$4:$I$35,MATCH('Electricity Tax Rates'!$A15,'Electricity Tariffs and Consump'!$B$4:$B$35,0),MATCH("Industry",'Electricity Tariffs and Consump'!$C$3:$I$3,0)))</f>
        <v>0.1</v>
      </c>
      <c r="G42" s="76">
        <f>IF(G15&lt;1,G15,G15/INDEX('Electricity Tariffs and Consump'!$C$4:$I$35,MATCH('Electricity Tax Rates'!$A15,'Electricity Tariffs and Consump'!$B$4:$B$35,0),MATCH("Railway",'Electricity Tariffs and Consump'!$C$3:$I$3,0)))</f>
        <v>0</v>
      </c>
    </row>
    <row r="43" spans="1:7" ht="15.75" thickBot="1" x14ac:dyDescent="0.3">
      <c r="A43" s="62" t="s">
        <v>15</v>
      </c>
      <c r="B43" s="76">
        <f>IF(B16&lt;1,B16,B16/INDEX('Electricity Tariffs and Consump'!$C$4:$I$35,MATCH('Electricity Tax Rates'!$A16,'Electricity Tariffs and Consump'!$B$4:$B$35,0),MATCH('Electricity Tax Rates'!B$2,'Electricity Tariffs and Consump'!$C$3:$I$3,0)))</f>
        <v>0.12</v>
      </c>
      <c r="C43" s="76">
        <f>IF(C16&lt;1,C16,C16/INDEX('Electricity Tariffs and Consump'!$C$4:$I$35,MATCH('Electricity Tax Rates'!$A16,'Electricity Tariffs and Consump'!$B$4:$B$35,0),MATCH('Electricity Tax Rates'!C$2,'Electricity Tariffs and Consump'!$C$3:$I$3,0)))</f>
        <v>0.12</v>
      </c>
      <c r="D43" s="76">
        <f>IF(D16&lt;1,D16,D16/INDEX('Electricity Tariffs and Consump'!$C$4:$I$35,MATCH('Electricity Tax Rates'!$A16,'Electricity Tariffs and Consump'!$B$4:$B$35,0),MATCH('Electricity Tax Rates'!D$2,'Electricity Tariffs and Consump'!$C$3:$I$3,0)))</f>
        <v>0</v>
      </c>
      <c r="E43" s="76">
        <f>IF(E16&lt;1,E16,E16/INDEX('Electricity Tariffs and Consump'!$C$4:$I$35,MATCH('Electricity Tax Rates'!$A16,'Electricity Tariffs and Consump'!$B$4:$B$35,0),MATCH("Industry",'Electricity Tariffs and Consump'!$C$3:$I$3,0)))</f>
        <v>0.09</v>
      </c>
      <c r="F43" s="76">
        <f>IF(F16&lt;1,F16,F16/INDEX('Electricity Tariffs and Consump'!$C$4:$I$35,MATCH('Electricity Tax Rates'!$A16,'Electricity Tariffs and Consump'!$B$4:$B$35,0),MATCH("Industry",'Electricity Tariffs and Consump'!$C$3:$I$3,0)))</f>
        <v>0.15</v>
      </c>
      <c r="G43" s="76">
        <f>IF(G16&lt;1,G16,G16/INDEX('Electricity Tariffs and Consump'!$C$4:$I$35,MATCH('Electricity Tax Rates'!$A16,'Electricity Tariffs and Consump'!$B$4:$B$35,0),MATCH("Railway",'Electricity Tariffs and Consump'!$C$3:$I$3,0)))</f>
        <v>0</v>
      </c>
    </row>
    <row r="44" spans="1:7" ht="15.75" thickBot="1" x14ac:dyDescent="0.3">
      <c r="A44" s="62" t="s">
        <v>188</v>
      </c>
      <c r="B44" s="76">
        <f>IF(B17&lt;1,B17,B17/INDEX('Electricity Tariffs and Consump'!$C$4:$I$35,MATCH('Electricity Tax Rates'!$A17,'Electricity Tariffs and Consump'!$B$4:$B$35,0),MATCH('Electricity Tax Rates'!B$2,'Electricity Tariffs and Consump'!$C$3:$I$3,0)))</f>
        <v>0.15</v>
      </c>
      <c r="C44" s="76">
        <f>IF(C17&lt;1,C17,C17/INDEX('Electricity Tariffs and Consump'!$C$4:$I$35,MATCH('Electricity Tax Rates'!$A17,'Electricity Tariffs and Consump'!$B$4:$B$35,0),MATCH('Electricity Tax Rates'!C$2,'Electricity Tariffs and Consump'!$C$3:$I$3,0)))</f>
        <v>0.17</v>
      </c>
      <c r="D44" s="76">
        <f>IF(D17&lt;1,D17,D17/INDEX('Electricity Tariffs and Consump'!$C$4:$I$35,MATCH('Electricity Tax Rates'!$A17,'Electricity Tariffs and Consump'!$B$4:$B$35,0),MATCH('Electricity Tax Rates'!D$2,'Electricity Tariffs and Consump'!$C$3:$I$3,0)))</f>
        <v>0</v>
      </c>
      <c r="E44" s="76">
        <f>IF(E17&lt;1,E17,E17/INDEX('Electricity Tariffs and Consump'!$C$4:$I$35,MATCH('Electricity Tax Rates'!$A17,'Electricity Tariffs and Consump'!$B$4:$B$35,0),MATCH("Industry",'Electricity Tariffs and Consump'!$C$3:$I$3,0)))</f>
        <v>0.09</v>
      </c>
      <c r="F44" s="76">
        <f>IF(F17&lt;1,F17,F17/INDEX('Electricity Tariffs and Consump'!$C$4:$I$35,MATCH('Electricity Tax Rates'!$A17,'Electricity Tariffs and Consump'!$B$4:$B$35,0),MATCH("Industry",'Electricity Tariffs and Consump'!$C$3:$I$3,0)))</f>
        <v>0.09</v>
      </c>
      <c r="G44" s="76">
        <f>IF(G17&lt;1,G17,G17/INDEX('Electricity Tariffs and Consump'!$C$4:$I$35,MATCH('Electricity Tax Rates'!$A17,'Electricity Tariffs and Consump'!$B$4:$B$35,0),MATCH("Railway",'Electricity Tariffs and Consump'!$C$3:$I$3,0)))</f>
        <v>0</v>
      </c>
    </row>
    <row r="45" spans="1:7" ht="15.75" thickBot="1" x14ac:dyDescent="0.3">
      <c r="A45" s="62" t="s">
        <v>16</v>
      </c>
      <c r="B45" s="76">
        <f>IF(B18&lt;1,B18,B18/INDEX('Electricity Tariffs and Consump'!$C$4:$I$35,MATCH('Electricity Tax Rates'!$A18,'Electricity Tariffs and Consump'!$B$4:$B$35,0),MATCH('Electricity Tax Rates'!B$2,'Electricity Tariffs and Consump'!$C$3:$I$3,0)))</f>
        <v>0.1</v>
      </c>
      <c r="C45" s="76">
        <f>IF(C18&lt;1,C18,C18/INDEX('Electricity Tariffs and Consump'!$C$4:$I$35,MATCH('Electricity Tax Rates'!$A18,'Electricity Tariffs and Consump'!$B$4:$B$35,0),MATCH('Electricity Tax Rates'!C$2,'Electricity Tariffs and Consump'!$C$3:$I$3,0)))</f>
        <v>0.1</v>
      </c>
      <c r="D45" s="76">
        <f>IF(D18&lt;1,D18,D18/INDEX('Electricity Tariffs and Consump'!$C$4:$I$35,MATCH('Electricity Tax Rates'!$A18,'Electricity Tariffs and Consump'!$B$4:$B$35,0),MATCH('Electricity Tax Rates'!D$2,'Electricity Tariffs and Consump'!$C$3:$I$3,0)))</f>
        <v>0.1</v>
      </c>
      <c r="E45" s="76">
        <f>IF(E18&lt;1,E18,E18/INDEX('Electricity Tariffs and Consump'!$C$4:$I$35,MATCH('Electricity Tax Rates'!$A18,'Electricity Tariffs and Consump'!$B$4:$B$35,0),MATCH("Industry",'Electricity Tariffs and Consump'!$C$3:$I$3,0)))</f>
        <v>0.1</v>
      </c>
      <c r="F45" s="76">
        <f>IF(F18&lt;1,F18,F18/INDEX('Electricity Tariffs and Consump'!$C$4:$I$35,MATCH('Electricity Tax Rates'!$A18,'Electricity Tariffs and Consump'!$B$4:$B$35,0),MATCH("Industry",'Electricity Tariffs and Consump'!$C$3:$I$3,0)))</f>
        <v>0.1</v>
      </c>
      <c r="G45" s="76">
        <f>IF(G18&lt;1,G18,G18/INDEX('Electricity Tariffs and Consump'!$C$4:$I$35,MATCH('Electricity Tax Rates'!$A18,'Electricity Tariffs and Consump'!$B$4:$B$35,0),MATCH("Railway",'Electricity Tariffs and Consump'!$C$3:$I$3,0)))</f>
        <v>0</v>
      </c>
    </row>
    <row r="46" spans="1:7" ht="15.75" thickBot="1" x14ac:dyDescent="0.3">
      <c r="A46" s="62" t="s">
        <v>17</v>
      </c>
      <c r="B46" s="76">
        <f>IF(B19&lt;1,B19,B19/INDEX('Electricity Tariffs and Consump'!$C$4:$I$35,MATCH('Electricity Tax Rates'!$A19,'Electricity Tariffs and Consump'!$B$4:$B$35,0),MATCH('Electricity Tax Rates'!B$2,'Electricity Tariffs and Consump'!$C$3:$I$3,0)))</f>
        <v>1.8560451390177809E-2</v>
      </c>
      <c r="C46" s="76">
        <f>IF(C19&lt;1,C19,C19/INDEX('Electricity Tariffs and Consump'!$C$4:$I$35,MATCH('Electricity Tax Rates'!$A19,'Electricity Tariffs and Consump'!$B$4:$B$35,0),MATCH('Electricity Tax Rates'!C$2,'Electricity Tariffs and Consump'!$C$3:$I$3,0)))</f>
        <v>1.1346444780635402E-2</v>
      </c>
      <c r="D46" s="76">
        <f>IF(D19&lt;1,D19,D19/INDEX('Electricity Tariffs and Consump'!$C$4:$I$35,MATCH('Electricity Tax Rates'!$A19,'Electricity Tariffs and Consump'!$B$4:$B$35,0),MATCH('Electricity Tax Rates'!D$2,'Electricity Tariffs and Consump'!$C$3:$I$3,0)))</f>
        <v>3.6304229442730075E-2</v>
      </c>
      <c r="E46" s="76">
        <f>IF(E19&lt;1,E19,E19/INDEX('Electricity Tariffs and Consump'!$C$4:$I$35,MATCH('Electricity Tax Rates'!$A19,'Electricity Tariffs and Consump'!$B$4:$B$35,0),MATCH("Industry",'Electricity Tariffs and Consump'!$C$3:$I$3,0)))</f>
        <v>0.02</v>
      </c>
      <c r="F46" s="76">
        <f>IF(F19&lt;1,F19,F19/INDEX('Electricity Tariffs and Consump'!$C$4:$I$35,MATCH('Electricity Tax Rates'!$A19,'Electricity Tariffs and Consump'!$B$4:$B$35,0),MATCH("Industry",'Electricity Tariffs and Consump'!$C$3:$I$3,0)))</f>
        <v>0.02</v>
      </c>
      <c r="G46" s="76">
        <f>IF(G19&lt;1,G19,G19/INDEX('Electricity Tariffs and Consump'!$C$4:$I$35,MATCH('Electricity Tax Rates'!$A19,'Electricity Tariffs and Consump'!$B$4:$B$35,0),MATCH("Railway",'Electricity Tariffs and Consump'!$C$3:$I$3,0)))</f>
        <v>0</v>
      </c>
    </row>
    <row r="47" spans="1:7" ht="15.75" thickBot="1" x14ac:dyDescent="0.3">
      <c r="A47" s="62" t="s">
        <v>189</v>
      </c>
      <c r="B47" s="76">
        <f>IF(B20&lt;1,B20,B20/INDEX('Electricity Tariffs and Consump'!$C$4:$I$35,MATCH('Electricity Tax Rates'!$A20,'Electricity Tariffs and Consump'!$B$4:$B$35,0),MATCH('Electricity Tax Rates'!B$2,'Electricity Tariffs and Consump'!$C$3:$I$3,0)))</f>
        <v>0.04</v>
      </c>
      <c r="C47" s="76">
        <f>IF(C20&lt;1,C20,C20/INDEX('Electricity Tariffs and Consump'!$C$4:$I$35,MATCH('Electricity Tax Rates'!$A20,'Electricity Tariffs and Consump'!$B$4:$B$35,0),MATCH('Electricity Tax Rates'!C$2,'Electricity Tariffs and Consump'!$C$3:$I$3,0)))</f>
        <v>0.04</v>
      </c>
      <c r="D47" s="76">
        <f>IF(D20&lt;1,D20,D20/INDEX('Electricity Tariffs and Consump'!$C$4:$I$35,MATCH('Electricity Tax Rates'!$A20,'Electricity Tariffs and Consump'!$B$4:$B$35,0),MATCH('Electricity Tax Rates'!D$2,'Electricity Tariffs and Consump'!$C$3:$I$3,0)))</f>
        <v>0.02</v>
      </c>
      <c r="E47" s="76">
        <f>IF(E20&lt;1,E20,E20/INDEX('Electricity Tariffs and Consump'!$C$4:$I$35,MATCH('Electricity Tax Rates'!$A20,'Electricity Tariffs and Consump'!$B$4:$B$35,0),MATCH("Industry",'Electricity Tariffs and Consump'!$C$3:$I$3,0)))</f>
        <v>0.04</v>
      </c>
      <c r="F47" s="76">
        <f>IF(F20&lt;1,F20,F20/INDEX('Electricity Tariffs and Consump'!$C$4:$I$35,MATCH('Electricity Tax Rates'!$A20,'Electricity Tariffs and Consump'!$B$4:$B$35,0),MATCH("Industry",'Electricity Tariffs and Consump'!$C$3:$I$3,0)))</f>
        <v>7.0000000000000007E-2</v>
      </c>
      <c r="G47" s="76">
        <f>IF(G20&lt;1,G20,G20/INDEX('Electricity Tariffs and Consump'!$C$4:$I$35,MATCH('Electricity Tax Rates'!$A20,'Electricity Tariffs and Consump'!$B$4:$B$35,0),MATCH("Railway",'Electricity Tariffs and Consump'!$C$3:$I$3,0)))</f>
        <v>0</v>
      </c>
    </row>
    <row r="48" spans="1:7" ht="15.75" thickBot="1" x14ac:dyDescent="0.3">
      <c r="A48" s="62" t="s">
        <v>18</v>
      </c>
      <c r="B48" s="76">
        <f>IF(B21&lt;1,B21,B21/INDEX('Electricity Tariffs and Consump'!$C$4:$I$35,MATCH('Electricity Tax Rates'!$A21,'Electricity Tariffs and Consump'!$B$4:$B$35,0),MATCH('Electricity Tax Rates'!B$2,'Electricity Tariffs and Consump'!$C$3:$I$3,0)))</f>
        <v>0.13</v>
      </c>
      <c r="C48" s="76">
        <f>IF(C21&lt;1,C21,C21/INDEX('Electricity Tariffs and Consump'!$C$4:$I$35,MATCH('Electricity Tax Rates'!$A21,'Electricity Tariffs and Consump'!$B$4:$B$35,0),MATCH('Electricity Tax Rates'!C$2,'Electricity Tariffs and Consump'!$C$3:$I$3,0)))</f>
        <v>0.13</v>
      </c>
      <c r="D48" s="76">
        <f>IF(D21&lt;1,D21,D21/INDEX('Electricity Tariffs and Consump'!$C$4:$I$35,MATCH('Electricity Tax Rates'!$A21,'Electricity Tariffs and Consump'!$B$4:$B$35,0),MATCH('Electricity Tax Rates'!D$2,'Electricity Tariffs and Consump'!$C$3:$I$3,0)))</f>
        <v>0</v>
      </c>
      <c r="E48" s="76">
        <f>IF(E21&lt;1,E21,E21/INDEX('Electricity Tariffs and Consump'!$C$4:$I$35,MATCH('Electricity Tax Rates'!$A21,'Electricity Tariffs and Consump'!$B$4:$B$35,0),MATCH("Industry",'Electricity Tariffs and Consump'!$C$3:$I$3,0)))</f>
        <v>0.13</v>
      </c>
      <c r="F48" s="76">
        <f>IF(F21&lt;1,F21,F21/INDEX('Electricity Tariffs and Consump'!$C$4:$I$35,MATCH('Electricity Tax Rates'!$A21,'Electricity Tariffs and Consump'!$B$4:$B$35,0),MATCH("Industry",'Electricity Tariffs and Consump'!$C$3:$I$3,0)))</f>
        <v>0.13</v>
      </c>
      <c r="G48" s="76">
        <f>IF(G21&lt;1,G21,G21/INDEX('Electricity Tariffs and Consump'!$C$4:$I$35,MATCH('Electricity Tax Rates'!$A21,'Electricity Tariffs and Consump'!$B$4:$B$35,0),MATCH("Railway",'Electricity Tariffs and Consump'!$C$3:$I$3,0)))</f>
        <v>0.13</v>
      </c>
    </row>
    <row r="49" spans="1:7" ht="15.75" thickBot="1" x14ac:dyDescent="0.3">
      <c r="A49" s="62" t="s">
        <v>19</v>
      </c>
      <c r="B49" s="76">
        <f>IF(B22&lt;1,B22,B22/INDEX('Electricity Tariffs and Consump'!$C$4:$I$35,MATCH('Electricity Tax Rates'!$A22,'Electricity Tariffs and Consump'!$B$4:$B$35,0),MATCH('Electricity Tax Rates'!B$2,'Electricity Tariffs and Consump'!$C$3:$I$3,0)))</f>
        <v>0.11056137538350977</v>
      </c>
      <c r="C49" s="76">
        <f>IF(C22&lt;1,C22,C22/INDEX('Electricity Tariffs and Consump'!$C$4:$I$35,MATCH('Electricity Tax Rates'!$A22,'Electricity Tariffs and Consump'!$B$4:$B$35,0),MATCH('Electricity Tax Rates'!C$2,'Electricity Tariffs and Consump'!$C$3:$I$3,0)))</f>
        <v>7.4944260206471436E-2</v>
      </c>
      <c r="D49" s="76">
        <f>IF(D22&lt;1,D22,D22/INDEX('Electricity Tariffs and Consump'!$C$4:$I$35,MATCH('Electricity Tax Rates'!$A22,'Electricity Tariffs and Consump'!$B$4:$B$35,0),MATCH('Electricity Tax Rates'!D$2,'Electricity Tariffs and Consump'!$C$3:$I$3,0)))</f>
        <v>3.1466331025802388E-2</v>
      </c>
      <c r="E49" s="76">
        <f>IF(E22&lt;1,E22,E22/INDEX('Electricity Tariffs and Consump'!$C$4:$I$35,MATCH('Electricity Tax Rates'!$A22,'Electricity Tariffs and Consump'!$B$4:$B$35,0),MATCH("Industry",'Electricity Tariffs and Consump'!$C$3:$I$3,0)))</f>
        <v>9.6288093977179717E-2</v>
      </c>
      <c r="F49" s="76">
        <f>IF(F22&lt;1,F22,F22/INDEX('Electricity Tariffs and Consump'!$C$4:$I$35,MATCH('Electricity Tax Rates'!$A22,'Electricity Tariffs and Consump'!$B$4:$B$35,0),MATCH("Industry",'Electricity Tariffs and Consump'!$C$3:$I$3,0)))</f>
        <v>9.6288093977179717E-2</v>
      </c>
      <c r="G49" s="76">
        <f>IF(G22&lt;1,G22,G22/INDEX('Electricity Tariffs and Consump'!$C$4:$I$35,MATCH('Electricity Tax Rates'!$A22,'Electricity Tariffs and Consump'!$B$4:$B$35,0),MATCH("Railway",'Electricity Tariffs and Consump'!$C$3:$I$3,0)))</f>
        <v>0</v>
      </c>
    </row>
    <row r="50" spans="1:7" ht="15.75" thickBot="1" x14ac:dyDescent="0.3">
      <c r="A50" s="62" t="s">
        <v>20</v>
      </c>
      <c r="B50" s="76">
        <f>IF(B23&lt;1,B23,B23/INDEX('Electricity Tariffs and Consump'!$C$4:$I$35,MATCH('Electricity Tax Rates'!$A23,'Electricity Tariffs and Consump'!$B$4:$B$35,0),MATCH('Electricity Tax Rates'!B$2,'Electricity Tariffs and Consump'!$C$3:$I$3,0)))</f>
        <v>0</v>
      </c>
      <c r="C50" s="76">
        <f>IF(C23&lt;1,C23,C23/INDEX('Electricity Tariffs and Consump'!$C$4:$I$35,MATCH('Electricity Tax Rates'!$A23,'Electricity Tariffs and Consump'!$B$4:$B$35,0),MATCH('Electricity Tax Rates'!C$2,'Electricity Tariffs and Consump'!$C$3:$I$3,0)))</f>
        <v>0.05</v>
      </c>
      <c r="D50" s="76">
        <f>IF(D23&lt;1,D23,D23/INDEX('Electricity Tariffs and Consump'!$C$4:$I$35,MATCH('Electricity Tax Rates'!$A23,'Electricity Tariffs and Consump'!$B$4:$B$35,0),MATCH('Electricity Tax Rates'!D$2,'Electricity Tariffs and Consump'!$C$3:$I$3,0)))</f>
        <v>0</v>
      </c>
      <c r="E50" s="76">
        <f>IF(E23&lt;1,E23,E23/INDEX('Electricity Tariffs and Consump'!$C$4:$I$35,MATCH('Electricity Tax Rates'!$A23,'Electricity Tariffs and Consump'!$B$4:$B$35,0),MATCH("Industry",'Electricity Tariffs and Consump'!$C$3:$I$3,0)))</f>
        <v>0.05</v>
      </c>
      <c r="F50" s="76">
        <f>IF(F23&lt;1,F23,F23/INDEX('Electricity Tariffs and Consump'!$C$4:$I$35,MATCH('Electricity Tax Rates'!$A23,'Electricity Tariffs and Consump'!$B$4:$B$35,0),MATCH("Industry",'Electricity Tariffs and Consump'!$C$3:$I$3,0)))</f>
        <v>0.05</v>
      </c>
      <c r="G50" s="76">
        <f>IF(G23&lt;1,G23,G23/INDEX('Electricity Tariffs and Consump'!$C$4:$I$35,MATCH('Electricity Tax Rates'!$A23,'Electricity Tariffs and Consump'!$B$4:$B$35,0),MATCH("Railway",'Electricity Tariffs and Consump'!$C$3:$I$3,0)))</f>
        <v>0</v>
      </c>
    </row>
    <row r="51" spans="1:7" ht="15.75" thickBot="1" x14ac:dyDescent="0.3">
      <c r="A51" s="62" t="s">
        <v>21</v>
      </c>
      <c r="B51" s="76">
        <f>IF(B24&lt;1,B24,B24/INDEX('Electricity Tariffs and Consump'!$C$4:$I$35,MATCH('Electricity Tax Rates'!$A24,'Electricity Tariffs and Consump'!$B$4:$B$35,0),MATCH('Electricity Tax Rates'!B$2,'Electricity Tariffs and Consump'!$C$3:$I$3,0)))</f>
        <v>6.210151527697276E-2</v>
      </c>
      <c r="C51" s="76">
        <f>IF(C24&lt;1,C24,C24/INDEX('Electricity Tariffs and Consump'!$C$4:$I$35,MATCH('Electricity Tax Rates'!$A24,'Electricity Tariffs and Consump'!$B$4:$B$35,0),MATCH('Electricity Tax Rates'!C$2,'Electricity Tariffs and Consump'!$C$3:$I$3,0)))</f>
        <v>3.6095870632399656E-2</v>
      </c>
      <c r="D51" s="76">
        <f>IF(D24&lt;1,D24,D24/INDEX('Electricity Tariffs and Consump'!$C$4:$I$35,MATCH('Electricity Tax Rates'!$A24,'Electricity Tariffs and Consump'!$B$4:$B$35,0),MATCH('Electricity Tax Rates'!D$2,'Electricity Tariffs and Consump'!$C$3:$I$3,0)))</f>
        <v>9.2233905183545475E-2</v>
      </c>
      <c r="E51" s="76">
        <f>IF(E24&lt;1,E24,E24/INDEX('Electricity Tariffs and Consump'!$C$4:$I$35,MATCH('Electricity Tax Rates'!$A24,'Electricity Tariffs and Consump'!$B$4:$B$35,0),MATCH("Industry",'Electricity Tariffs and Consump'!$C$3:$I$3,0)))</f>
        <v>4.8260219101394719E-2</v>
      </c>
      <c r="F51" s="76">
        <f>IF(F24&lt;1,F24,F24/INDEX('Electricity Tariffs and Consump'!$C$4:$I$35,MATCH('Electricity Tax Rates'!$A24,'Electricity Tariffs and Consump'!$B$4:$B$35,0),MATCH("Industry",'Electricity Tariffs and Consump'!$C$3:$I$3,0)))</f>
        <v>6.0325273876743399E-2</v>
      </c>
      <c r="G51" s="76">
        <f>IF(G24&lt;1,G24,G24/INDEX('Electricity Tariffs and Consump'!$C$4:$I$35,MATCH('Electricity Tax Rates'!$A24,'Electricity Tariffs and Consump'!$B$4:$B$35,0),MATCH("Railway",'Electricity Tariffs and Consump'!$C$3:$I$3,0)))</f>
        <v>0</v>
      </c>
    </row>
    <row r="52" spans="1:7" ht="15.75" thickBot="1" x14ac:dyDescent="0.3">
      <c r="A52" s="62" t="s">
        <v>22</v>
      </c>
      <c r="B52" s="76">
        <f>IF(B25&lt;1,B25,B25/INDEX('Electricity Tariffs and Consump'!$C$4:$I$35,MATCH('Electricity Tax Rates'!$A25,'Electricity Tariffs and Consump'!$B$4:$B$35,0),MATCH('Electricity Tax Rates'!B$2,'Electricity Tariffs and Consump'!$C$3:$I$3,0)))</f>
        <v>1.84243496204584E-2</v>
      </c>
      <c r="C52" s="76">
        <f>IF(C25&lt;1,C25,C25/INDEX('Electricity Tariffs and Consump'!$C$4:$I$35,MATCH('Electricity Tax Rates'!$A25,'Electricity Tariffs and Consump'!$B$4:$B$35,0),MATCH('Electricity Tax Rates'!C$2,'Electricity Tariffs and Consump'!$C$3:$I$3,0)))</f>
        <v>1.6971781584485528E-2</v>
      </c>
      <c r="D52" s="76">
        <f>IF(D25&lt;1,D25,D25/INDEX('Electricity Tariffs and Consump'!$C$4:$I$35,MATCH('Electricity Tax Rates'!$A25,'Electricity Tariffs and Consump'!$B$4:$B$35,0),MATCH('Electricity Tax Rates'!D$2,'Electricity Tariffs and Consump'!$C$3:$I$3,0)))</f>
        <v>3.8294613224406436E-2</v>
      </c>
      <c r="E52" s="76">
        <f>IF(E25&lt;1,E25,E25/INDEX('Electricity Tariffs and Consump'!$C$4:$I$35,MATCH('Electricity Tax Rates'!$A25,'Electricity Tariffs and Consump'!$B$4:$B$35,0),MATCH("Industry",'Electricity Tariffs and Consump'!$C$3:$I$3,0)))</f>
        <v>1.5112436527766584E-2</v>
      </c>
      <c r="F52" s="76">
        <f>IF(F25&lt;1,F25,F25/INDEX('Electricity Tariffs and Consump'!$C$4:$I$35,MATCH('Electricity Tax Rates'!$A25,'Electricity Tariffs and Consump'!$B$4:$B$35,0),MATCH("Industry",'Electricity Tariffs and Consump'!$C$3:$I$3,0)))</f>
        <v>1.5112436527766584E-2</v>
      </c>
      <c r="G52" s="76">
        <f>IF(G25&lt;1,G25,G25/INDEX('Electricity Tariffs and Consump'!$C$4:$I$35,MATCH('Electricity Tax Rates'!$A25,'Electricity Tariffs and Consump'!$B$4:$B$35,0),MATCH("Railway",'Electricity Tariffs and Consump'!$C$3:$I$3,0)))</f>
        <v>0</v>
      </c>
    </row>
    <row r="53" spans="1:7" ht="15.75" thickBot="1" x14ac:dyDescent="0.3">
      <c r="A53" s="65" t="s">
        <v>23</v>
      </c>
      <c r="B53" s="76">
        <f>IF(B26&lt;1,B26,B26/INDEX('Electricity Tariffs and Consump'!$C$4:$I$35,MATCH('Electricity Tax Rates'!$A26,'Electricity Tariffs and Consump'!$B$4:$B$35,0),MATCH('Electricity Tax Rates'!B$2,'Electricity Tariffs and Consump'!$C$3:$I$3,0)))</f>
        <v>0.1</v>
      </c>
      <c r="C53" s="76">
        <f>IF(C26&lt;1,C26,C26/INDEX('Electricity Tariffs and Consump'!$C$4:$I$35,MATCH('Electricity Tax Rates'!$A26,'Electricity Tariffs and Consump'!$B$4:$B$35,0),MATCH('Electricity Tax Rates'!C$2,'Electricity Tariffs and Consump'!$C$3:$I$3,0)))</f>
        <v>0.125</v>
      </c>
      <c r="D53" s="76">
        <f>IF(D26&lt;1,D26,D26/INDEX('Electricity Tariffs and Consump'!$C$4:$I$35,MATCH('Electricity Tax Rates'!$A26,'Electricity Tariffs and Consump'!$B$4:$B$35,0),MATCH('Electricity Tax Rates'!D$2,'Electricity Tariffs and Consump'!$C$3:$I$3,0)))</f>
        <v>0</v>
      </c>
      <c r="E53" s="76">
        <f>IF(E26&lt;1,E26,E26/INDEX('Electricity Tariffs and Consump'!$C$4:$I$35,MATCH('Electricity Tax Rates'!$A26,'Electricity Tariffs and Consump'!$B$4:$B$35,0),MATCH("Industry",'Electricity Tariffs and Consump'!$C$3:$I$3,0)))</f>
        <v>7.4999999999999997E-2</v>
      </c>
      <c r="F53" s="76">
        <f>IF(F26&lt;1,F26,F26/INDEX('Electricity Tariffs and Consump'!$C$4:$I$35,MATCH('Electricity Tax Rates'!$A26,'Electricity Tariffs and Consump'!$B$4:$B$35,0),MATCH("Industry",'Electricity Tariffs and Consump'!$C$3:$I$3,0)))</f>
        <v>0.15</v>
      </c>
      <c r="G53" s="76">
        <f>IF(G26&lt;1,G26,G26/INDEX('Electricity Tariffs and Consump'!$C$4:$I$35,MATCH('Electricity Tax Rates'!$A26,'Electricity Tariffs and Consump'!$B$4:$B$35,0),MATCH("Railway",'Electricity Tariffs and Consump'!$C$3:$I$3,0)))</f>
        <v>0</v>
      </c>
    </row>
    <row r="55" spans="1:7" x14ac:dyDescent="0.25">
      <c r="A55" s="2" t="s">
        <v>232</v>
      </c>
      <c r="B55" s="2"/>
      <c r="C55" s="2"/>
      <c r="D55" s="2"/>
      <c r="E55" s="2"/>
      <c r="F55" s="2"/>
      <c r="G55" s="2"/>
    </row>
    <row r="56" spans="1:7" ht="15.75" thickBot="1" x14ac:dyDescent="0.3">
      <c r="A56" s="60" t="s">
        <v>180</v>
      </c>
      <c r="B56" s="61" t="s">
        <v>181</v>
      </c>
      <c r="C56" s="61" t="s">
        <v>182</v>
      </c>
      <c r="D56" s="61" t="s">
        <v>183</v>
      </c>
      <c r="E56" s="61" t="s">
        <v>184</v>
      </c>
      <c r="F56" s="61" t="s">
        <v>185</v>
      </c>
      <c r="G56" s="61" t="s">
        <v>186</v>
      </c>
    </row>
    <row r="57" spans="1:7" ht="15.75" thickBot="1" x14ac:dyDescent="0.3">
      <c r="A57" s="62" t="s">
        <v>3</v>
      </c>
      <c r="B57" s="94">
        <f>IFERROR(INDEX('Electricity Tariffs and Consump'!$C$44:$J$75,MATCH('Electricity Tax Rates'!$A57,'Electricity Tariffs and Consump'!$B$44:$B$75,0),MATCH('Electricity Tax Rates'!B$56,'Electricity Tariffs and Consump'!$C$43:$J$43,0)),"")</f>
        <v>15369.4</v>
      </c>
      <c r="C57" s="94">
        <f>IFERROR(INDEX('Electricity Tariffs and Consump'!$C$44:$J$75,MATCH('Electricity Tax Rates'!$A57,'Electricity Tariffs and Consump'!$B$44:$B$75,0),MATCH('Electricity Tax Rates'!C$56,'Electricity Tariffs and Consump'!$C$43:$J$43,0)),"")</f>
        <v>4126</v>
      </c>
      <c r="D57" s="94">
        <f>IFERROR(INDEX('Electricity Tariffs and Consump'!$C$44:$J$75,MATCH('Electricity Tax Rates'!$A57,'Electricity Tariffs and Consump'!$B$44:$B$75,0),MATCH('Electricity Tax Rates'!D$56,'Electricity Tariffs and Consump'!$C$43:$J$43,0)),"")</f>
        <v>20191</v>
      </c>
      <c r="E57" s="94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F57" s="94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G57" s="94">
        <f>IFERROR(INDEX('Electricity Tariffs and Consump'!$C$44:$J$75,MATCH('Electricity Tax Rates'!$A57,'Electricity Tariffs and Consump'!$B$44:$B$75,0),MATCH('Electricity Tax Rates'!G$56,'Electricity Tariffs and Consump'!$C$43:$J$43,0)),"")</f>
        <v>1713</v>
      </c>
    </row>
    <row r="58" spans="1:7" ht="15.75" thickBot="1" x14ac:dyDescent="0.3">
      <c r="A58" s="62" t="s">
        <v>4</v>
      </c>
      <c r="B58" s="94">
        <f>IFERROR(INDEX('Electricity Tariffs and Consump'!$C$44:$J$75,MATCH('Electricity Tax Rates'!$A58,'Electricity Tariffs and Consump'!$B$44:$B$75,0),MATCH('Electricity Tax Rates'!B$56,'Electricity Tariffs and Consump'!$C$43:$J$43,0)),"")</f>
        <v>1487.3</v>
      </c>
      <c r="C58" s="94">
        <f>IFERROR(INDEX('Electricity Tariffs and Consump'!$C$44:$J$75,MATCH('Electricity Tax Rates'!$A58,'Electricity Tariffs and Consump'!$B$44:$B$75,0),MATCH('Electricity Tax Rates'!C$56,'Electricity Tariffs and Consump'!$C$43:$J$43,0)),"")</f>
        <v>621.9</v>
      </c>
      <c r="D58" s="94">
        <f>IFERROR(INDEX('Electricity Tariffs and Consump'!$C$44:$J$75,MATCH('Electricity Tax Rates'!$A58,'Electricity Tariffs and Consump'!$B$44:$B$75,0),MATCH('Electricity Tax Rates'!D$56,'Electricity Tariffs and Consump'!$C$43:$J$43,0)),"")</f>
        <v>32</v>
      </c>
      <c r="E58" s="94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F58" s="94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G58" s="94">
        <f>IFERROR(INDEX('Electricity Tariffs and Consump'!$C$44:$J$75,MATCH('Electricity Tax Rates'!$A58,'Electricity Tariffs and Consump'!$B$44:$B$75,0),MATCH('Electricity Tax Rates'!G$56,'Electricity Tariffs and Consump'!$C$43:$J$43,0)),"")</f>
        <v>0</v>
      </c>
    </row>
    <row r="59" spans="1:7" ht="15.75" thickBot="1" x14ac:dyDescent="0.3">
      <c r="A59" s="62" t="s">
        <v>5</v>
      </c>
      <c r="B59" s="94">
        <f>IFERROR(INDEX('Electricity Tariffs and Consump'!$C$44:$J$75,MATCH('Electricity Tax Rates'!$A59,'Electricity Tariffs and Consump'!$B$44:$B$75,0),MATCH('Electricity Tax Rates'!B$56,'Electricity Tariffs and Consump'!$C$43:$J$43,0)),"")</f>
        <v>2368.1999999999998</v>
      </c>
      <c r="C59" s="94">
        <f>IFERROR(INDEX('Electricity Tariffs and Consump'!$C$44:$J$75,MATCH('Electricity Tax Rates'!$A59,'Electricity Tariffs and Consump'!$B$44:$B$75,0),MATCH('Electricity Tax Rates'!C$56,'Electricity Tariffs and Consump'!$C$43:$J$43,0)),"")</f>
        <v>520.70000000000005</v>
      </c>
      <c r="D59" s="94">
        <f>IFERROR(INDEX('Electricity Tariffs and Consump'!$C$44:$J$75,MATCH('Electricity Tax Rates'!$A59,'Electricity Tariffs and Consump'!$B$44:$B$75,0),MATCH('Electricity Tax Rates'!D$56,'Electricity Tariffs and Consump'!$C$43:$J$43,0)),"")</f>
        <v>363</v>
      </c>
      <c r="E59" s="94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F59" s="94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G59" s="94">
        <f>IFERROR(INDEX('Electricity Tariffs and Consump'!$C$44:$J$75,MATCH('Electricity Tax Rates'!$A59,'Electricity Tariffs and Consump'!$B$44:$B$75,0),MATCH('Electricity Tax Rates'!G$56,'Electricity Tariffs and Consump'!$C$43:$J$43,0)),"")</f>
        <v>537.4</v>
      </c>
    </row>
    <row r="60" spans="1:7" ht="15.75" thickBot="1" x14ac:dyDescent="0.3">
      <c r="A60" s="62" t="s">
        <v>24</v>
      </c>
      <c r="B60" s="94">
        <v>0</v>
      </c>
      <c r="C60" s="94">
        <v>0</v>
      </c>
      <c r="D60" s="94">
        <v>0</v>
      </c>
      <c r="E60" s="94">
        <v>0</v>
      </c>
      <c r="F60" s="94">
        <v>0</v>
      </c>
      <c r="G60" s="94">
        <v>0</v>
      </c>
    </row>
    <row r="61" spans="1:7" ht="15.75" thickBot="1" x14ac:dyDescent="0.3">
      <c r="A61" s="62" t="s">
        <v>6</v>
      </c>
      <c r="B61" s="94">
        <f>IFERROR(INDEX('Electricity Tariffs and Consump'!$C$44:$J$75,MATCH('Electricity Tax Rates'!$A61,'Electricity Tariffs and Consump'!$B$44:$B$75,0),MATCH('Electricity Tax Rates'!B$56,'Electricity Tariffs and Consump'!$C$43:$J$43,0)),"")</f>
        <v>2893</v>
      </c>
      <c r="C61" s="94">
        <f>IFERROR(INDEX('Electricity Tariffs and Consump'!$C$44:$J$75,MATCH('Electricity Tax Rates'!$A61,'Electricity Tariffs and Consump'!$B$44:$B$75,0),MATCH('Electricity Tax Rates'!C$56,'Electricity Tariffs and Consump'!$C$43:$J$43,0)),"")</f>
        <v>1227</v>
      </c>
      <c r="D61" s="94">
        <f>IFERROR(INDEX('Electricity Tariffs and Consump'!$C$44:$J$75,MATCH('Electricity Tax Rates'!$A61,'Electricity Tariffs and Consump'!$B$44:$B$75,0),MATCH('Electricity Tax Rates'!D$56,'Electricity Tariffs and Consump'!$C$43:$J$43,0)),"")</f>
        <v>17</v>
      </c>
      <c r="E61" s="94">
        <f>IFERROR(INDEX('Electricity Tariffs and Consump'!$C$44:$J$75,MATCH('Electricity Tax Rates'!$A61,'Electricity Tariffs and Consump'!$B$44:$B$75,0),MATCH("industry",'Electricity Tariffs and Consump'!$C$43:$J$43,0))/2,"")</f>
        <v>1007</v>
      </c>
      <c r="F61" s="94">
        <f>IFERROR(INDEX('Electricity Tariffs and Consump'!$C$44:$J$75,MATCH('Electricity Tax Rates'!$A61,'Electricity Tariffs and Consump'!$B$44:$B$75,0),MATCH("industry",'Electricity Tariffs and Consump'!$C$43:$J$43,0))/2,"")</f>
        <v>1007</v>
      </c>
      <c r="G61" s="94">
        <f>IFERROR(INDEX('Electricity Tariffs and Consump'!$C$44:$J$75,MATCH('Electricity Tax Rates'!$A61,'Electricity Tariffs and Consump'!$B$44:$B$75,0),MATCH('Electricity Tax Rates'!G$56,'Electricity Tariffs and Consump'!$C$43:$J$43,0)),"")</f>
        <v>57</v>
      </c>
    </row>
    <row r="62" spans="1:7" ht="15.75" thickBot="1" x14ac:dyDescent="0.3">
      <c r="A62" s="62" t="s">
        <v>7</v>
      </c>
      <c r="B62" s="94">
        <f>IFERROR(INDEX('Electricity Tariffs and Consump'!$C$44:$J$75,MATCH('Electricity Tax Rates'!$A62,'Electricity Tariffs and Consump'!$B$44:$B$75,0),MATCH('Electricity Tax Rates'!B$56,'Electricity Tariffs and Consump'!$C$43:$J$43,0)),"")</f>
        <v>708</v>
      </c>
      <c r="C62" s="94">
        <f>IFERROR(INDEX('Electricity Tariffs and Consump'!$C$44:$J$75,MATCH('Electricity Tax Rates'!$A62,'Electricity Tariffs and Consump'!$B$44:$B$75,0),MATCH('Electricity Tax Rates'!C$56,'Electricity Tariffs and Consump'!$C$43:$J$43,0)),"")</f>
        <v>461</v>
      </c>
      <c r="D62" s="94">
        <f>IFERROR(INDEX('Electricity Tariffs and Consump'!$C$44:$J$75,MATCH('Electricity Tax Rates'!$A62,'Electricity Tariffs and Consump'!$B$44:$B$75,0),MATCH('Electricity Tax Rates'!D$56,'Electricity Tariffs and Consump'!$C$43:$J$43,0)),"")</f>
        <v>19</v>
      </c>
      <c r="E62" s="94">
        <f>IFERROR(INDEX('Electricity Tariffs and Consump'!$C$44:$J$75,MATCH('Electricity Tax Rates'!$A62,'Electricity Tariffs and Consump'!$B$44:$B$75,0),MATCH("industry",'Electricity Tariffs and Consump'!$C$43:$J$43,0))/2,"")</f>
        <v>713</v>
      </c>
      <c r="F62" s="94">
        <f>IFERROR(INDEX('Electricity Tariffs and Consump'!$C$44:$J$75,MATCH('Electricity Tax Rates'!$A62,'Electricity Tariffs and Consump'!$B$44:$B$75,0),MATCH("industry",'Electricity Tariffs and Consump'!$C$43:$J$43,0))/2,"")</f>
        <v>713</v>
      </c>
      <c r="G62" s="94">
        <f>IFERROR(INDEX('Electricity Tariffs and Consump'!$C$44:$J$75,MATCH('Electricity Tax Rates'!$A62,'Electricity Tariffs and Consump'!$B$44:$B$75,0),MATCH('Electricity Tax Rates'!G$56,'Electricity Tariffs and Consump'!$C$43:$J$43,0)),"")</f>
        <v>0</v>
      </c>
    </row>
    <row r="63" spans="1:7" ht="15.75" thickBot="1" x14ac:dyDescent="0.3">
      <c r="A63" s="62" t="s">
        <v>8</v>
      </c>
      <c r="B63" s="94">
        <f>IFERROR(INDEX('Electricity Tariffs and Consump'!$C$44:$J$75,MATCH('Electricity Tax Rates'!$A63,'Electricity Tariffs and Consump'!$B$44:$B$75,0),MATCH('Electricity Tax Rates'!B$56,'Electricity Tariffs and Consump'!$C$43:$J$43,0)),"")</f>
        <v>7473</v>
      </c>
      <c r="C63" s="94">
        <f>IFERROR(INDEX('Electricity Tariffs and Consump'!$C$44:$J$75,MATCH('Electricity Tax Rates'!$A63,'Electricity Tariffs and Consump'!$B$44:$B$75,0),MATCH('Electricity Tax Rates'!C$56,'Electricity Tariffs and Consump'!$C$43:$J$43,0)),"")</f>
        <v>1320</v>
      </c>
      <c r="D63" s="94">
        <f>IFERROR(INDEX('Electricity Tariffs and Consump'!$C$44:$J$75,MATCH('Electricity Tax Rates'!$A63,'Electricity Tariffs and Consump'!$B$44:$B$75,0),MATCH('Electricity Tax Rates'!D$56,'Electricity Tariffs and Consump'!$C$43:$J$43,0)),"")</f>
        <v>13947</v>
      </c>
      <c r="E63" s="94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F63" s="94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G63" s="94">
        <f>IFERROR(INDEX('Electricity Tariffs and Consump'!$C$44:$J$75,MATCH('Electricity Tax Rates'!$A63,'Electricity Tariffs and Consump'!$B$44:$B$75,0),MATCH('Electricity Tax Rates'!G$56,'Electricity Tariffs and Consump'!$C$43:$J$43,0)),"")</f>
        <v>697</v>
      </c>
    </row>
    <row r="64" spans="1:7" ht="15.75" thickBot="1" x14ac:dyDescent="0.3">
      <c r="A64" s="62" t="s">
        <v>9</v>
      </c>
      <c r="B64" s="94">
        <f>IFERROR(INDEX('Electricity Tariffs and Consump'!$C$44:$J$75,MATCH('Electricity Tax Rates'!$A64,'Electricity Tariffs and Consump'!$B$44:$B$75,0),MATCH('Electricity Tax Rates'!B$56,'Electricity Tariffs and Consump'!$C$43:$J$43,0)),"")</f>
        <v>5569.3</v>
      </c>
      <c r="C64" s="94">
        <f>IFERROR(INDEX('Electricity Tariffs and Consump'!$C$44:$J$75,MATCH('Electricity Tax Rates'!$A64,'Electricity Tariffs and Consump'!$B$44:$B$75,0),MATCH('Electricity Tax Rates'!C$56,'Electricity Tariffs and Consump'!$C$43:$J$43,0)),"")</f>
        <v>2771.2</v>
      </c>
      <c r="D64" s="94">
        <f>IFERROR(INDEX('Electricity Tariffs and Consump'!$C$44:$J$75,MATCH('Electricity Tax Rates'!$A64,'Electricity Tariffs and Consump'!$B$44:$B$75,0),MATCH('Electricity Tax Rates'!D$56,'Electricity Tariffs and Consump'!$C$43:$J$43,0)),"")</f>
        <v>9259.7999999999993</v>
      </c>
      <c r="E64" s="94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F64" s="94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G64" s="94">
        <f>IFERROR(INDEX('Electricity Tariffs and Consump'!$C$44:$J$75,MATCH('Electricity Tax Rates'!$A64,'Electricity Tariffs and Consump'!$B$44:$B$75,0),MATCH('Electricity Tax Rates'!G$56,'Electricity Tariffs and Consump'!$C$43:$J$43,0)),"")</f>
        <v>551.4</v>
      </c>
    </row>
    <row r="65" spans="1:7" ht="15.75" thickBot="1" x14ac:dyDescent="0.3">
      <c r="A65" s="62" t="s">
        <v>10</v>
      </c>
      <c r="B65" s="94">
        <f>IFERROR(INDEX('Electricity Tariffs and Consump'!$C$44:$J$75,MATCH('Electricity Tax Rates'!$A65,'Electricity Tariffs and Consump'!$B$44:$B$75,0),MATCH('Electricity Tax Rates'!B$56,'Electricity Tariffs and Consump'!$C$43:$J$43,0)),"")</f>
        <v>1407.3</v>
      </c>
      <c r="C65" s="94">
        <f>IFERROR(INDEX('Electricity Tariffs and Consump'!$C$44:$J$75,MATCH('Electricity Tax Rates'!$A65,'Electricity Tariffs and Consump'!$B$44:$B$75,0),MATCH('Electricity Tax Rates'!C$56,'Electricity Tariffs and Consump'!$C$43:$J$43,0)),"")</f>
        <v>387.2</v>
      </c>
      <c r="D65" s="94">
        <f>IFERROR(INDEX('Electricity Tariffs and Consump'!$C$44:$J$75,MATCH('Electricity Tax Rates'!$A65,'Electricity Tariffs and Consump'!$B$44:$B$75,0),MATCH('Electricity Tax Rates'!D$56,'Electricity Tariffs and Consump'!$C$43:$J$43,0)),"")</f>
        <v>36.200000000000003</v>
      </c>
      <c r="E65" s="94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F65" s="94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G65" s="94">
        <f>IFERROR(INDEX('Electricity Tariffs and Consump'!$C$44:$J$75,MATCH('Electricity Tax Rates'!$A65,'Electricity Tariffs and Consump'!$B$44:$B$75,0),MATCH('Electricity Tax Rates'!G$56,'Electricity Tariffs and Consump'!$C$43:$J$43,0)),"")</f>
        <v>0</v>
      </c>
    </row>
    <row r="66" spans="1:7" ht="15.75" thickBot="1" x14ac:dyDescent="0.3">
      <c r="A66" s="62" t="s">
        <v>11</v>
      </c>
      <c r="B66" s="94">
        <f>IFERROR(INDEX('Electricity Tariffs and Consump'!$C$44:$J$75,MATCH('Electricity Tax Rates'!$A66,'Electricity Tariffs and Consump'!$B$44:$B$75,0),MATCH('Electricity Tax Rates'!B$56,'Electricity Tariffs and Consump'!$C$43:$J$43,0)),"")</f>
        <v>1432</v>
      </c>
      <c r="C66" s="94">
        <f>IFERROR(INDEX('Electricity Tariffs and Consump'!$C$44:$J$75,MATCH('Electricity Tax Rates'!$A66,'Electricity Tariffs and Consump'!$B$44:$B$75,0),MATCH('Electricity Tax Rates'!C$56,'Electricity Tariffs and Consump'!$C$43:$J$43,0)),"")</f>
        <v>333.3</v>
      </c>
      <c r="D66" s="94">
        <f>IFERROR(INDEX('Electricity Tariffs and Consump'!$C$44:$J$75,MATCH('Electricity Tax Rates'!$A66,'Electricity Tariffs and Consump'!$B$44:$B$75,0),MATCH('Electricity Tax Rates'!D$56,'Electricity Tariffs and Consump'!$C$43:$J$43,0)),"")</f>
        <v>140.69999999999999</v>
      </c>
      <c r="E66" s="94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F66" s="94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G66" s="94">
        <f>IFERROR(INDEX('Electricity Tariffs and Consump'!$C$44:$J$75,MATCH('Electricity Tax Rates'!$A66,'Electricity Tariffs and Consump'!$B$44:$B$75,0),MATCH('Electricity Tax Rates'!G$56,'Electricity Tariffs and Consump'!$C$43:$J$43,0)),"")</f>
        <v>0</v>
      </c>
    </row>
    <row r="67" spans="1:7" ht="15.75" thickBot="1" x14ac:dyDescent="0.3">
      <c r="A67" s="62" t="s">
        <v>12</v>
      </c>
      <c r="B67" s="94">
        <f>IFERROR(INDEX('Electricity Tariffs and Consump'!$C$44:$J$75,MATCH('Electricity Tax Rates'!$A67,'Electricity Tariffs and Consump'!$B$44:$B$75,0),MATCH('Electricity Tax Rates'!B$56,'Electricity Tariffs and Consump'!$C$43:$J$43,0)),"")</f>
        <v>2483.3000000000002</v>
      </c>
      <c r="C67" s="94">
        <f>IFERROR(INDEX('Electricity Tariffs and Consump'!$C$44:$J$75,MATCH('Electricity Tax Rates'!$A67,'Electricity Tariffs and Consump'!$B$44:$B$75,0),MATCH('Electricity Tax Rates'!C$56,'Electricity Tariffs and Consump'!$C$43:$J$43,0)),"")</f>
        <v>339.8</v>
      </c>
      <c r="D67" s="94">
        <f>IFERROR(INDEX('Electricity Tariffs and Consump'!$C$44:$J$75,MATCH('Electricity Tax Rates'!$A67,'Electricity Tariffs and Consump'!$B$44:$B$75,0),MATCH('Electricity Tax Rates'!D$56,'Electricity Tariffs and Consump'!$C$43:$J$43,0)),"")</f>
        <v>64.8</v>
      </c>
      <c r="E67" s="94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F67" s="94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G67" s="94">
        <f>IFERROR(INDEX('Electricity Tariffs and Consump'!$C$44:$J$75,MATCH('Electricity Tax Rates'!$A67,'Electricity Tariffs and Consump'!$B$44:$B$75,0),MATCH('Electricity Tax Rates'!G$56,'Electricity Tariffs and Consump'!$C$43:$J$43,0)),"")</f>
        <v>641.20000000000005</v>
      </c>
    </row>
    <row r="68" spans="1:7" ht="15.75" thickBot="1" x14ac:dyDescent="0.3">
      <c r="A68" s="62" t="s">
        <v>13</v>
      </c>
      <c r="B68" s="94">
        <f>IFERROR(INDEX('Electricity Tariffs and Consump'!$C$44:$J$75,MATCH('Electricity Tax Rates'!$A68,'Electricity Tariffs and Consump'!$B$44:$B$75,0),MATCH('Electricity Tax Rates'!B$56,'Electricity Tariffs and Consump'!$C$43:$J$43,0)),"")</f>
        <v>8755.9</v>
      </c>
      <c r="C68" s="94">
        <f>IFERROR(INDEX('Electricity Tariffs and Consump'!$C$44:$J$75,MATCH('Electricity Tax Rates'!$A68,'Electricity Tariffs and Consump'!$B$44:$B$75,0),MATCH('Electricity Tax Rates'!C$56,'Electricity Tariffs and Consump'!$C$43:$J$43,0)),"")</f>
        <v>5393.5</v>
      </c>
      <c r="D68" s="94">
        <f>IFERROR(INDEX('Electricity Tariffs and Consump'!$C$44:$J$75,MATCH('Electricity Tax Rates'!$A68,'Electricity Tariffs and Consump'!$B$44:$B$75,0),MATCH('Electricity Tax Rates'!D$56,'Electricity Tariffs and Consump'!$C$43:$J$43,0)),"")</f>
        <v>15901.7</v>
      </c>
      <c r="E68" s="94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F68" s="94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G68" s="94">
        <f>IFERROR(INDEX('Electricity Tariffs and Consump'!$C$44:$J$75,MATCH('Electricity Tax Rates'!$A68,'Electricity Tariffs and Consump'!$B$44:$B$75,0),MATCH('Electricity Tax Rates'!G$56,'Electricity Tariffs and Consump'!$C$43:$J$43,0)),"")</f>
        <v>0</v>
      </c>
    </row>
    <row r="69" spans="1:7" ht="15.75" thickBot="1" x14ac:dyDescent="0.3">
      <c r="A69" s="62" t="s">
        <v>14</v>
      </c>
      <c r="B69" s="94">
        <f>IFERROR(INDEX('Electricity Tariffs and Consump'!$C$44:$J$75,MATCH('Electricity Tax Rates'!$A69,'Electricity Tariffs and Consump'!$B$44:$B$75,0),MATCH('Electricity Tax Rates'!B$56,'Electricity Tariffs and Consump'!$C$43:$J$43,0)),"")</f>
        <v>7703.2</v>
      </c>
      <c r="C69" s="94">
        <f>IFERROR(INDEX('Electricity Tariffs and Consump'!$C$44:$J$75,MATCH('Electricity Tax Rates'!$A69,'Electricity Tariffs and Consump'!$B$44:$B$75,0),MATCH('Electricity Tax Rates'!C$56,'Electricity Tariffs and Consump'!$C$43:$J$43,0)),"")</f>
        <v>2141.1999999999998</v>
      </c>
      <c r="D69" s="94">
        <f>IFERROR(INDEX('Electricity Tariffs and Consump'!$C$44:$J$75,MATCH('Electricity Tax Rates'!$A69,'Electricity Tariffs and Consump'!$B$44:$B$75,0),MATCH('Electricity Tax Rates'!D$56,'Electricity Tariffs and Consump'!$C$43:$J$43,0)),"")</f>
        <v>286.2</v>
      </c>
      <c r="E69" s="94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F69" s="94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G69" s="94">
        <f>IFERROR(INDEX('Electricity Tariffs and Consump'!$C$44:$J$75,MATCH('Electricity Tax Rates'!$A69,'Electricity Tariffs and Consump'!$B$44:$B$75,0),MATCH('Electricity Tax Rates'!G$56,'Electricity Tariffs and Consump'!$C$43:$J$43,0)),"")</f>
        <v>154.5</v>
      </c>
    </row>
    <row r="70" spans="1:7" ht="15.75" thickBot="1" x14ac:dyDescent="0.3">
      <c r="A70" s="62" t="s">
        <v>15</v>
      </c>
      <c r="B70" s="94">
        <f>IFERROR(INDEX('Electricity Tariffs and Consump'!$C$44:$J$75,MATCH('Electricity Tax Rates'!$A70,'Electricity Tariffs and Consump'!$B$44:$B$75,0),MATCH('Electricity Tax Rates'!B$56,'Electricity Tariffs and Consump'!$C$43:$J$43,0)),"")</f>
        <v>6477</v>
      </c>
      <c r="C70" s="94">
        <f>IFERROR(INDEX('Electricity Tariffs and Consump'!$C$44:$J$75,MATCH('Electricity Tax Rates'!$A70,'Electricity Tariffs and Consump'!$B$44:$B$75,0),MATCH('Electricity Tax Rates'!C$56,'Electricity Tariffs and Consump'!$C$43:$J$43,0)),"")</f>
        <v>1628.2</v>
      </c>
      <c r="D70" s="94">
        <f>IFERROR(INDEX('Electricity Tariffs and Consump'!$C$44:$J$75,MATCH('Electricity Tax Rates'!$A70,'Electricity Tariffs and Consump'!$B$44:$B$75,0),MATCH('Electricity Tax Rates'!D$56,'Electricity Tariffs and Consump'!$C$43:$J$43,0)),"")</f>
        <v>8944</v>
      </c>
      <c r="E70" s="94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F70" s="94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G70" s="94">
        <f>IFERROR(INDEX('Electricity Tariffs and Consump'!$C$44:$J$75,MATCH('Electricity Tax Rates'!$A70,'Electricity Tariffs and Consump'!$B$44:$B$75,0),MATCH('Electricity Tax Rates'!G$56,'Electricity Tariffs and Consump'!$C$43:$J$43,0)),"")</f>
        <v>1702.7</v>
      </c>
    </row>
    <row r="71" spans="1:7" ht="15.75" thickBot="1" x14ac:dyDescent="0.3">
      <c r="A71" s="62" t="s">
        <v>188</v>
      </c>
      <c r="B71" s="94">
        <f>IFERROR(INDEX('Electricity Tariffs and Consump'!$C$44:$J$75,MATCH('Electricity Tax Rates'!$A71,'Electricity Tariffs and Consump'!$B$44:$B$75,0),MATCH('Electricity Tax Rates'!B$56,'Electricity Tariffs and Consump'!$C$43:$J$43,0)),"")</f>
        <v>13369.7</v>
      </c>
      <c r="C71" s="94">
        <f>IFERROR(INDEX('Electricity Tariffs and Consump'!$C$44:$J$75,MATCH('Electricity Tax Rates'!$A71,'Electricity Tariffs and Consump'!$B$44:$B$75,0),MATCH('Electricity Tax Rates'!C$56,'Electricity Tariffs and Consump'!$C$43:$J$43,0)),"")</f>
        <v>5120.2</v>
      </c>
      <c r="D71" s="94">
        <f>IFERROR(INDEX('Electricity Tariffs and Consump'!$C$44:$J$75,MATCH('Electricity Tax Rates'!$A71,'Electricity Tariffs and Consump'!$B$44:$B$75,0),MATCH('Electricity Tax Rates'!D$56,'Electricity Tariffs and Consump'!$C$43:$J$43,0)),"")</f>
        <v>21611.9</v>
      </c>
      <c r="E71" s="94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F71" s="94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G71" s="94">
        <f>IFERROR(INDEX('Electricity Tariffs and Consump'!$C$44:$J$75,MATCH('Electricity Tax Rates'!$A71,'Electricity Tariffs and Consump'!$B$44:$B$75,0),MATCH('Electricity Tax Rates'!G$56,'Electricity Tariffs and Consump'!$C$43:$J$43,0)),"")</f>
        <v>1325</v>
      </c>
    </row>
    <row r="72" spans="1:7" ht="15.75" thickBot="1" x14ac:dyDescent="0.3">
      <c r="A72" s="62" t="s">
        <v>16</v>
      </c>
      <c r="B72" s="94">
        <f>IFERROR(INDEX('Electricity Tariffs and Consump'!$C$44:$J$75,MATCH('Electricity Tax Rates'!$A72,'Electricity Tariffs and Consump'!$B$44:$B$75,0),MATCH('Electricity Tax Rates'!B$56,'Electricity Tariffs and Consump'!$C$43:$J$43,0)),"")</f>
        <v>173.7</v>
      </c>
      <c r="C72" s="94">
        <f>IFERROR(INDEX('Electricity Tariffs and Consump'!$C$44:$J$75,MATCH('Electricity Tax Rates'!$A72,'Electricity Tariffs and Consump'!$B$44:$B$75,0),MATCH('Electricity Tax Rates'!C$56,'Electricity Tariffs and Consump'!$C$43:$J$43,0)),"")</f>
        <v>27.2</v>
      </c>
      <c r="D72" s="94">
        <f>IFERROR(INDEX('Electricity Tariffs and Consump'!$C$44:$J$75,MATCH('Electricity Tax Rates'!$A72,'Electricity Tariffs and Consump'!$B$44:$B$75,0),MATCH('Electricity Tax Rates'!D$56,'Electricity Tariffs and Consump'!$C$43:$J$43,0)),"")</f>
        <v>0.8</v>
      </c>
      <c r="E72" s="94">
        <f>IFERROR(INDEX('Electricity Tariffs and Consump'!$C$44:$J$75,MATCH('Electricity Tax Rates'!$A72,'Electricity Tariffs and Consump'!$B$44:$B$75,0),MATCH("industry",'Electricity Tariffs and Consump'!$C$43:$J$43,0))/2,"")</f>
        <v>14.65</v>
      </c>
      <c r="F72" s="94">
        <f>IFERROR(INDEX('Electricity Tariffs and Consump'!$C$44:$J$75,MATCH('Electricity Tax Rates'!$A72,'Electricity Tariffs and Consump'!$B$44:$B$75,0),MATCH("industry",'Electricity Tariffs and Consump'!$C$43:$J$43,0))/2,"")</f>
        <v>14.65</v>
      </c>
      <c r="G72" s="94">
        <f>IFERROR(INDEX('Electricity Tariffs and Consump'!$C$44:$J$75,MATCH('Electricity Tax Rates'!$A72,'Electricity Tariffs and Consump'!$B$44:$B$75,0),MATCH('Electricity Tax Rates'!G$56,'Electricity Tariffs and Consump'!$C$43:$J$43,0)),"")</f>
        <v>0</v>
      </c>
    </row>
    <row r="73" spans="1:7" ht="15.75" thickBot="1" x14ac:dyDescent="0.3">
      <c r="A73" s="62" t="s">
        <v>17</v>
      </c>
      <c r="B73" s="94">
        <f>IFERROR(INDEX('Electricity Tariffs and Consump'!$C$44:$J$75,MATCH('Electricity Tax Rates'!$A73,'Electricity Tariffs and Consump'!$B$44:$B$75,0),MATCH('Electricity Tax Rates'!B$56,'Electricity Tariffs and Consump'!$C$43:$J$43,0)),"")</f>
        <v>307.10000000000002</v>
      </c>
      <c r="C73" s="94">
        <f>IFERROR(INDEX('Electricity Tariffs and Consump'!$C$44:$J$75,MATCH('Electricity Tax Rates'!$A73,'Electricity Tariffs and Consump'!$B$44:$B$75,0),MATCH('Electricity Tax Rates'!C$56,'Electricity Tariffs and Consump'!$C$43:$J$43,0)),"")</f>
        <v>75.599999999999994</v>
      </c>
      <c r="D73" s="94">
        <f>IFERROR(INDEX('Electricity Tariffs and Consump'!$C$44:$J$75,MATCH('Electricity Tax Rates'!$A73,'Electricity Tariffs and Consump'!$B$44:$B$75,0),MATCH('Electricity Tax Rates'!D$56,'Electricity Tariffs and Consump'!$C$43:$J$43,0)),"")</f>
        <v>0.4</v>
      </c>
      <c r="E73" s="94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F73" s="94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G73" s="94">
        <f>IFERROR(INDEX('Electricity Tariffs and Consump'!$C$44:$J$75,MATCH('Electricity Tax Rates'!$A73,'Electricity Tariffs and Consump'!$B$44:$B$75,0),MATCH('Electricity Tax Rates'!G$56,'Electricity Tariffs and Consump'!$C$43:$J$43,0)),"")</f>
        <v>0</v>
      </c>
    </row>
    <row r="74" spans="1:7" ht="15.75" thickBot="1" x14ac:dyDescent="0.3">
      <c r="A74" s="62" t="s">
        <v>189</v>
      </c>
      <c r="B74" s="94">
        <f>IFERROR(INDEX('Electricity Tariffs and Consump'!$C$44:$J$75,MATCH('Electricity Tax Rates'!$A74,'Electricity Tariffs and Consump'!$B$44:$B$75,0),MATCH('Electricity Tax Rates'!B$56,'Electricity Tariffs and Consump'!$C$43:$J$43,0)),"")</f>
        <v>3964</v>
      </c>
      <c r="C74" s="94">
        <f>IFERROR(INDEX('Electricity Tariffs and Consump'!$C$44:$J$75,MATCH('Electricity Tax Rates'!$A74,'Electricity Tariffs and Consump'!$B$44:$B$75,0),MATCH('Electricity Tax Rates'!C$56,'Electricity Tariffs and Consump'!$C$43:$J$43,0)),"")</f>
        <v>1297</v>
      </c>
      <c r="D74" s="94">
        <f>IFERROR(INDEX('Electricity Tariffs and Consump'!$C$44:$J$75,MATCH('Electricity Tax Rates'!$A74,'Electricity Tariffs and Consump'!$B$44:$B$75,0),MATCH('Electricity Tax Rates'!D$56,'Electricity Tariffs and Consump'!$C$43:$J$43,0)),"")</f>
        <v>163</v>
      </c>
      <c r="E74" s="94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F74" s="94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G74" s="94">
        <f>IFERROR(INDEX('Electricity Tariffs and Consump'!$C$44:$J$75,MATCH('Electricity Tax Rates'!$A74,'Electricity Tariffs and Consump'!$B$44:$B$75,0),MATCH('Electricity Tax Rates'!G$56,'Electricity Tariffs and Consump'!$C$43:$J$43,0)),"")</f>
        <v>616</v>
      </c>
    </row>
    <row r="75" spans="1:7" ht="15.75" thickBot="1" x14ac:dyDescent="0.3">
      <c r="A75" s="62" t="s">
        <v>18</v>
      </c>
      <c r="B75" s="94">
        <f>IFERROR(INDEX('Electricity Tariffs and Consump'!$C$44:$J$75,MATCH('Electricity Tax Rates'!$A75,'Electricity Tariffs and Consump'!$B$44:$B$75,0),MATCH('Electricity Tax Rates'!B$56,'Electricity Tariffs and Consump'!$C$43:$J$43,0)),"")</f>
        <v>8818</v>
      </c>
      <c r="C75" s="94">
        <f>IFERROR(INDEX('Electricity Tariffs and Consump'!$C$44:$J$75,MATCH('Electricity Tax Rates'!$A75,'Electricity Tariffs and Consump'!$B$44:$B$75,0),MATCH('Electricity Tax Rates'!C$56,'Electricity Tariffs and Consump'!$C$43:$J$43,0)),"")</f>
        <v>2682</v>
      </c>
      <c r="D75" s="94">
        <f>IFERROR(INDEX('Electricity Tariffs and Consump'!$C$44:$J$75,MATCH('Electricity Tax Rates'!$A75,'Electricity Tariffs and Consump'!$B$44:$B$75,0),MATCH('Electricity Tax Rates'!D$56,'Electricity Tariffs and Consump'!$C$43:$J$43,0)),"")</f>
        <v>10256</v>
      </c>
      <c r="E75" s="94">
        <f>IFERROR(INDEX('Electricity Tariffs and Consump'!$C$44:$J$75,MATCH('Electricity Tax Rates'!$A75,'Electricity Tariffs and Consump'!$B$44:$B$75,0),MATCH("industry",'Electricity Tariffs and Consump'!$C$43:$J$43,0))/2,"")</f>
        <v>5851</v>
      </c>
      <c r="F75" s="94">
        <f>IFERROR(INDEX('Electricity Tariffs and Consump'!$C$44:$J$75,MATCH('Electricity Tax Rates'!$A75,'Electricity Tariffs and Consump'!$B$44:$B$75,0),MATCH("industry",'Electricity Tariffs and Consump'!$C$43:$J$43,0))/2,"")</f>
        <v>5851</v>
      </c>
      <c r="G75" s="94">
        <f>IFERROR(INDEX('Electricity Tariffs and Consump'!$C$44:$J$75,MATCH('Electricity Tax Rates'!$A75,'Electricity Tariffs and Consump'!$B$44:$B$75,0),MATCH('Electricity Tax Rates'!G$56,'Electricity Tariffs and Consump'!$C$43:$J$43,0)),"")</f>
        <v>138</v>
      </c>
    </row>
    <row r="76" spans="1:7" ht="15.75" thickBot="1" x14ac:dyDescent="0.3">
      <c r="A76" s="62" t="s">
        <v>19</v>
      </c>
      <c r="B76" s="94">
        <f>IFERROR(INDEX('Electricity Tariffs and Consump'!$C$44:$J$75,MATCH('Electricity Tax Rates'!$A76,'Electricity Tariffs and Consump'!$B$44:$B$75,0),MATCH('Electricity Tax Rates'!B$56,'Electricity Tariffs and Consump'!$C$43:$J$43,0)),"")</f>
        <v>7267</v>
      </c>
      <c r="C76" s="94">
        <f>IFERROR(INDEX('Electricity Tariffs and Consump'!$C$44:$J$75,MATCH('Electricity Tax Rates'!$A76,'Electricity Tariffs and Consump'!$B$44:$B$75,0),MATCH('Electricity Tax Rates'!C$56,'Electricity Tariffs and Consump'!$C$43:$J$43,0)),"")</f>
        <v>2271</v>
      </c>
      <c r="D76" s="94">
        <f>IFERROR(INDEX('Electricity Tariffs and Consump'!$C$44:$J$75,MATCH('Electricity Tax Rates'!$A76,'Electricity Tariffs and Consump'!$B$44:$B$75,0),MATCH('Electricity Tax Rates'!D$56,'Electricity Tariffs and Consump'!$C$43:$J$43,0)),"")</f>
        <v>15086.7</v>
      </c>
      <c r="E76" s="94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F76" s="94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G76" s="94">
        <f>IFERROR(INDEX('Electricity Tariffs and Consump'!$C$44:$J$75,MATCH('Electricity Tax Rates'!$A76,'Electricity Tariffs and Consump'!$B$44:$B$75,0),MATCH('Electricity Tax Rates'!G$56,'Electricity Tariffs and Consump'!$C$43:$J$43,0)),"")</f>
        <v>370.3</v>
      </c>
    </row>
    <row r="77" spans="1:7" ht="15.75" thickBot="1" x14ac:dyDescent="0.3">
      <c r="A77" s="62" t="s">
        <v>20</v>
      </c>
      <c r="B77" s="94">
        <f>IFERROR(INDEX('Electricity Tariffs and Consump'!$C$44:$J$75,MATCH('Electricity Tax Rates'!$A77,'Electricity Tariffs and Consump'!$B$44:$B$75,0),MATCH('Electricity Tax Rates'!B$56,'Electricity Tariffs and Consump'!$C$43:$J$43,0)),"")</f>
        <v>17742</v>
      </c>
      <c r="C77" s="94">
        <f>IFERROR(INDEX('Electricity Tariffs and Consump'!$C$44:$J$75,MATCH('Electricity Tax Rates'!$A77,'Electricity Tariffs and Consump'!$B$44:$B$75,0),MATCH('Electricity Tax Rates'!C$56,'Electricity Tariffs and Consump'!$C$43:$J$43,0)),"")</f>
        <v>6823</v>
      </c>
      <c r="D77" s="94">
        <f>IFERROR(INDEX('Electricity Tariffs and Consump'!$C$44:$J$75,MATCH('Electricity Tax Rates'!$A77,'Electricity Tariffs and Consump'!$B$44:$B$75,0),MATCH('Electricity Tax Rates'!D$56,'Electricity Tariffs and Consump'!$C$43:$J$43,0)),"")</f>
        <v>10124</v>
      </c>
      <c r="E77" s="94">
        <f>IFERROR(INDEX('Electricity Tariffs and Consump'!$C$44:$J$75,MATCH('Electricity Tax Rates'!$A77,'Electricity Tariffs and Consump'!$B$44:$B$75,0),MATCH("industry",'Electricity Tariffs and Consump'!$C$43:$J$43,0))/2,"")</f>
        <v>10984</v>
      </c>
      <c r="F77" s="94">
        <f>IFERROR(INDEX('Electricity Tariffs and Consump'!$C$44:$J$75,MATCH('Electricity Tax Rates'!$A77,'Electricity Tariffs and Consump'!$B$44:$B$75,0),MATCH("industry",'Electricity Tariffs and Consump'!$C$43:$J$43,0))/2,"")</f>
        <v>10984</v>
      </c>
      <c r="G77" s="94">
        <f>IFERROR(INDEX('Electricity Tariffs and Consump'!$C$44:$J$75,MATCH('Electricity Tax Rates'!$A77,'Electricity Tariffs and Consump'!$B$44:$B$75,0),MATCH('Electricity Tax Rates'!G$56,'Electricity Tariffs and Consump'!$C$43:$J$43,0)),"")</f>
        <v>0</v>
      </c>
    </row>
    <row r="78" spans="1:7" ht="15.75" thickBot="1" x14ac:dyDescent="0.3">
      <c r="A78" s="62" t="s">
        <v>287</v>
      </c>
      <c r="B78" s="94">
        <f>IFERROR(INDEX('Electricity Tariffs and Consump'!$C$44:$J$75,MATCH('Electricity Tax Rates'!$A78,'Electricity Tariffs and Consump'!$B$44:$B$75,0),MATCH('Electricity Tax Rates'!B$56,'Electricity Tariffs and Consump'!$C$43:$J$43,0)),"")</f>
        <v>1675.9</v>
      </c>
      <c r="C78" s="94">
        <f>IFERROR(INDEX('Electricity Tariffs and Consump'!$C$44:$J$75,MATCH('Electricity Tax Rates'!$A78,'Electricity Tariffs and Consump'!$B$44:$B$75,0),MATCH('Electricity Tax Rates'!C$56,'Electricity Tariffs and Consump'!$C$43:$J$43,0)),"")</f>
        <v>1046.5</v>
      </c>
      <c r="D78" s="94">
        <f>IFERROR(INDEX('Electricity Tariffs and Consump'!$C$44:$J$75,MATCH('Electricity Tax Rates'!$A78,'Electricity Tariffs and Consump'!$B$44:$B$75,0),MATCH('Electricity Tax Rates'!D$56,'Electricity Tariffs and Consump'!$C$43:$J$43,0)),"")</f>
        <v>325</v>
      </c>
      <c r="E78" s="94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F78" s="94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G78" s="94">
        <f>IFERROR(INDEX('Electricity Tariffs and Consump'!$C$44:$J$75,MATCH('Electricity Tax Rates'!$A78,'Electricity Tariffs and Consump'!$B$44:$B$75,0),MATCH('Electricity Tax Rates'!G$56,'Electricity Tariffs and Consump'!$C$43:$J$43,0)),"")</f>
        <v>8.4</v>
      </c>
    </row>
    <row r="79" spans="1:7" ht="15.75" thickBot="1" x14ac:dyDescent="0.3">
      <c r="A79" s="62" t="s">
        <v>22</v>
      </c>
      <c r="B79" s="94">
        <f>IFERROR(INDEX('Electricity Tariffs and Consump'!$C$44:$J$75,MATCH('Electricity Tax Rates'!$A79,'Electricity Tariffs and Consump'!$B$44:$B$75,0),MATCH('Electricity Tax Rates'!B$56,'Electricity Tariffs and Consump'!$C$43:$J$43,0)),"")</f>
        <v>17809</v>
      </c>
      <c r="C79" s="94">
        <f>IFERROR(INDEX('Electricity Tariffs and Consump'!$C$44:$J$75,MATCH('Electricity Tax Rates'!$A79,'Electricity Tariffs and Consump'!$B$44:$B$75,0),MATCH('Electricity Tax Rates'!C$56,'Electricity Tariffs and Consump'!$C$43:$J$43,0)),"")</f>
        <v>3522.3</v>
      </c>
      <c r="D79" s="94">
        <f>IFERROR(INDEX('Electricity Tariffs and Consump'!$C$44:$J$75,MATCH('Electricity Tax Rates'!$A79,'Electricity Tariffs and Consump'!$B$44:$B$75,0),MATCH('Electricity Tax Rates'!D$56,'Electricity Tariffs and Consump'!$C$43:$J$43,0)),"")</f>
        <v>8756</v>
      </c>
      <c r="E79" s="94">
        <f>IFERROR(INDEX('Electricity Tariffs and Consump'!$C$44:$J$75,MATCH('Electricity Tax Rates'!$A79,'Electricity Tariffs and Consump'!$B$44:$B$75,0),MATCH("industry",'Electricity Tariffs and Consump'!$C$43:$J$43,0))/2,"")</f>
        <v>5922</v>
      </c>
      <c r="F79" s="94">
        <f>IFERROR(INDEX('Electricity Tariffs and Consump'!$C$44:$J$75,MATCH('Electricity Tax Rates'!$A79,'Electricity Tariffs and Consump'!$B$44:$B$75,0),MATCH("industry",'Electricity Tariffs and Consump'!$C$43:$J$43,0))/2,"")</f>
        <v>5922</v>
      </c>
      <c r="G79" s="94">
        <f>IFERROR(INDEX('Electricity Tariffs and Consump'!$C$44:$J$75,MATCH('Electricity Tax Rates'!$A79,'Electricity Tariffs and Consump'!$B$44:$B$75,0),MATCH('Electricity Tax Rates'!G$56,'Electricity Tariffs and Consump'!$C$43:$J$43,0)),"")</f>
        <v>709</v>
      </c>
    </row>
    <row r="80" spans="1:7" ht="15.75" thickBot="1" x14ac:dyDescent="0.3">
      <c r="A80" s="65" t="s">
        <v>23</v>
      </c>
      <c r="B80" s="94">
        <f>IFERROR(INDEX('Electricity Tariffs and Consump'!$C$44:$J$75,MATCH('Electricity Tax Rates'!$A80,'Electricity Tariffs and Consump'!$B$44:$B$75,0),MATCH('Electricity Tax Rates'!B$56,'Electricity Tariffs and Consump'!$C$43:$J$43,0)),"")</f>
        <v>6074.1</v>
      </c>
      <c r="C80" s="94">
        <f>IFERROR(INDEX('Electricity Tariffs and Consump'!$C$44:$J$75,MATCH('Electricity Tax Rates'!$A80,'Electricity Tariffs and Consump'!$B$44:$B$75,0),MATCH('Electricity Tax Rates'!C$56,'Electricity Tariffs and Consump'!$C$43:$J$43,0)),"")</f>
        <v>3086.4</v>
      </c>
      <c r="D80" s="94">
        <f>IFERROR(INDEX('Electricity Tariffs and Consump'!$C$44:$J$75,MATCH('Electricity Tax Rates'!$A80,'Electricity Tariffs and Consump'!$B$44:$B$75,0),MATCH('Electricity Tax Rates'!D$56,'Electricity Tariffs and Consump'!$C$43:$J$43,0)),"")</f>
        <v>1295.8</v>
      </c>
      <c r="E80" s="94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F80" s="94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G80" s="94">
        <f>IFERROR(INDEX('Electricity Tariffs and Consump'!$C$44:$J$75,MATCH('Electricity Tax Rates'!$A80,'Electricity Tariffs and Consump'!$B$44:$B$75,0),MATCH('Electricity Tax Rates'!G$56,'Electricity Tariffs and Consump'!$C$43:$J$43,0)),"")</f>
        <v>901.4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0"/>
  <sheetViews>
    <sheetView topLeftCell="A74" zoomScale="130" zoomScaleNormal="130" workbookViewId="0">
      <selection activeCell="I86" sqref="I86"/>
    </sheetView>
  </sheetViews>
  <sheetFormatPr defaultRowHeight="15" x14ac:dyDescent="0.25"/>
  <cols>
    <col min="1" max="1" width="12.140625" customWidth="1"/>
    <col min="3" max="3" width="9.28515625" bestFit="1" customWidth="1"/>
    <col min="4" max="4" width="11.5703125" bestFit="1" customWidth="1"/>
    <col min="5" max="5" width="10.85546875" bestFit="1" customWidth="1"/>
    <col min="6" max="6" width="8.28515625" bestFit="1" customWidth="1"/>
    <col min="8" max="8" width="16.42578125" bestFit="1" customWidth="1"/>
    <col min="9" max="9" width="14.42578125" bestFit="1" customWidth="1"/>
  </cols>
  <sheetData>
    <row r="1" spans="1:17" x14ac:dyDescent="0.25">
      <c r="A1" s="142" t="s">
        <v>190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17" x14ac:dyDescent="0.25">
      <c r="A2" s="142" t="s">
        <v>191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17" x14ac:dyDescent="0.25">
      <c r="A3" s="17" t="s">
        <v>192</v>
      </c>
      <c r="B3" s="17"/>
      <c r="C3" s="17" t="s">
        <v>181</v>
      </c>
      <c r="D3" s="17" t="s">
        <v>182</v>
      </c>
      <c r="E3" s="17" t="s">
        <v>183</v>
      </c>
      <c r="F3" s="17" t="s">
        <v>227</v>
      </c>
      <c r="G3" s="17" t="s">
        <v>275</v>
      </c>
      <c r="H3" s="17" t="s">
        <v>228</v>
      </c>
      <c r="I3" s="17" t="s">
        <v>229</v>
      </c>
      <c r="J3" s="17"/>
      <c r="K3" s="17"/>
      <c r="L3" s="17"/>
      <c r="M3" s="17"/>
      <c r="N3" s="17"/>
      <c r="O3" s="17"/>
      <c r="P3" s="17"/>
      <c r="Q3" s="17"/>
    </row>
    <row r="4" spans="1:17" ht="15" customHeight="1" x14ac:dyDescent="0.25">
      <c r="A4" s="68">
        <v>1</v>
      </c>
      <c r="B4" s="71" t="s">
        <v>193</v>
      </c>
      <c r="C4" s="72">
        <v>300.5</v>
      </c>
      <c r="D4" s="72">
        <v>1085.24</v>
      </c>
      <c r="E4" s="72">
        <v>10.73</v>
      </c>
      <c r="F4" s="72">
        <v>457.31</v>
      </c>
      <c r="G4" s="72">
        <v>474.31</v>
      </c>
      <c r="H4" s="72">
        <v>160.07</v>
      </c>
      <c r="I4" s="72">
        <v>310.8</v>
      </c>
    </row>
    <row r="5" spans="1:17" x14ac:dyDescent="0.25">
      <c r="A5" s="68">
        <v>2</v>
      </c>
      <c r="B5" s="71" t="s">
        <v>194</v>
      </c>
      <c r="C5" s="72">
        <v>392</v>
      </c>
      <c r="D5" s="72">
        <v>542</v>
      </c>
      <c r="E5" s="72">
        <v>389.77</v>
      </c>
      <c r="F5" s="72">
        <v>447</v>
      </c>
      <c r="G5" s="72">
        <v>0</v>
      </c>
      <c r="H5" s="72">
        <v>263.73</v>
      </c>
      <c r="I5" s="72">
        <v>428.31</v>
      </c>
    </row>
    <row r="6" spans="1:17" x14ac:dyDescent="0.25">
      <c r="A6" s="68">
        <v>3</v>
      </c>
      <c r="B6" s="71" t="s">
        <v>195</v>
      </c>
      <c r="C6" s="72">
        <v>214.07</v>
      </c>
      <c r="D6" s="72">
        <v>637.97</v>
      </c>
      <c r="E6" s="72">
        <v>223.55</v>
      </c>
      <c r="F6" s="72">
        <v>504.51</v>
      </c>
      <c r="G6" s="72">
        <v>569.36</v>
      </c>
      <c r="H6" s="72">
        <v>411.76</v>
      </c>
      <c r="I6" s="72">
        <v>387.02</v>
      </c>
    </row>
    <row r="7" spans="1:17" ht="15" customHeight="1" x14ac:dyDescent="0.25">
      <c r="A7" s="68">
        <v>4</v>
      </c>
      <c r="B7" s="71" t="s">
        <v>196</v>
      </c>
      <c r="C7" s="72">
        <v>197.56</v>
      </c>
      <c r="D7" s="72">
        <v>444.87</v>
      </c>
      <c r="E7" s="72">
        <v>102.34</v>
      </c>
      <c r="F7" s="72">
        <v>375.28</v>
      </c>
      <c r="G7" s="72">
        <v>414.98</v>
      </c>
      <c r="H7" s="72">
        <v>435.4</v>
      </c>
      <c r="I7" s="72">
        <v>299.58999999999997</v>
      </c>
    </row>
    <row r="8" spans="1:17" x14ac:dyDescent="0.25">
      <c r="A8" s="68">
        <v>5</v>
      </c>
      <c r="B8" s="71" t="s">
        <v>197</v>
      </c>
      <c r="C8" s="72">
        <v>354.29</v>
      </c>
      <c r="D8" s="72">
        <v>641.78</v>
      </c>
      <c r="E8" s="72">
        <v>235.29</v>
      </c>
      <c r="F8" s="72">
        <v>467.95</v>
      </c>
      <c r="G8" s="72">
        <v>105.26</v>
      </c>
      <c r="H8" s="72">
        <v>0</v>
      </c>
      <c r="I8" s="72">
        <v>379.52</v>
      </c>
    </row>
    <row r="9" spans="1:17" x14ac:dyDescent="0.25">
      <c r="A9" s="68">
        <v>6</v>
      </c>
      <c r="B9" s="71" t="s">
        <v>198</v>
      </c>
      <c r="C9" s="72">
        <v>368.98</v>
      </c>
      <c r="D9" s="72">
        <v>553.26</v>
      </c>
      <c r="E9" s="72">
        <v>167.02</v>
      </c>
      <c r="F9" s="72">
        <v>514.75</v>
      </c>
      <c r="G9" s="72">
        <v>557.58000000000004</v>
      </c>
      <c r="H9" s="72">
        <v>377.46</v>
      </c>
      <c r="I9" s="72">
        <v>384.62</v>
      </c>
    </row>
    <row r="10" spans="1:17" x14ac:dyDescent="0.25">
      <c r="A10" s="68">
        <v>7</v>
      </c>
      <c r="B10" s="71" t="s">
        <v>199</v>
      </c>
      <c r="C10" s="72">
        <v>346.39</v>
      </c>
      <c r="D10" s="72">
        <v>450.91</v>
      </c>
      <c r="E10" s="72">
        <v>41.53</v>
      </c>
      <c r="F10" s="72">
        <v>474.05</v>
      </c>
      <c r="G10" s="72">
        <v>445.34</v>
      </c>
      <c r="H10" s="72">
        <v>0</v>
      </c>
      <c r="I10" s="72">
        <v>391</v>
      </c>
    </row>
    <row r="11" spans="1:17" ht="15" customHeight="1" x14ac:dyDescent="0.25">
      <c r="A11" s="68">
        <v>8</v>
      </c>
      <c r="B11" s="71" t="s">
        <v>200</v>
      </c>
      <c r="C11" s="72">
        <v>270.85000000000002</v>
      </c>
      <c r="D11" s="72">
        <v>510.85</v>
      </c>
      <c r="E11" s="72">
        <v>513.13</v>
      </c>
      <c r="F11" s="72">
        <v>369.13</v>
      </c>
      <c r="G11" s="72">
        <v>0</v>
      </c>
      <c r="H11" s="72">
        <v>521.36</v>
      </c>
      <c r="I11" s="72">
        <v>399.65</v>
      </c>
    </row>
    <row r="12" spans="1:17" ht="15" customHeight="1" x14ac:dyDescent="0.25">
      <c r="A12" s="68">
        <v>9</v>
      </c>
      <c r="B12" s="71" t="s">
        <v>201</v>
      </c>
      <c r="C12" s="72">
        <v>161</v>
      </c>
      <c r="D12" s="72">
        <v>268.98</v>
      </c>
      <c r="E12" s="72">
        <v>142</v>
      </c>
      <c r="F12" s="72">
        <v>283.8</v>
      </c>
      <c r="G12" s="72">
        <v>0</v>
      </c>
      <c r="H12" s="72">
        <v>0</v>
      </c>
      <c r="I12" s="72">
        <v>292.19</v>
      </c>
    </row>
    <row r="13" spans="1:17" x14ac:dyDescent="0.25">
      <c r="A13" s="69">
        <v>10</v>
      </c>
      <c r="B13" s="71" t="s">
        <v>202</v>
      </c>
      <c r="C13" s="72">
        <v>92.76</v>
      </c>
      <c r="D13" s="72">
        <v>464.87</v>
      </c>
      <c r="E13" s="72">
        <v>47.69</v>
      </c>
      <c r="F13" s="72">
        <v>461.68</v>
      </c>
      <c r="G13" s="72">
        <v>513.69000000000005</v>
      </c>
      <c r="H13" s="72">
        <v>261.33999999999997</v>
      </c>
      <c r="I13" s="72">
        <v>296.25</v>
      </c>
    </row>
    <row r="14" spans="1:17" x14ac:dyDescent="0.25">
      <c r="A14" s="69">
        <v>11</v>
      </c>
      <c r="B14" s="71" t="s">
        <v>203</v>
      </c>
      <c r="C14" s="72">
        <v>354.38</v>
      </c>
      <c r="D14" s="72">
        <v>682.13</v>
      </c>
      <c r="E14" s="72">
        <v>304.73</v>
      </c>
      <c r="F14" s="72">
        <v>524.45000000000005</v>
      </c>
      <c r="G14" s="72">
        <v>0</v>
      </c>
      <c r="H14" s="72">
        <v>0</v>
      </c>
      <c r="I14" s="72">
        <v>428.73</v>
      </c>
    </row>
    <row r="15" spans="1:17" x14ac:dyDescent="0.25">
      <c r="A15" s="69">
        <v>12</v>
      </c>
      <c r="B15" s="71" t="s">
        <v>204</v>
      </c>
      <c r="C15" s="72">
        <v>198.32</v>
      </c>
      <c r="D15" s="72">
        <v>722.86</v>
      </c>
      <c r="E15" s="72">
        <v>115.11</v>
      </c>
      <c r="F15" s="72">
        <v>427.45</v>
      </c>
      <c r="G15" s="72">
        <v>412.11</v>
      </c>
      <c r="H15" s="72">
        <v>1075.17</v>
      </c>
      <c r="I15" s="72">
        <v>354.17</v>
      </c>
    </row>
    <row r="16" spans="1:17" ht="15" customHeight="1" x14ac:dyDescent="0.25">
      <c r="A16" s="69">
        <v>13</v>
      </c>
      <c r="B16" s="71" t="s">
        <v>205</v>
      </c>
      <c r="C16" s="72">
        <v>401.86</v>
      </c>
      <c r="D16" s="72">
        <v>621.32000000000005</v>
      </c>
      <c r="E16" s="72">
        <v>298.97000000000003</v>
      </c>
      <c r="F16" s="72">
        <v>488.89</v>
      </c>
      <c r="G16" s="72">
        <v>499.96</v>
      </c>
      <c r="H16" s="72">
        <v>0</v>
      </c>
      <c r="I16" s="72">
        <v>361.2</v>
      </c>
    </row>
    <row r="17" spans="1:9" ht="15" customHeight="1" x14ac:dyDescent="0.25">
      <c r="A17" s="69">
        <v>14</v>
      </c>
      <c r="B17" s="71" t="s">
        <v>206</v>
      </c>
      <c r="C17" s="72">
        <v>482.23</v>
      </c>
      <c r="D17" s="72">
        <v>845.97</v>
      </c>
      <c r="E17" s="72">
        <v>205.91</v>
      </c>
      <c r="F17" s="72">
        <v>602.41</v>
      </c>
      <c r="G17" s="72">
        <v>658.69</v>
      </c>
      <c r="H17" s="72">
        <v>0</v>
      </c>
      <c r="I17" s="72">
        <v>466.29</v>
      </c>
    </row>
    <row r="18" spans="1:9" ht="15" customHeight="1" x14ac:dyDescent="0.25">
      <c r="A18" s="69">
        <v>15</v>
      </c>
      <c r="B18" s="71" t="s">
        <v>207</v>
      </c>
      <c r="C18" s="72">
        <v>269.39</v>
      </c>
      <c r="D18" s="72">
        <v>528.79999999999995</v>
      </c>
      <c r="E18" s="72">
        <v>165.27</v>
      </c>
      <c r="F18" s="72">
        <v>403.71</v>
      </c>
      <c r="G18" s="72">
        <v>0</v>
      </c>
      <c r="H18" s="72">
        <v>145.51</v>
      </c>
      <c r="I18" s="72">
        <v>337.35</v>
      </c>
    </row>
    <row r="19" spans="1:9" x14ac:dyDescent="0.25">
      <c r="A19" s="69">
        <v>16</v>
      </c>
      <c r="B19" s="71" t="s">
        <v>208</v>
      </c>
      <c r="C19" s="72">
        <v>242.36</v>
      </c>
      <c r="D19" s="72">
        <v>491.55</v>
      </c>
      <c r="E19" s="72">
        <v>112.36</v>
      </c>
      <c r="F19" s="72">
        <v>411.78</v>
      </c>
      <c r="G19" s="72">
        <v>457.39</v>
      </c>
      <c r="H19" s="72">
        <v>0</v>
      </c>
      <c r="I19" s="72">
        <v>370.94</v>
      </c>
    </row>
    <row r="20" spans="1:9" x14ac:dyDescent="0.25">
      <c r="A20" s="69">
        <v>17</v>
      </c>
      <c r="B20" s="71" t="s">
        <v>209</v>
      </c>
      <c r="C20" s="72">
        <v>318.49</v>
      </c>
      <c r="D20" s="72">
        <v>509.72</v>
      </c>
      <c r="E20" s="72">
        <v>51.33</v>
      </c>
      <c r="F20" s="72">
        <v>434.01</v>
      </c>
      <c r="G20" s="72">
        <v>520.83000000000004</v>
      </c>
      <c r="H20" s="72">
        <v>199.57</v>
      </c>
      <c r="I20" s="72">
        <v>292.49</v>
      </c>
    </row>
    <row r="21" spans="1:9" x14ac:dyDescent="0.25">
      <c r="A21" s="69">
        <v>18</v>
      </c>
      <c r="B21" s="71" t="s">
        <v>210</v>
      </c>
      <c r="C21" s="72">
        <v>361.79</v>
      </c>
      <c r="D21" s="72">
        <v>533.73</v>
      </c>
      <c r="E21" s="72">
        <v>127.12</v>
      </c>
      <c r="F21" s="72">
        <v>415.42</v>
      </c>
      <c r="G21" s="72">
        <v>403.56</v>
      </c>
      <c r="H21" s="72">
        <v>518.24</v>
      </c>
      <c r="I21" s="72">
        <v>306.8</v>
      </c>
    </row>
    <row r="22" spans="1:9" ht="15" customHeight="1" x14ac:dyDescent="0.25">
      <c r="A22" s="69">
        <v>19</v>
      </c>
      <c r="B22" s="71" t="s">
        <v>211</v>
      </c>
      <c r="C22" s="72">
        <v>169.29</v>
      </c>
      <c r="D22" s="72">
        <v>671.14</v>
      </c>
      <c r="E22" s="72">
        <v>0.08</v>
      </c>
      <c r="F22" s="72">
        <v>486.16</v>
      </c>
      <c r="G22" s="72">
        <v>0</v>
      </c>
      <c r="H22" s="72">
        <v>1053.05</v>
      </c>
      <c r="I22" s="72">
        <v>339.72</v>
      </c>
    </row>
    <row r="23" spans="1:9" ht="15" customHeight="1" x14ac:dyDescent="0.25">
      <c r="A23" s="69">
        <v>20</v>
      </c>
      <c r="B23" s="71" t="s">
        <v>212</v>
      </c>
      <c r="C23" s="72">
        <v>271.38</v>
      </c>
      <c r="D23" s="72">
        <v>441.91</v>
      </c>
      <c r="E23" s="72">
        <v>195.85</v>
      </c>
      <c r="F23" s="72">
        <v>496.28</v>
      </c>
      <c r="G23" s="72">
        <v>412.38</v>
      </c>
      <c r="H23" s="72">
        <v>0</v>
      </c>
      <c r="I23" s="72">
        <v>346.61</v>
      </c>
    </row>
    <row r="24" spans="1:9" ht="15" customHeight="1" x14ac:dyDescent="0.25">
      <c r="A24" s="69">
        <v>21</v>
      </c>
      <c r="B24" s="71" t="s">
        <v>213</v>
      </c>
      <c r="C24" s="72">
        <v>241.54</v>
      </c>
      <c r="D24" s="72">
        <v>415.56</v>
      </c>
      <c r="E24" s="72">
        <v>162.63</v>
      </c>
      <c r="F24" s="72">
        <v>414.42</v>
      </c>
      <c r="G24" s="72">
        <v>512.82000000000005</v>
      </c>
      <c r="H24" s="72">
        <v>583.6</v>
      </c>
      <c r="I24" s="72">
        <v>364.34</v>
      </c>
    </row>
    <row r="25" spans="1:9" ht="15" customHeight="1" x14ac:dyDescent="0.25">
      <c r="A25" s="69">
        <v>22</v>
      </c>
      <c r="B25" s="71" t="s">
        <v>214</v>
      </c>
      <c r="C25" s="72">
        <v>412.1</v>
      </c>
      <c r="D25" s="72">
        <v>583.01</v>
      </c>
      <c r="E25" s="72">
        <v>145.59</v>
      </c>
      <c r="F25" s="72">
        <v>557.52</v>
      </c>
      <c r="G25" s="72">
        <v>518.79999999999995</v>
      </c>
      <c r="H25" s="72">
        <v>311.45999999999998</v>
      </c>
      <c r="I25" s="72">
        <v>452.79</v>
      </c>
    </row>
    <row r="26" spans="1:9" ht="15" customHeight="1" x14ac:dyDescent="0.25">
      <c r="A26" s="73" t="s">
        <v>215</v>
      </c>
      <c r="B26" s="73"/>
      <c r="C26" s="73"/>
      <c r="D26" s="73"/>
      <c r="E26" s="73"/>
      <c r="F26" s="73"/>
      <c r="G26" s="73"/>
      <c r="H26" s="73"/>
      <c r="I26" s="73"/>
    </row>
    <row r="27" spans="1:9" x14ac:dyDescent="0.25">
      <c r="A27" s="70" t="s">
        <v>216</v>
      </c>
      <c r="B27" s="17"/>
      <c r="C27" s="17"/>
      <c r="D27" s="17"/>
      <c r="E27" s="17"/>
      <c r="F27" s="17"/>
      <c r="G27" s="17"/>
      <c r="H27" s="17"/>
      <c r="I27" s="17"/>
    </row>
    <row r="28" spans="1:9" ht="15" customHeight="1" x14ac:dyDescent="0.25">
      <c r="A28" s="68">
        <v>1</v>
      </c>
      <c r="B28" s="71" t="s">
        <v>217</v>
      </c>
      <c r="C28" s="72">
        <v>315</v>
      </c>
      <c r="D28" s="72">
        <v>389.93</v>
      </c>
      <c r="E28" s="72">
        <v>0</v>
      </c>
      <c r="F28" s="72">
        <v>315.10000000000002</v>
      </c>
      <c r="G28" s="72">
        <v>0</v>
      </c>
      <c r="H28" s="72">
        <v>280</v>
      </c>
      <c r="I28" s="72">
        <v>300.39</v>
      </c>
    </row>
    <row r="29" spans="1:9" x14ac:dyDescent="0.25">
      <c r="A29" s="68">
        <v>2</v>
      </c>
      <c r="B29" s="71" t="s">
        <v>218</v>
      </c>
      <c r="C29" s="72">
        <v>152.86000000000001</v>
      </c>
      <c r="D29" s="72">
        <v>240.98</v>
      </c>
      <c r="E29" s="72">
        <v>112.35</v>
      </c>
      <c r="F29" s="72">
        <v>442.99</v>
      </c>
      <c r="G29" s="72">
        <v>0</v>
      </c>
      <c r="H29" s="72">
        <v>271.10000000000002</v>
      </c>
      <c r="I29" s="72">
        <v>326.68</v>
      </c>
    </row>
    <row r="30" spans="1:9" x14ac:dyDescent="0.25">
      <c r="A30" s="68">
        <v>3</v>
      </c>
      <c r="B30" s="71" t="s">
        <v>219</v>
      </c>
      <c r="C30" s="72">
        <v>273.77999999999997</v>
      </c>
      <c r="D30" s="72">
        <v>312.72000000000003</v>
      </c>
      <c r="E30" s="72">
        <v>270.86</v>
      </c>
      <c r="F30" s="72">
        <v>280.7</v>
      </c>
      <c r="G30" s="72">
        <v>0</v>
      </c>
      <c r="H30" s="72">
        <v>245.69</v>
      </c>
      <c r="I30" s="72">
        <v>290.72000000000003</v>
      </c>
    </row>
    <row r="31" spans="1:9" x14ac:dyDescent="0.25">
      <c r="A31" s="68">
        <v>4</v>
      </c>
      <c r="B31" s="71" t="s">
        <v>220</v>
      </c>
      <c r="C31" s="72">
        <v>163.36000000000001</v>
      </c>
      <c r="D31" s="72">
        <v>337.84</v>
      </c>
      <c r="E31" s="72">
        <v>0</v>
      </c>
      <c r="F31" s="72">
        <v>263.19</v>
      </c>
      <c r="G31" s="72">
        <v>0</v>
      </c>
      <c r="H31" s="72">
        <v>188.98</v>
      </c>
      <c r="I31" s="72">
        <v>222.45</v>
      </c>
    </row>
    <row r="32" spans="1:9" x14ac:dyDescent="0.25">
      <c r="A32" s="68">
        <v>5</v>
      </c>
      <c r="B32" s="71" t="s">
        <v>221</v>
      </c>
      <c r="C32" s="72">
        <v>210</v>
      </c>
      <c r="D32" s="72">
        <v>360.15</v>
      </c>
      <c r="E32" s="72">
        <v>0</v>
      </c>
      <c r="F32" s="72">
        <v>290.31</v>
      </c>
      <c r="G32" s="72">
        <v>0</v>
      </c>
      <c r="H32" s="72">
        <v>307</v>
      </c>
      <c r="I32" s="72">
        <v>261.41000000000003</v>
      </c>
    </row>
    <row r="33" spans="1:19" ht="15" customHeight="1" x14ac:dyDescent="0.25">
      <c r="A33" s="68">
        <v>6</v>
      </c>
      <c r="B33" s="71" t="s">
        <v>222</v>
      </c>
      <c r="C33" s="72">
        <v>101.63</v>
      </c>
      <c r="D33" s="72">
        <v>289.92</v>
      </c>
      <c r="E33" s="72">
        <v>2.08</v>
      </c>
      <c r="F33" s="72">
        <v>339.85</v>
      </c>
      <c r="G33" s="72">
        <v>0</v>
      </c>
      <c r="H33" s="72">
        <v>257.20999999999998</v>
      </c>
      <c r="I33" s="72">
        <v>264.42</v>
      </c>
    </row>
    <row r="34" spans="1:19" x14ac:dyDescent="0.25">
      <c r="A34" s="68">
        <v>7</v>
      </c>
      <c r="B34" s="71" t="s">
        <v>223</v>
      </c>
      <c r="C34" s="72">
        <v>160</v>
      </c>
      <c r="D34" s="72">
        <v>260.04000000000002</v>
      </c>
      <c r="E34" s="72">
        <v>0</v>
      </c>
      <c r="F34" s="72">
        <v>235</v>
      </c>
      <c r="G34" s="72">
        <v>0</v>
      </c>
      <c r="H34" s="72">
        <v>374.63</v>
      </c>
      <c r="I34" s="72">
        <v>287.68</v>
      </c>
    </row>
    <row r="35" spans="1:19" x14ac:dyDescent="0.25">
      <c r="A35" s="68">
        <v>8</v>
      </c>
      <c r="B35" s="71" t="s">
        <v>224</v>
      </c>
      <c r="C35" s="72">
        <v>294.22000000000003</v>
      </c>
      <c r="D35" s="72">
        <v>419.2</v>
      </c>
      <c r="E35" s="72">
        <v>250.15</v>
      </c>
      <c r="F35" s="72">
        <v>436.6</v>
      </c>
      <c r="G35" s="72">
        <v>0</v>
      </c>
      <c r="H35" s="72">
        <v>288.54000000000002</v>
      </c>
      <c r="I35" s="72">
        <v>314.31</v>
      </c>
    </row>
    <row r="36" spans="1:19" ht="15" customHeight="1" x14ac:dyDescent="0.25">
      <c r="A36" s="73" t="s">
        <v>225</v>
      </c>
      <c r="B36" s="73"/>
      <c r="C36" s="74"/>
      <c r="D36" s="74"/>
      <c r="E36" s="74"/>
      <c r="F36" s="74"/>
      <c r="G36" s="74"/>
      <c r="H36" s="74"/>
      <c r="I36" s="74"/>
    </row>
    <row r="37" spans="1:19" ht="15" customHeight="1" x14ac:dyDescent="0.25">
      <c r="A37" s="73" t="s">
        <v>226</v>
      </c>
      <c r="B37" s="73"/>
      <c r="C37" s="74"/>
      <c r="D37" s="74"/>
      <c r="E37" s="74"/>
      <c r="F37" s="74"/>
      <c r="G37" s="74"/>
      <c r="H37" s="74"/>
      <c r="I37" s="74"/>
    </row>
    <row r="39" spans="1:19" x14ac:dyDescent="0.25">
      <c r="A39" s="82" t="s">
        <v>276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 x14ac:dyDescent="0.25">
      <c r="A40" s="82" t="s">
        <v>233</v>
      </c>
      <c r="B40" s="17"/>
      <c r="C40" s="17"/>
      <c r="D40" s="17"/>
      <c r="E40" s="17"/>
      <c r="F40" s="17"/>
      <c r="G40" s="17"/>
      <c r="H40" s="17"/>
      <c r="I40" s="17"/>
      <c r="J40" s="17"/>
    </row>
    <row r="41" spans="1:19" ht="52.5" x14ac:dyDescent="0.25">
      <c r="A41" s="87" t="s">
        <v>277</v>
      </c>
      <c r="B41" s="87"/>
      <c r="C41" s="87"/>
      <c r="D41" s="87"/>
      <c r="E41" s="87"/>
      <c r="F41" s="87"/>
      <c r="G41" s="87"/>
      <c r="H41" s="87"/>
      <c r="I41" s="87"/>
      <c r="J41" s="87"/>
    </row>
    <row r="42" spans="1:19" ht="15" customHeight="1" x14ac:dyDescent="0.25">
      <c r="A42" s="83" t="s">
        <v>234</v>
      </c>
      <c r="B42" s="88" t="s">
        <v>235</v>
      </c>
      <c r="C42" s="88" t="s">
        <v>236</v>
      </c>
      <c r="D42" s="88" t="s">
        <v>237</v>
      </c>
      <c r="E42" s="88" t="s">
        <v>238</v>
      </c>
      <c r="F42" s="88" t="s">
        <v>239</v>
      </c>
      <c r="G42" s="88" t="s">
        <v>240</v>
      </c>
      <c r="H42" s="88" t="s">
        <v>241</v>
      </c>
      <c r="I42" s="88" t="s">
        <v>242</v>
      </c>
      <c r="J42" s="88" t="s">
        <v>243</v>
      </c>
    </row>
    <row r="43" spans="1:19" x14ac:dyDescent="0.25">
      <c r="A43" s="84" t="s">
        <v>244</v>
      </c>
      <c r="B43" s="17"/>
      <c r="C43" s="17" t="s">
        <v>283</v>
      </c>
      <c r="D43" s="17" t="s">
        <v>284</v>
      </c>
      <c r="E43" s="17" t="s">
        <v>285</v>
      </c>
      <c r="F43" s="17" t="s">
        <v>286</v>
      </c>
      <c r="G43" s="17" t="s">
        <v>275</v>
      </c>
      <c r="H43" s="17"/>
      <c r="I43" s="17"/>
      <c r="J43" s="17"/>
    </row>
    <row r="44" spans="1:19" ht="15" customHeight="1" x14ac:dyDescent="0.25">
      <c r="A44" s="85">
        <v>1</v>
      </c>
      <c r="B44" s="90" t="s">
        <v>245</v>
      </c>
      <c r="C44" s="91">
        <v>15369.4</v>
      </c>
      <c r="D44" s="91">
        <v>4126</v>
      </c>
      <c r="E44" s="91">
        <v>20191</v>
      </c>
      <c r="F44" s="91">
        <v>22639</v>
      </c>
      <c r="G44" s="91">
        <v>1713</v>
      </c>
      <c r="H44" s="91">
        <v>946</v>
      </c>
      <c r="I44" s="91">
        <v>5916.6</v>
      </c>
      <c r="J44" s="91">
        <v>70901</v>
      </c>
    </row>
    <row r="45" spans="1:19" x14ac:dyDescent="0.25">
      <c r="A45" s="85">
        <v>2</v>
      </c>
      <c r="B45" s="90" t="s">
        <v>246</v>
      </c>
      <c r="C45" s="91">
        <v>1487.3</v>
      </c>
      <c r="D45" s="91">
        <v>621.9</v>
      </c>
      <c r="E45" s="91">
        <v>32</v>
      </c>
      <c r="F45" s="91">
        <v>1294.4000000000001</v>
      </c>
      <c r="G45" s="91">
        <v>0</v>
      </c>
      <c r="H45" s="91">
        <v>146</v>
      </c>
      <c r="I45" s="91">
        <v>533.6</v>
      </c>
      <c r="J45" s="91">
        <v>4115.2</v>
      </c>
    </row>
    <row r="46" spans="1:19" x14ac:dyDescent="0.25">
      <c r="A46" s="85">
        <v>3</v>
      </c>
      <c r="B46" s="90" t="s">
        <v>247</v>
      </c>
      <c r="C46" s="91">
        <v>2368.1999999999998</v>
      </c>
      <c r="D46" s="91">
        <v>520.70000000000005</v>
      </c>
      <c r="E46" s="91">
        <v>363</v>
      </c>
      <c r="F46" s="91">
        <v>1673.3</v>
      </c>
      <c r="G46" s="91">
        <v>537.4</v>
      </c>
      <c r="H46" s="91">
        <v>1164.4000000000001</v>
      </c>
      <c r="I46" s="91">
        <v>67.900000000000006</v>
      </c>
      <c r="J46" s="91">
        <v>6694.9</v>
      </c>
    </row>
    <row r="47" spans="1:19" x14ac:dyDescent="0.25">
      <c r="A47" s="85">
        <v>4</v>
      </c>
      <c r="B47" s="90" t="s">
        <v>248</v>
      </c>
      <c r="C47" s="91">
        <v>3312.1</v>
      </c>
      <c r="D47" s="91">
        <v>975.2</v>
      </c>
      <c r="E47" s="91">
        <v>2181</v>
      </c>
      <c r="F47" s="91">
        <v>5542.5</v>
      </c>
      <c r="G47" s="91">
        <v>788.9</v>
      </c>
      <c r="H47" s="91">
        <v>805.8</v>
      </c>
      <c r="I47" s="91">
        <v>377.2</v>
      </c>
      <c r="J47" s="91">
        <v>13982.7</v>
      </c>
    </row>
    <row r="48" spans="1:19" x14ac:dyDescent="0.25">
      <c r="A48" s="85">
        <v>5</v>
      </c>
      <c r="B48" s="90" t="s">
        <v>278</v>
      </c>
      <c r="C48" s="91">
        <v>2893</v>
      </c>
      <c r="D48" s="91">
        <v>1227</v>
      </c>
      <c r="E48" s="91">
        <v>17</v>
      </c>
      <c r="F48" s="91">
        <v>2014</v>
      </c>
      <c r="G48" s="91">
        <v>57</v>
      </c>
      <c r="H48" s="91">
        <v>1680</v>
      </c>
      <c r="I48" s="91">
        <v>494</v>
      </c>
      <c r="J48" s="91">
        <v>8382</v>
      </c>
    </row>
    <row r="49" spans="1:10" x14ac:dyDescent="0.25">
      <c r="A49" s="85">
        <v>6</v>
      </c>
      <c r="B49" s="90" t="s">
        <v>249</v>
      </c>
      <c r="C49" s="91">
        <v>7473</v>
      </c>
      <c r="D49" s="91">
        <v>1320</v>
      </c>
      <c r="E49" s="91">
        <v>13947</v>
      </c>
      <c r="F49" s="91">
        <v>22957</v>
      </c>
      <c r="G49" s="91">
        <v>697</v>
      </c>
      <c r="H49" s="91">
        <v>7149</v>
      </c>
      <c r="I49" s="91">
        <v>1338</v>
      </c>
      <c r="J49" s="91">
        <v>54881</v>
      </c>
    </row>
    <row r="50" spans="1:10" ht="15" customHeight="1" x14ac:dyDescent="0.25">
      <c r="A50" s="85">
        <v>7</v>
      </c>
      <c r="B50" s="90" t="s">
        <v>250</v>
      </c>
      <c r="C50" s="91">
        <v>5569.3</v>
      </c>
      <c r="D50" s="91">
        <v>2771.2</v>
      </c>
      <c r="E50" s="91">
        <v>9259.7999999999993</v>
      </c>
      <c r="F50" s="91">
        <v>7498.7</v>
      </c>
      <c r="G50" s="91">
        <v>551.4</v>
      </c>
      <c r="H50" s="91">
        <v>2113.9</v>
      </c>
      <c r="I50" s="91">
        <v>1210</v>
      </c>
      <c r="J50" s="91">
        <v>28974.2</v>
      </c>
    </row>
    <row r="51" spans="1:10" ht="15" customHeight="1" x14ac:dyDescent="0.25">
      <c r="A51" s="85">
        <v>8</v>
      </c>
      <c r="B51" s="90" t="s">
        <v>251</v>
      </c>
      <c r="C51" s="91">
        <v>1407.3</v>
      </c>
      <c r="D51" s="91">
        <v>387.2</v>
      </c>
      <c r="E51" s="91">
        <v>36.200000000000003</v>
      </c>
      <c r="F51" s="91">
        <v>4314.6000000000004</v>
      </c>
      <c r="G51" s="91">
        <v>0</v>
      </c>
      <c r="H51" s="91">
        <v>1598.6</v>
      </c>
      <c r="I51" s="91">
        <v>772.9</v>
      </c>
      <c r="J51" s="91">
        <v>8516.7999999999993</v>
      </c>
    </row>
    <row r="52" spans="1:10" ht="15" customHeight="1" x14ac:dyDescent="0.25">
      <c r="A52" s="85">
        <v>9</v>
      </c>
      <c r="B52" s="90" t="s">
        <v>252</v>
      </c>
      <c r="C52" s="91">
        <v>1432</v>
      </c>
      <c r="D52" s="91">
        <v>333.3</v>
      </c>
      <c r="E52" s="91">
        <v>140.69999999999999</v>
      </c>
      <c r="F52" s="91">
        <v>849.5</v>
      </c>
      <c r="G52" s="91">
        <v>0</v>
      </c>
      <c r="H52" s="91">
        <v>0</v>
      </c>
      <c r="I52" s="91">
        <v>1511.6</v>
      </c>
      <c r="J52" s="91">
        <v>4267</v>
      </c>
    </row>
    <row r="53" spans="1:10" x14ac:dyDescent="0.25">
      <c r="A53" s="86">
        <v>10</v>
      </c>
      <c r="B53" s="90" t="s">
        <v>253</v>
      </c>
      <c r="C53" s="91">
        <v>2483.3000000000002</v>
      </c>
      <c r="D53" s="91">
        <v>339.8</v>
      </c>
      <c r="E53" s="91">
        <v>64.8</v>
      </c>
      <c r="F53" s="91">
        <v>2331.1999999999998</v>
      </c>
      <c r="G53" s="91">
        <v>641.20000000000005</v>
      </c>
      <c r="H53" s="91">
        <v>435.4</v>
      </c>
      <c r="I53" s="91">
        <v>202.5</v>
      </c>
      <c r="J53" s="91">
        <v>6498.2</v>
      </c>
    </row>
    <row r="54" spans="1:10" x14ac:dyDescent="0.25">
      <c r="A54" s="86">
        <v>11</v>
      </c>
      <c r="B54" s="90" t="s">
        <v>254</v>
      </c>
      <c r="C54" s="91">
        <v>8755.9</v>
      </c>
      <c r="D54" s="91">
        <v>5393.5</v>
      </c>
      <c r="E54" s="91">
        <v>15901.7</v>
      </c>
      <c r="F54" s="91">
        <v>9225.6</v>
      </c>
      <c r="G54" s="91">
        <v>0</v>
      </c>
      <c r="H54" s="91">
        <v>0</v>
      </c>
      <c r="I54" s="91">
        <v>3174.5</v>
      </c>
      <c r="J54" s="91">
        <v>42451.199999999997</v>
      </c>
    </row>
    <row r="55" spans="1:10" ht="15" customHeight="1" x14ac:dyDescent="0.25">
      <c r="A55" s="86">
        <v>12</v>
      </c>
      <c r="B55" s="90" t="s">
        <v>255</v>
      </c>
      <c r="C55" s="91">
        <v>7703.2</v>
      </c>
      <c r="D55" s="91">
        <v>2141.1999999999998</v>
      </c>
      <c r="E55" s="91">
        <v>286.2</v>
      </c>
      <c r="F55" s="91">
        <v>4926.3999999999996</v>
      </c>
      <c r="G55" s="91">
        <v>154.5</v>
      </c>
      <c r="H55" s="91">
        <v>201.1</v>
      </c>
      <c r="I55" s="91">
        <v>567.9</v>
      </c>
      <c r="J55" s="91">
        <v>15980.5</v>
      </c>
    </row>
    <row r="56" spans="1:10" ht="15" customHeight="1" x14ac:dyDescent="0.25">
      <c r="A56" s="86">
        <v>13</v>
      </c>
      <c r="B56" s="90" t="s">
        <v>256</v>
      </c>
      <c r="C56" s="91">
        <v>6477</v>
      </c>
      <c r="D56" s="91">
        <v>1628.2</v>
      </c>
      <c r="E56" s="91">
        <v>8944</v>
      </c>
      <c r="F56" s="91">
        <v>7297.7</v>
      </c>
      <c r="G56" s="91">
        <v>1702.7</v>
      </c>
      <c r="H56" s="91">
        <v>0</v>
      </c>
      <c r="I56" s="91">
        <v>2397.1</v>
      </c>
      <c r="J56" s="91">
        <v>28446.7</v>
      </c>
    </row>
    <row r="57" spans="1:10" ht="15" customHeight="1" x14ac:dyDescent="0.25">
      <c r="A57" s="86">
        <v>14</v>
      </c>
      <c r="B57" s="90" t="s">
        <v>257</v>
      </c>
      <c r="C57" s="91">
        <v>13369.7</v>
      </c>
      <c r="D57" s="91">
        <v>5120.2</v>
      </c>
      <c r="E57" s="91">
        <v>21611.9</v>
      </c>
      <c r="F57" s="91">
        <v>30478.1</v>
      </c>
      <c r="G57" s="91">
        <v>1325</v>
      </c>
      <c r="H57" s="91">
        <v>0</v>
      </c>
      <c r="I57" s="91">
        <v>8227.6</v>
      </c>
      <c r="J57" s="91">
        <v>80132.600000000006</v>
      </c>
    </row>
    <row r="58" spans="1:10" x14ac:dyDescent="0.25">
      <c r="A58" s="86">
        <v>15</v>
      </c>
      <c r="B58" s="90" t="s">
        <v>258</v>
      </c>
      <c r="C58" s="91">
        <v>307.10000000000002</v>
      </c>
      <c r="D58" s="91">
        <v>75.599999999999994</v>
      </c>
      <c r="E58" s="91">
        <v>0.4</v>
      </c>
      <c r="F58" s="91">
        <v>519.9</v>
      </c>
      <c r="G58" s="91">
        <v>0</v>
      </c>
      <c r="H58" s="91">
        <v>106.8</v>
      </c>
      <c r="I58" s="91">
        <v>171.9</v>
      </c>
      <c r="J58" s="91">
        <v>1181.5999999999999</v>
      </c>
    </row>
    <row r="59" spans="1:10" x14ac:dyDescent="0.25">
      <c r="A59" s="86">
        <v>16</v>
      </c>
      <c r="B59" s="90" t="s">
        <v>279</v>
      </c>
      <c r="C59" s="91">
        <v>3964</v>
      </c>
      <c r="D59" s="91">
        <v>1297</v>
      </c>
      <c r="E59" s="91">
        <v>163</v>
      </c>
      <c r="F59" s="91">
        <v>6521</v>
      </c>
      <c r="G59" s="91">
        <v>616</v>
      </c>
      <c r="H59" s="91">
        <v>0</v>
      </c>
      <c r="I59" s="91">
        <v>494</v>
      </c>
      <c r="J59" s="91">
        <v>13055</v>
      </c>
    </row>
    <row r="60" spans="1:10" x14ac:dyDescent="0.25">
      <c r="A60" s="86">
        <v>17</v>
      </c>
      <c r="B60" s="90" t="s">
        <v>259</v>
      </c>
      <c r="C60" s="91">
        <v>8818</v>
      </c>
      <c r="D60" s="91">
        <v>2682</v>
      </c>
      <c r="E60" s="91">
        <v>10256</v>
      </c>
      <c r="F60" s="91">
        <v>11702</v>
      </c>
      <c r="G60" s="91">
        <v>138</v>
      </c>
      <c r="H60" s="91">
        <v>445</v>
      </c>
      <c r="I60" s="91">
        <v>1003.9</v>
      </c>
      <c r="J60" s="91">
        <v>35044.9</v>
      </c>
    </row>
    <row r="61" spans="1:10" ht="15" customHeight="1" x14ac:dyDescent="0.25">
      <c r="A61" s="86">
        <v>18</v>
      </c>
      <c r="B61" s="90" t="s">
        <v>260</v>
      </c>
      <c r="C61" s="91">
        <v>7267</v>
      </c>
      <c r="D61" s="91">
        <v>2271</v>
      </c>
      <c r="E61" s="91">
        <v>15086.7</v>
      </c>
      <c r="F61" s="91">
        <v>9982.6</v>
      </c>
      <c r="G61" s="91">
        <v>370.3</v>
      </c>
      <c r="H61" s="91">
        <v>414</v>
      </c>
      <c r="I61" s="91">
        <v>2512.1999999999998</v>
      </c>
      <c r="J61" s="91">
        <v>37903.800000000003</v>
      </c>
    </row>
    <row r="62" spans="1:10" x14ac:dyDescent="0.25">
      <c r="A62" s="86">
        <v>19</v>
      </c>
      <c r="B62" s="90" t="s">
        <v>261</v>
      </c>
      <c r="C62" s="91">
        <v>17742</v>
      </c>
      <c r="D62" s="91">
        <v>6823</v>
      </c>
      <c r="E62" s="91">
        <v>10124</v>
      </c>
      <c r="F62" s="91">
        <v>21968</v>
      </c>
      <c r="G62" s="91">
        <v>0</v>
      </c>
      <c r="H62" s="91">
        <v>400</v>
      </c>
      <c r="I62" s="91">
        <v>4170</v>
      </c>
      <c r="J62" s="91">
        <v>61227</v>
      </c>
    </row>
    <row r="63" spans="1:10" ht="15" customHeight="1" x14ac:dyDescent="0.25">
      <c r="A63" s="86">
        <v>20</v>
      </c>
      <c r="B63" s="90" t="s">
        <v>262</v>
      </c>
      <c r="C63" s="91">
        <v>17809</v>
      </c>
      <c r="D63" s="91">
        <v>3522.3</v>
      </c>
      <c r="E63" s="91">
        <v>8756</v>
      </c>
      <c r="F63" s="91">
        <v>11844</v>
      </c>
      <c r="G63" s="91">
        <v>709</v>
      </c>
      <c r="H63" s="91">
        <v>0</v>
      </c>
      <c r="I63" s="91">
        <v>7953</v>
      </c>
      <c r="J63" s="91">
        <v>50593.3</v>
      </c>
    </row>
    <row r="64" spans="1:10" ht="15" customHeight="1" x14ac:dyDescent="0.25">
      <c r="A64" s="86">
        <v>21</v>
      </c>
      <c r="B64" s="90" t="s">
        <v>263</v>
      </c>
      <c r="C64" s="91">
        <v>1675.9</v>
      </c>
      <c r="D64" s="91">
        <v>1046.5</v>
      </c>
      <c r="E64" s="91">
        <v>325</v>
      </c>
      <c r="F64" s="91">
        <v>4805.5</v>
      </c>
      <c r="G64" s="91">
        <v>8.4</v>
      </c>
      <c r="H64" s="91">
        <v>0</v>
      </c>
      <c r="I64" s="91">
        <v>391.4</v>
      </c>
      <c r="J64" s="91">
        <v>8252.7000000000007</v>
      </c>
    </row>
    <row r="65" spans="1:18" x14ac:dyDescent="0.25">
      <c r="A65" s="86">
        <v>22</v>
      </c>
      <c r="B65" s="90" t="s">
        <v>264</v>
      </c>
      <c r="C65" s="91">
        <v>6074.1</v>
      </c>
      <c r="D65" s="91">
        <v>3086.4</v>
      </c>
      <c r="E65" s="91">
        <v>1295.8</v>
      </c>
      <c r="F65" s="91">
        <v>7032.6</v>
      </c>
      <c r="G65" s="91">
        <v>901.4</v>
      </c>
      <c r="H65" s="91">
        <v>1156</v>
      </c>
      <c r="I65" s="91">
        <v>2655.1</v>
      </c>
      <c r="J65" s="91">
        <v>22201.3</v>
      </c>
    </row>
    <row r="66" spans="1:18" ht="31.5" customHeight="1" x14ac:dyDescent="0.25">
      <c r="A66" s="89" t="s">
        <v>280</v>
      </c>
      <c r="B66" s="89"/>
      <c r="C66" s="89"/>
      <c r="D66" s="89"/>
      <c r="E66" s="89"/>
      <c r="F66" s="89"/>
      <c r="G66" s="89"/>
      <c r="H66" s="89"/>
      <c r="I66" s="89"/>
      <c r="J66" s="89"/>
    </row>
    <row r="67" spans="1:18" x14ac:dyDescent="0.25">
      <c r="A67" s="84" t="s">
        <v>265</v>
      </c>
      <c r="B67" s="17"/>
      <c r="C67" s="17"/>
      <c r="D67" s="17"/>
      <c r="E67" s="17"/>
      <c r="F67" s="17"/>
      <c r="G67" s="17"/>
      <c r="H67" s="17"/>
      <c r="I67" s="17"/>
      <c r="J67" s="17"/>
    </row>
    <row r="68" spans="1:18" ht="15" customHeight="1" x14ac:dyDescent="0.25">
      <c r="A68" s="85">
        <v>1</v>
      </c>
      <c r="B68" s="90" t="s">
        <v>266</v>
      </c>
      <c r="C68" s="91">
        <v>114</v>
      </c>
      <c r="D68" s="91">
        <v>19.3</v>
      </c>
      <c r="E68" s="91">
        <v>0</v>
      </c>
      <c r="F68" s="91">
        <v>94.8</v>
      </c>
      <c r="G68" s="91">
        <v>0</v>
      </c>
      <c r="H68" s="91">
        <v>65.400000000000006</v>
      </c>
      <c r="I68" s="91">
        <v>16.600000000000001</v>
      </c>
      <c r="J68" s="91">
        <v>310</v>
      </c>
    </row>
    <row r="69" spans="1:18" x14ac:dyDescent="0.25">
      <c r="A69" s="85">
        <v>2</v>
      </c>
      <c r="B69" s="90" t="s">
        <v>267</v>
      </c>
      <c r="C69" s="91">
        <v>708</v>
      </c>
      <c r="D69" s="91">
        <v>461</v>
      </c>
      <c r="E69" s="91">
        <v>19</v>
      </c>
      <c r="F69" s="91">
        <v>1426</v>
      </c>
      <c r="G69" s="91">
        <v>0</v>
      </c>
      <c r="H69" s="91">
        <v>423</v>
      </c>
      <c r="I69" s="91">
        <v>138.69999999999999</v>
      </c>
      <c r="J69" s="91">
        <v>3175.6</v>
      </c>
    </row>
    <row r="70" spans="1:18" x14ac:dyDescent="0.25">
      <c r="A70" s="85">
        <v>3</v>
      </c>
      <c r="B70" s="90" t="s">
        <v>268</v>
      </c>
      <c r="C70" s="91">
        <v>173.7</v>
      </c>
      <c r="D70" s="91">
        <v>27.2</v>
      </c>
      <c r="E70" s="91">
        <v>0.8</v>
      </c>
      <c r="F70" s="91">
        <v>29.3</v>
      </c>
      <c r="G70" s="91">
        <v>0</v>
      </c>
      <c r="H70" s="91">
        <v>103.9</v>
      </c>
      <c r="I70" s="91">
        <v>93.8</v>
      </c>
      <c r="J70" s="91">
        <v>428.7</v>
      </c>
    </row>
    <row r="71" spans="1:18" x14ac:dyDescent="0.25">
      <c r="A71" s="85">
        <v>4</v>
      </c>
      <c r="B71" s="90" t="s">
        <v>269</v>
      </c>
      <c r="C71" s="91">
        <v>171.2</v>
      </c>
      <c r="D71" s="91">
        <v>18.899999999999999</v>
      </c>
      <c r="E71" s="91">
        <v>0.1</v>
      </c>
      <c r="F71" s="91">
        <v>2.1</v>
      </c>
      <c r="G71" s="91">
        <v>0</v>
      </c>
      <c r="H71" s="91">
        <v>64.3</v>
      </c>
      <c r="I71" s="91">
        <v>59.7</v>
      </c>
      <c r="J71" s="91">
        <v>316.2</v>
      </c>
    </row>
    <row r="72" spans="1:18" x14ac:dyDescent="0.25">
      <c r="A72" s="85">
        <v>5</v>
      </c>
      <c r="B72" s="90" t="s">
        <v>270</v>
      </c>
      <c r="C72" s="91">
        <v>194</v>
      </c>
      <c r="D72" s="91">
        <v>32.299999999999997</v>
      </c>
      <c r="E72" s="91">
        <v>0</v>
      </c>
      <c r="F72" s="91">
        <v>13</v>
      </c>
      <c r="G72" s="91">
        <v>0</v>
      </c>
      <c r="H72" s="91">
        <v>60</v>
      </c>
      <c r="I72" s="91">
        <v>54</v>
      </c>
      <c r="J72" s="91">
        <v>353.4</v>
      </c>
    </row>
    <row r="73" spans="1:18" x14ac:dyDescent="0.25">
      <c r="A73" s="85">
        <v>6</v>
      </c>
      <c r="B73" s="90" t="s">
        <v>271</v>
      </c>
      <c r="C73" s="91">
        <v>546.5</v>
      </c>
      <c r="D73" s="91">
        <v>165.7</v>
      </c>
      <c r="E73" s="91">
        <v>56.6</v>
      </c>
      <c r="F73" s="91">
        <v>1495.1</v>
      </c>
      <c r="G73" s="91">
        <v>0</v>
      </c>
      <c r="H73" s="91">
        <v>516.5</v>
      </c>
      <c r="I73" s="91">
        <v>57.7</v>
      </c>
      <c r="J73" s="91">
        <v>2838</v>
      </c>
    </row>
    <row r="74" spans="1:18" ht="15" customHeight="1" x14ac:dyDescent="0.25">
      <c r="A74" s="85">
        <v>7</v>
      </c>
      <c r="B74" s="90" t="s">
        <v>272</v>
      </c>
      <c r="C74" s="91">
        <v>60.6</v>
      </c>
      <c r="D74" s="91">
        <v>35.200000000000003</v>
      </c>
      <c r="E74" s="91">
        <v>0</v>
      </c>
      <c r="F74" s="91">
        <v>78.5</v>
      </c>
      <c r="G74" s="91">
        <v>0</v>
      </c>
      <c r="H74" s="91">
        <v>555.9</v>
      </c>
      <c r="I74" s="91">
        <v>33.799999999999997</v>
      </c>
      <c r="J74" s="91">
        <v>763.9</v>
      </c>
    </row>
    <row r="75" spans="1:18" ht="15" customHeight="1" x14ac:dyDescent="0.25">
      <c r="A75" s="85">
        <v>8</v>
      </c>
      <c r="B75" s="90" t="s">
        <v>273</v>
      </c>
      <c r="C75" s="91">
        <v>324.39999999999998</v>
      </c>
      <c r="D75" s="91">
        <v>60.4</v>
      </c>
      <c r="E75" s="91">
        <v>28.8</v>
      </c>
      <c r="F75" s="91">
        <v>32</v>
      </c>
      <c r="G75" s="91">
        <v>0</v>
      </c>
      <c r="H75" s="91">
        <v>334.5</v>
      </c>
      <c r="I75" s="91">
        <v>178.6</v>
      </c>
      <c r="J75" s="91">
        <v>958.7</v>
      </c>
    </row>
    <row r="76" spans="1:18" ht="29.25" customHeight="1" x14ac:dyDescent="0.25">
      <c r="A76" s="89" t="s">
        <v>281</v>
      </c>
      <c r="B76" s="89"/>
      <c r="C76" s="92"/>
      <c r="D76" s="92"/>
      <c r="E76" s="92"/>
      <c r="F76" s="92"/>
      <c r="G76" s="92"/>
      <c r="H76" s="92"/>
      <c r="I76" s="92"/>
      <c r="J76" s="92"/>
    </row>
    <row r="77" spans="1:18" ht="15" customHeight="1" x14ac:dyDescent="0.25">
      <c r="A77" s="87" t="s">
        <v>274</v>
      </c>
      <c r="B77" s="87"/>
      <c r="C77" s="93"/>
      <c r="D77" s="93"/>
      <c r="E77" s="93"/>
      <c r="F77" s="93"/>
      <c r="G77" s="93"/>
      <c r="H77" s="93"/>
      <c r="I77" s="93"/>
      <c r="J77" s="93"/>
    </row>
    <row r="78" spans="1:18" x14ac:dyDescent="0.25">
      <c r="A78" s="82" t="s">
        <v>282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80" spans="1:18" x14ac:dyDescent="0.25">
      <c r="A80" s="106" t="s">
        <v>344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2"/>
  <sheetViews>
    <sheetView topLeftCell="A24" workbookViewId="0">
      <selection activeCell="N48" sqref="N48"/>
    </sheetView>
  </sheetViews>
  <sheetFormatPr defaultRowHeight="15" x14ac:dyDescent="0.25"/>
  <cols>
    <col min="1" max="1" width="13.85546875" customWidth="1"/>
  </cols>
  <sheetData>
    <row r="1" spans="1:29" ht="15.75" x14ac:dyDescent="0.25">
      <c r="A1" s="128" t="s">
        <v>330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29" x14ac:dyDescent="0.25">
      <c r="A2" s="143" t="s">
        <v>44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5"/>
    </row>
    <row r="3" spans="1:29" x14ac:dyDescent="0.25">
      <c r="A3" s="34" t="s">
        <v>141</v>
      </c>
      <c r="B3" s="34" t="s">
        <v>142</v>
      </c>
      <c r="C3" s="34" t="s">
        <v>143</v>
      </c>
      <c r="D3" s="37" t="s">
        <v>144</v>
      </c>
      <c r="E3" s="34" t="s">
        <v>145</v>
      </c>
      <c r="F3" s="34" t="s">
        <v>146</v>
      </c>
      <c r="G3" s="37" t="s">
        <v>147</v>
      </c>
      <c r="H3" s="34" t="s">
        <v>148</v>
      </c>
      <c r="I3" s="34" t="s">
        <v>149</v>
      </c>
      <c r="J3" s="34" t="s">
        <v>150</v>
      </c>
      <c r="K3" s="34" t="s">
        <v>151</v>
      </c>
      <c r="L3" s="34" t="s">
        <v>152</v>
      </c>
      <c r="M3" s="34" t="s">
        <v>42</v>
      </c>
      <c r="N3" s="34" t="s">
        <v>153</v>
      </c>
      <c r="P3" s="38" t="s">
        <v>154</v>
      </c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 x14ac:dyDescent="0.25">
      <c r="A4" s="146" t="s">
        <v>45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8"/>
    </row>
    <row r="5" spans="1:29" x14ac:dyDescent="0.25">
      <c r="A5" s="8" t="s">
        <v>46</v>
      </c>
      <c r="B5" s="9">
        <v>0</v>
      </c>
      <c r="C5" s="10">
        <v>172</v>
      </c>
      <c r="D5" s="10">
        <v>210</v>
      </c>
      <c r="E5" s="10">
        <v>136</v>
      </c>
      <c r="F5" s="10">
        <v>44</v>
      </c>
      <c r="G5" s="10">
        <v>585</v>
      </c>
      <c r="H5" s="9">
        <v>1</v>
      </c>
      <c r="I5" s="9">
        <v>4</v>
      </c>
      <c r="J5" s="9">
        <v>0</v>
      </c>
      <c r="K5" s="9">
        <v>10</v>
      </c>
      <c r="L5" s="9">
        <v>31</v>
      </c>
      <c r="M5" s="10">
        <v>66</v>
      </c>
      <c r="N5" s="10">
        <v>1259</v>
      </c>
    </row>
    <row r="6" spans="1:29" x14ac:dyDescent="0.25">
      <c r="A6" s="11" t="s">
        <v>47</v>
      </c>
      <c r="B6" s="12">
        <v>0</v>
      </c>
      <c r="C6" s="13">
        <v>824</v>
      </c>
      <c r="D6" s="13">
        <v>806</v>
      </c>
      <c r="E6" s="13">
        <v>51</v>
      </c>
      <c r="F6" s="13">
        <v>106</v>
      </c>
      <c r="G6" s="13">
        <v>3348</v>
      </c>
      <c r="H6" s="12">
        <v>6</v>
      </c>
      <c r="I6" s="13">
        <v>217</v>
      </c>
      <c r="J6" s="12">
        <v>0</v>
      </c>
      <c r="K6" s="12">
        <v>43</v>
      </c>
      <c r="L6" s="13">
        <v>215</v>
      </c>
      <c r="M6" s="13">
        <v>729</v>
      </c>
      <c r="N6" s="13">
        <v>6346</v>
      </c>
    </row>
    <row r="7" spans="1:29" x14ac:dyDescent="0.25">
      <c r="A7" s="11" t="s">
        <v>48</v>
      </c>
      <c r="B7" s="12">
        <v>0</v>
      </c>
      <c r="C7" s="13">
        <v>1108</v>
      </c>
      <c r="D7" s="13">
        <v>1298</v>
      </c>
      <c r="E7" s="13">
        <v>279</v>
      </c>
      <c r="F7" s="13">
        <v>151</v>
      </c>
      <c r="G7" s="13">
        <v>5212</v>
      </c>
      <c r="H7" s="13">
        <v>20</v>
      </c>
      <c r="I7" s="13">
        <v>178</v>
      </c>
      <c r="J7" s="12">
        <v>0</v>
      </c>
      <c r="K7" s="12">
        <v>43</v>
      </c>
      <c r="L7" s="13">
        <v>220</v>
      </c>
      <c r="M7" s="13">
        <v>2475</v>
      </c>
      <c r="N7" s="13">
        <v>10984</v>
      </c>
    </row>
    <row r="8" spans="1:29" x14ac:dyDescent="0.25">
      <c r="A8" s="11" t="s">
        <v>49</v>
      </c>
      <c r="B8" s="12">
        <v>1</v>
      </c>
      <c r="C8" s="13">
        <v>2703</v>
      </c>
      <c r="D8" s="13">
        <v>2423</v>
      </c>
      <c r="E8" s="13">
        <v>915</v>
      </c>
      <c r="F8" s="13">
        <v>190</v>
      </c>
      <c r="G8" s="13">
        <v>7706</v>
      </c>
      <c r="H8" s="13">
        <v>51</v>
      </c>
      <c r="I8" s="13">
        <v>327</v>
      </c>
      <c r="J8" s="12">
        <v>0</v>
      </c>
      <c r="K8" s="12">
        <v>72</v>
      </c>
      <c r="L8" s="13">
        <v>644</v>
      </c>
      <c r="M8" s="13">
        <v>897</v>
      </c>
      <c r="N8" s="13">
        <v>15930</v>
      </c>
    </row>
    <row r="9" spans="1:29" x14ac:dyDescent="0.25">
      <c r="A9" s="11" t="s">
        <v>50</v>
      </c>
      <c r="B9" s="13">
        <v>3459</v>
      </c>
      <c r="C9" s="13">
        <v>675</v>
      </c>
      <c r="D9" s="13">
        <v>873</v>
      </c>
      <c r="E9" s="13">
        <v>31</v>
      </c>
      <c r="F9" s="13">
        <v>40</v>
      </c>
      <c r="G9" s="13">
        <v>4952</v>
      </c>
      <c r="H9" s="12">
        <v>8</v>
      </c>
      <c r="I9" s="13">
        <v>166</v>
      </c>
      <c r="J9" s="12">
        <v>0</v>
      </c>
      <c r="K9" s="12">
        <v>47</v>
      </c>
      <c r="L9" s="13">
        <v>127</v>
      </c>
      <c r="M9" s="13">
        <v>342</v>
      </c>
      <c r="N9" s="13">
        <v>10721</v>
      </c>
    </row>
    <row r="10" spans="1:29" x14ac:dyDescent="0.25">
      <c r="A10" s="11" t="s">
        <v>51</v>
      </c>
      <c r="B10" s="12">
        <v>0</v>
      </c>
      <c r="C10" s="13">
        <v>142</v>
      </c>
      <c r="D10" s="13">
        <v>183</v>
      </c>
      <c r="E10" s="13">
        <v>18</v>
      </c>
      <c r="F10" s="12">
        <v>7</v>
      </c>
      <c r="G10" s="13">
        <v>586</v>
      </c>
      <c r="H10" s="12">
        <v>0</v>
      </c>
      <c r="I10" s="13">
        <v>38</v>
      </c>
      <c r="J10" s="12">
        <v>0</v>
      </c>
      <c r="K10" s="12">
        <v>31</v>
      </c>
      <c r="L10" s="12">
        <v>63</v>
      </c>
      <c r="M10" s="13">
        <v>640</v>
      </c>
      <c r="N10" s="13">
        <v>1707</v>
      </c>
    </row>
    <row r="11" spans="1:29" x14ac:dyDescent="0.25">
      <c r="A11" s="11" t="s">
        <v>52</v>
      </c>
      <c r="B11" s="12">
        <v>0</v>
      </c>
      <c r="C11" s="13">
        <v>250</v>
      </c>
      <c r="D11" s="13">
        <v>264</v>
      </c>
      <c r="E11" s="13">
        <v>28</v>
      </c>
      <c r="F11" s="12">
        <v>9</v>
      </c>
      <c r="G11" s="13">
        <v>722</v>
      </c>
      <c r="H11" s="12">
        <v>0</v>
      </c>
      <c r="I11" s="13">
        <v>85</v>
      </c>
      <c r="J11" s="12">
        <v>0</v>
      </c>
      <c r="K11" s="12">
        <v>20</v>
      </c>
      <c r="L11" s="12">
        <v>51</v>
      </c>
      <c r="M11" s="13">
        <v>57</v>
      </c>
      <c r="N11" s="13">
        <v>1486</v>
      </c>
    </row>
    <row r="12" spans="1:29" x14ac:dyDescent="0.25">
      <c r="A12" s="11" t="s">
        <v>53</v>
      </c>
      <c r="B12" s="12">
        <v>0</v>
      </c>
      <c r="C12" s="13">
        <v>52</v>
      </c>
      <c r="D12" s="13">
        <v>97</v>
      </c>
      <c r="E12" s="12">
        <v>0</v>
      </c>
      <c r="F12" s="13">
        <v>28</v>
      </c>
      <c r="G12" s="13">
        <v>102</v>
      </c>
      <c r="H12" s="12">
        <v>1</v>
      </c>
      <c r="I12" s="13">
        <v>12</v>
      </c>
      <c r="J12" s="12">
        <v>0</v>
      </c>
      <c r="K12" s="12">
        <v>2</v>
      </c>
      <c r="L12" s="12">
        <v>4</v>
      </c>
      <c r="M12" s="13">
        <v>90</v>
      </c>
      <c r="N12" s="13">
        <v>388</v>
      </c>
    </row>
    <row r="13" spans="1:29" x14ac:dyDescent="0.25">
      <c r="A13" s="11" t="s">
        <v>54</v>
      </c>
      <c r="B13" s="12">
        <v>0</v>
      </c>
      <c r="C13" s="13">
        <v>798</v>
      </c>
      <c r="D13" s="13">
        <v>906</v>
      </c>
      <c r="E13" s="12">
        <v>1</v>
      </c>
      <c r="F13" s="13">
        <v>1726</v>
      </c>
      <c r="G13" s="13">
        <v>1267</v>
      </c>
      <c r="H13" s="12">
        <v>0</v>
      </c>
      <c r="I13" s="13">
        <v>81</v>
      </c>
      <c r="J13" s="12">
        <v>0</v>
      </c>
      <c r="K13" s="12">
        <v>16</v>
      </c>
      <c r="L13" s="12">
        <v>6</v>
      </c>
      <c r="M13" s="13">
        <v>80</v>
      </c>
      <c r="N13" s="13">
        <v>4882</v>
      </c>
    </row>
    <row r="14" spans="1:29" x14ac:dyDescent="0.25">
      <c r="A14" s="8" t="s">
        <v>55</v>
      </c>
      <c r="B14" s="9">
        <v>0</v>
      </c>
      <c r="C14" s="10">
        <v>18</v>
      </c>
      <c r="D14" s="10">
        <v>35</v>
      </c>
      <c r="E14" s="10">
        <v>13</v>
      </c>
      <c r="F14" s="9">
        <v>1</v>
      </c>
      <c r="G14" s="10">
        <v>132</v>
      </c>
      <c r="H14" s="9">
        <v>0</v>
      </c>
      <c r="I14" s="9">
        <v>0</v>
      </c>
      <c r="J14" s="9">
        <v>0</v>
      </c>
      <c r="K14" s="9">
        <v>1</v>
      </c>
      <c r="L14" s="9">
        <v>24</v>
      </c>
      <c r="M14" s="9">
        <v>0</v>
      </c>
      <c r="N14" s="10">
        <v>225</v>
      </c>
    </row>
    <row r="15" spans="1:29" x14ac:dyDescent="0.25">
      <c r="A15" s="11" t="s">
        <v>56</v>
      </c>
      <c r="B15" s="12">
        <v>51</v>
      </c>
      <c r="C15" s="13">
        <v>325</v>
      </c>
      <c r="D15" s="13">
        <v>308</v>
      </c>
      <c r="E15" s="13">
        <v>225</v>
      </c>
      <c r="F15" s="13">
        <v>146</v>
      </c>
      <c r="G15" s="13">
        <v>861</v>
      </c>
      <c r="H15" s="12">
        <v>4</v>
      </c>
      <c r="I15" s="12">
        <v>3</v>
      </c>
      <c r="J15" s="12">
        <v>0</v>
      </c>
      <c r="K15" s="12">
        <v>23</v>
      </c>
      <c r="L15" s="12">
        <v>23</v>
      </c>
      <c r="M15" s="13">
        <v>266</v>
      </c>
      <c r="N15" s="13">
        <v>2235</v>
      </c>
    </row>
    <row r="16" spans="1:29" x14ac:dyDescent="0.25">
      <c r="A16" s="11" t="s">
        <v>57</v>
      </c>
      <c r="B16" s="12">
        <v>0</v>
      </c>
      <c r="C16" s="13">
        <v>24</v>
      </c>
      <c r="D16" s="13">
        <v>42</v>
      </c>
      <c r="E16" s="13">
        <v>12</v>
      </c>
      <c r="F16" s="12">
        <v>3</v>
      </c>
      <c r="G16" s="13">
        <v>80</v>
      </c>
      <c r="H16" s="12">
        <v>0</v>
      </c>
      <c r="I16" s="12">
        <v>0</v>
      </c>
      <c r="J16" s="12">
        <v>0</v>
      </c>
      <c r="K16" s="12">
        <v>0</v>
      </c>
      <c r="L16" s="12">
        <v>2</v>
      </c>
      <c r="M16" s="12">
        <v>0</v>
      </c>
      <c r="N16" s="13">
        <v>163</v>
      </c>
    </row>
    <row r="17" spans="1:14" x14ac:dyDescent="0.25">
      <c r="A17" s="11" t="s">
        <v>58</v>
      </c>
      <c r="B17" s="12">
        <v>0</v>
      </c>
      <c r="C17" s="13">
        <v>19</v>
      </c>
      <c r="D17" s="13">
        <v>73</v>
      </c>
      <c r="E17" s="13">
        <v>18</v>
      </c>
      <c r="F17" s="12">
        <v>0</v>
      </c>
      <c r="G17" s="13">
        <v>299</v>
      </c>
      <c r="H17" s="12">
        <v>0</v>
      </c>
      <c r="I17" s="12">
        <v>1</v>
      </c>
      <c r="J17" s="12">
        <v>0</v>
      </c>
      <c r="K17" s="12">
        <v>1</v>
      </c>
      <c r="L17" s="12">
        <v>12</v>
      </c>
      <c r="M17" s="12">
        <v>5</v>
      </c>
      <c r="N17" s="13">
        <v>428</v>
      </c>
    </row>
    <row r="18" spans="1:14" x14ac:dyDescent="0.25">
      <c r="A18" s="11" t="s">
        <v>59</v>
      </c>
      <c r="B18" s="12">
        <v>0</v>
      </c>
      <c r="C18" s="13">
        <v>22</v>
      </c>
      <c r="D18" s="13">
        <v>25</v>
      </c>
      <c r="E18" s="12">
        <v>5</v>
      </c>
      <c r="F18" s="12">
        <v>1</v>
      </c>
      <c r="G18" s="13">
        <v>61</v>
      </c>
      <c r="H18" s="12">
        <v>0</v>
      </c>
      <c r="I18" s="12">
        <v>0</v>
      </c>
      <c r="J18" s="12">
        <v>0</v>
      </c>
      <c r="K18" s="12">
        <v>0</v>
      </c>
      <c r="L18" s="12">
        <v>3</v>
      </c>
      <c r="M18" s="12">
        <v>0</v>
      </c>
      <c r="N18" s="13">
        <v>117</v>
      </c>
    </row>
    <row r="19" spans="1:14" x14ac:dyDescent="0.25">
      <c r="A19" s="11" t="s">
        <v>60</v>
      </c>
      <c r="B19" s="12">
        <v>0</v>
      </c>
      <c r="C19" s="13">
        <v>20</v>
      </c>
      <c r="D19" s="13">
        <v>34</v>
      </c>
      <c r="E19" s="12">
        <v>7</v>
      </c>
      <c r="F19" s="12">
        <v>3</v>
      </c>
      <c r="G19" s="13">
        <v>64</v>
      </c>
      <c r="H19" s="12">
        <v>0</v>
      </c>
      <c r="I19" s="12">
        <v>0</v>
      </c>
      <c r="J19" s="12">
        <v>0</v>
      </c>
      <c r="K19" s="12">
        <v>0</v>
      </c>
      <c r="L19" s="12">
        <v>3</v>
      </c>
      <c r="M19" s="12">
        <v>0</v>
      </c>
      <c r="N19" s="13">
        <v>132</v>
      </c>
    </row>
    <row r="20" spans="1:14" x14ac:dyDescent="0.25">
      <c r="A20" s="11" t="s">
        <v>61</v>
      </c>
      <c r="B20" s="12">
        <v>0</v>
      </c>
      <c r="C20" s="13">
        <v>38</v>
      </c>
      <c r="D20" s="13">
        <v>41</v>
      </c>
      <c r="E20" s="13">
        <v>27</v>
      </c>
      <c r="F20" s="12">
        <v>4</v>
      </c>
      <c r="G20" s="13">
        <v>90</v>
      </c>
      <c r="H20" s="12">
        <v>0</v>
      </c>
      <c r="I20" s="12">
        <v>0</v>
      </c>
      <c r="J20" s="12">
        <v>0</v>
      </c>
      <c r="K20" s="12">
        <v>1</v>
      </c>
      <c r="L20" s="12">
        <v>13</v>
      </c>
      <c r="M20" s="12">
        <v>0</v>
      </c>
      <c r="N20" s="13">
        <v>215</v>
      </c>
    </row>
    <row r="21" spans="1:14" x14ac:dyDescent="0.25">
      <c r="A21" s="11" t="s">
        <v>62</v>
      </c>
      <c r="B21" s="12">
        <v>0</v>
      </c>
      <c r="C21" s="13">
        <v>13</v>
      </c>
      <c r="D21" s="13">
        <v>17</v>
      </c>
      <c r="E21" s="13">
        <v>10</v>
      </c>
      <c r="F21" s="12">
        <v>0</v>
      </c>
      <c r="G21" s="13">
        <v>61</v>
      </c>
      <c r="H21" s="12">
        <v>0</v>
      </c>
      <c r="I21" s="12">
        <v>1</v>
      </c>
      <c r="J21" s="12">
        <v>0</v>
      </c>
      <c r="K21" s="12">
        <v>0</v>
      </c>
      <c r="L21" s="12">
        <v>3</v>
      </c>
      <c r="M21" s="12">
        <v>0</v>
      </c>
      <c r="N21" s="13">
        <v>104</v>
      </c>
    </row>
    <row r="22" spans="1:14" x14ac:dyDescent="0.25">
      <c r="A22" s="8" t="s">
        <v>63</v>
      </c>
      <c r="B22" s="9">
        <v>0</v>
      </c>
      <c r="C22" s="10">
        <v>944</v>
      </c>
      <c r="D22" s="10">
        <v>610</v>
      </c>
      <c r="E22" s="10">
        <v>549</v>
      </c>
      <c r="F22" s="10">
        <v>26</v>
      </c>
      <c r="G22" s="10">
        <v>2184</v>
      </c>
      <c r="H22" s="10">
        <v>21</v>
      </c>
      <c r="I22" s="10">
        <v>19</v>
      </c>
      <c r="J22" s="9">
        <v>0</v>
      </c>
      <c r="K22" s="9">
        <v>13</v>
      </c>
      <c r="L22" s="10">
        <v>219</v>
      </c>
      <c r="M22" s="10">
        <v>174</v>
      </c>
      <c r="N22" s="10">
        <v>4758</v>
      </c>
    </row>
    <row r="23" spans="1:14" x14ac:dyDescent="0.25">
      <c r="A23" s="11" t="s">
        <v>64</v>
      </c>
      <c r="B23" s="12">
        <v>0</v>
      </c>
      <c r="C23" s="13">
        <v>477</v>
      </c>
      <c r="D23" s="13">
        <v>615</v>
      </c>
      <c r="E23" s="13">
        <v>220</v>
      </c>
      <c r="F23" s="13">
        <v>62</v>
      </c>
      <c r="G23" s="13">
        <v>2331</v>
      </c>
      <c r="H23" s="13">
        <v>18</v>
      </c>
      <c r="I23" s="13">
        <v>764</v>
      </c>
      <c r="J23" s="12">
        <v>0</v>
      </c>
      <c r="K23" s="12">
        <v>24</v>
      </c>
      <c r="L23" s="13">
        <v>156</v>
      </c>
      <c r="M23" s="13">
        <v>510</v>
      </c>
      <c r="N23" s="13">
        <v>5177</v>
      </c>
    </row>
    <row r="24" spans="1:14" x14ac:dyDescent="0.25">
      <c r="A24" s="11" t="s">
        <v>65</v>
      </c>
      <c r="B24" s="13">
        <v>450</v>
      </c>
      <c r="C24" s="13">
        <v>1427</v>
      </c>
      <c r="D24" s="13">
        <v>726</v>
      </c>
      <c r="E24" s="13">
        <v>617</v>
      </c>
      <c r="F24" s="13">
        <v>342</v>
      </c>
      <c r="G24" s="13">
        <v>3096</v>
      </c>
      <c r="H24" s="13">
        <v>63</v>
      </c>
      <c r="I24" s="13">
        <v>394</v>
      </c>
      <c r="J24" s="12">
        <v>0</v>
      </c>
      <c r="K24" s="12">
        <v>69</v>
      </c>
      <c r="L24" s="13">
        <v>208</v>
      </c>
      <c r="M24" s="13">
        <v>114</v>
      </c>
      <c r="N24" s="13">
        <v>7505</v>
      </c>
    </row>
    <row r="25" spans="1:14" x14ac:dyDescent="0.25">
      <c r="A25" s="11" t="s">
        <v>66</v>
      </c>
      <c r="B25" s="12">
        <v>0</v>
      </c>
      <c r="C25" s="13">
        <v>250</v>
      </c>
      <c r="D25" s="13">
        <v>375</v>
      </c>
      <c r="E25" s="13">
        <v>171</v>
      </c>
      <c r="F25" s="13">
        <v>33</v>
      </c>
      <c r="G25" s="13">
        <v>1633</v>
      </c>
      <c r="H25" s="13">
        <v>18</v>
      </c>
      <c r="I25" s="13">
        <v>144</v>
      </c>
      <c r="J25" s="12">
        <v>0</v>
      </c>
      <c r="K25" s="12">
        <v>32</v>
      </c>
      <c r="L25" s="13">
        <v>218</v>
      </c>
      <c r="M25" s="13">
        <v>47</v>
      </c>
      <c r="N25" s="13">
        <v>2921</v>
      </c>
    </row>
    <row r="26" spans="1:14" ht="22.5" x14ac:dyDescent="0.25">
      <c r="A26" s="11" t="s">
        <v>67</v>
      </c>
      <c r="B26" s="12">
        <v>0</v>
      </c>
      <c r="C26" s="12">
        <v>9</v>
      </c>
      <c r="D26" s="13">
        <v>15</v>
      </c>
      <c r="E26" s="12">
        <v>4</v>
      </c>
      <c r="F26" s="13">
        <v>24</v>
      </c>
      <c r="G26" s="13">
        <v>127</v>
      </c>
      <c r="H26" s="12">
        <v>0</v>
      </c>
      <c r="I26" s="12">
        <v>0</v>
      </c>
      <c r="J26" s="12">
        <v>0</v>
      </c>
      <c r="K26" s="12">
        <v>1</v>
      </c>
      <c r="L26" s="12">
        <v>6</v>
      </c>
      <c r="M26" s="12">
        <v>0</v>
      </c>
      <c r="N26" s="13">
        <v>186</v>
      </c>
    </row>
    <row r="27" spans="1:14" x14ac:dyDescent="0.25">
      <c r="A27" s="8" t="s">
        <v>68</v>
      </c>
      <c r="B27" s="9">
        <v>0</v>
      </c>
      <c r="C27" s="10">
        <v>63</v>
      </c>
      <c r="D27" s="10">
        <v>162</v>
      </c>
      <c r="E27" s="9">
        <v>2</v>
      </c>
      <c r="F27" s="10">
        <v>138</v>
      </c>
      <c r="G27" s="10">
        <v>344</v>
      </c>
      <c r="H27" s="9">
        <v>0</v>
      </c>
      <c r="I27" s="10">
        <v>42</v>
      </c>
      <c r="J27" s="9">
        <v>0</v>
      </c>
      <c r="K27" s="9">
        <v>4</v>
      </c>
      <c r="L27" s="9">
        <v>21</v>
      </c>
      <c r="M27" s="9">
        <v>4</v>
      </c>
      <c r="N27" s="10">
        <v>780</v>
      </c>
    </row>
    <row r="28" spans="1:14" x14ac:dyDescent="0.25">
      <c r="A28" s="11" t="s">
        <v>69</v>
      </c>
      <c r="B28" s="13">
        <v>5879</v>
      </c>
      <c r="C28" s="13">
        <v>971</v>
      </c>
      <c r="D28" s="13">
        <v>1666</v>
      </c>
      <c r="E28" s="13">
        <v>387</v>
      </c>
      <c r="F28" s="13">
        <v>231</v>
      </c>
      <c r="G28" s="13">
        <v>4994</v>
      </c>
      <c r="H28" s="13">
        <v>24</v>
      </c>
      <c r="I28" s="13">
        <v>776</v>
      </c>
      <c r="J28" s="12">
        <v>1</v>
      </c>
      <c r="K28" s="12">
        <v>99</v>
      </c>
      <c r="L28" s="13">
        <v>461</v>
      </c>
      <c r="M28" s="13">
        <v>3499</v>
      </c>
      <c r="N28" s="13">
        <v>18988</v>
      </c>
    </row>
    <row r="29" spans="1:14" x14ac:dyDescent="0.25">
      <c r="A29" s="11" t="s">
        <v>70</v>
      </c>
      <c r="B29" s="12">
        <v>0</v>
      </c>
      <c r="C29" s="13">
        <v>839</v>
      </c>
      <c r="D29" s="13">
        <v>1109</v>
      </c>
      <c r="E29" s="13">
        <v>334</v>
      </c>
      <c r="F29" s="13">
        <v>78</v>
      </c>
      <c r="G29" s="13">
        <v>3212</v>
      </c>
      <c r="H29" s="13">
        <v>13</v>
      </c>
      <c r="I29" s="13">
        <v>110</v>
      </c>
      <c r="J29" s="12">
        <v>0</v>
      </c>
      <c r="K29" s="12">
        <v>38</v>
      </c>
      <c r="L29" s="13">
        <v>277</v>
      </c>
      <c r="M29" s="13">
        <v>954</v>
      </c>
      <c r="N29" s="13">
        <v>6962</v>
      </c>
    </row>
    <row r="30" spans="1:14" x14ac:dyDescent="0.25">
      <c r="A30" s="11" t="s">
        <v>71</v>
      </c>
      <c r="B30" s="13">
        <v>401</v>
      </c>
      <c r="C30" s="13">
        <v>2635</v>
      </c>
      <c r="D30" s="13">
        <v>3025</v>
      </c>
      <c r="E30" s="13">
        <v>413</v>
      </c>
      <c r="F30" s="13">
        <v>1466</v>
      </c>
      <c r="G30" s="13">
        <v>8071</v>
      </c>
      <c r="H30" s="13">
        <v>98</v>
      </c>
      <c r="I30" s="13">
        <v>858</v>
      </c>
      <c r="J30" s="12">
        <v>27</v>
      </c>
      <c r="K30" s="13">
        <v>307</v>
      </c>
      <c r="L30" s="13">
        <v>500</v>
      </c>
      <c r="M30" s="13">
        <v>1537</v>
      </c>
      <c r="N30" s="13">
        <v>19337</v>
      </c>
    </row>
    <row r="31" spans="1:14" x14ac:dyDescent="0.25">
      <c r="A31" s="11" t="s">
        <v>72</v>
      </c>
      <c r="B31" s="12">
        <v>0</v>
      </c>
      <c r="C31" s="13">
        <v>232</v>
      </c>
      <c r="D31" s="13">
        <v>453</v>
      </c>
      <c r="E31" s="13">
        <v>95</v>
      </c>
      <c r="F31" s="13">
        <v>32</v>
      </c>
      <c r="G31" s="13">
        <v>1495</v>
      </c>
      <c r="H31" s="13">
        <v>27</v>
      </c>
      <c r="I31" s="13">
        <v>177</v>
      </c>
      <c r="J31" s="12">
        <v>0</v>
      </c>
      <c r="K31" s="12">
        <v>19</v>
      </c>
      <c r="L31" s="13">
        <v>142</v>
      </c>
      <c r="M31" s="13">
        <v>238</v>
      </c>
      <c r="N31" s="13">
        <v>2910</v>
      </c>
    </row>
    <row r="32" spans="1:14" ht="22.5" x14ac:dyDescent="0.25">
      <c r="A32" s="11" t="s">
        <v>73</v>
      </c>
      <c r="B32" s="12">
        <v>0</v>
      </c>
      <c r="C32" s="13">
        <v>17</v>
      </c>
      <c r="D32" s="13">
        <v>20</v>
      </c>
      <c r="E32" s="12">
        <v>1</v>
      </c>
      <c r="F32" s="12">
        <v>0</v>
      </c>
      <c r="G32" s="13">
        <v>207</v>
      </c>
      <c r="H32" s="12">
        <v>0</v>
      </c>
      <c r="I32" s="13">
        <v>103</v>
      </c>
      <c r="J32" s="12">
        <v>0</v>
      </c>
      <c r="K32" s="12">
        <v>86</v>
      </c>
      <c r="L32" s="12">
        <v>2</v>
      </c>
      <c r="M32" s="12">
        <v>3</v>
      </c>
      <c r="N32" s="13">
        <v>438</v>
      </c>
    </row>
    <row r="33" spans="1:14" x14ac:dyDescent="0.25">
      <c r="A33" s="11" t="s">
        <v>74</v>
      </c>
      <c r="B33" s="12">
        <v>0</v>
      </c>
      <c r="C33" s="13">
        <v>10</v>
      </c>
      <c r="D33" s="13">
        <v>21</v>
      </c>
      <c r="E33" s="12">
        <v>0</v>
      </c>
      <c r="F33" s="12">
        <v>1</v>
      </c>
      <c r="G33" s="13">
        <v>102</v>
      </c>
      <c r="H33" s="12">
        <v>0</v>
      </c>
      <c r="I33" s="13">
        <v>26</v>
      </c>
      <c r="J33" s="12">
        <v>0</v>
      </c>
      <c r="K33" s="12">
        <v>53</v>
      </c>
      <c r="L33" s="12">
        <v>1</v>
      </c>
      <c r="M33" s="12">
        <v>5</v>
      </c>
      <c r="N33" s="13">
        <v>220</v>
      </c>
    </row>
    <row r="34" spans="1:14" x14ac:dyDescent="0.25">
      <c r="A34" s="8" t="s">
        <v>75</v>
      </c>
      <c r="B34" s="9">
        <v>29</v>
      </c>
      <c r="C34" s="10">
        <v>1014</v>
      </c>
      <c r="D34" s="10">
        <v>945</v>
      </c>
      <c r="E34" s="10">
        <v>151</v>
      </c>
      <c r="F34" s="10">
        <v>76</v>
      </c>
      <c r="G34" s="10">
        <v>3467</v>
      </c>
      <c r="H34" s="10">
        <v>21</v>
      </c>
      <c r="I34" s="10">
        <v>236</v>
      </c>
      <c r="J34" s="9">
        <v>50</v>
      </c>
      <c r="K34" s="9">
        <v>30</v>
      </c>
      <c r="L34" s="10">
        <v>235</v>
      </c>
      <c r="M34" s="10">
        <v>330</v>
      </c>
      <c r="N34" s="10">
        <v>6585</v>
      </c>
    </row>
    <row r="35" spans="1:14" x14ac:dyDescent="0.25">
      <c r="A35" s="11" t="s">
        <v>76</v>
      </c>
      <c r="B35" s="12">
        <v>0</v>
      </c>
      <c r="C35" s="13">
        <v>852</v>
      </c>
      <c r="D35" s="13">
        <v>1238</v>
      </c>
      <c r="E35" s="13">
        <v>80</v>
      </c>
      <c r="F35" s="13">
        <v>426</v>
      </c>
      <c r="G35" s="13">
        <v>2537</v>
      </c>
      <c r="H35" s="12">
        <v>0</v>
      </c>
      <c r="I35" s="13">
        <v>306</v>
      </c>
      <c r="J35" s="12">
        <v>10</v>
      </c>
      <c r="K35" s="12">
        <v>43</v>
      </c>
      <c r="L35" s="13">
        <v>173</v>
      </c>
      <c r="M35" s="13">
        <v>60</v>
      </c>
      <c r="N35" s="13">
        <v>5724</v>
      </c>
    </row>
    <row r="36" spans="1:14" x14ac:dyDescent="0.25">
      <c r="A36" s="11" t="s">
        <v>77</v>
      </c>
      <c r="B36" s="13">
        <v>249</v>
      </c>
      <c r="C36" s="13">
        <v>1910</v>
      </c>
      <c r="D36" s="13">
        <v>2255</v>
      </c>
      <c r="E36" s="13">
        <v>282</v>
      </c>
      <c r="F36" s="13">
        <v>475</v>
      </c>
      <c r="G36" s="13">
        <v>6468</v>
      </c>
      <c r="H36" s="12">
        <v>4</v>
      </c>
      <c r="I36" s="13">
        <v>699</v>
      </c>
      <c r="J36" s="12">
        <v>4</v>
      </c>
      <c r="K36" s="13">
        <v>115</v>
      </c>
      <c r="L36" s="13">
        <v>450</v>
      </c>
      <c r="M36" s="13">
        <v>373</v>
      </c>
      <c r="N36" s="13">
        <v>13284</v>
      </c>
    </row>
    <row r="37" spans="1:14" x14ac:dyDescent="0.25">
      <c r="A37" s="11" t="s">
        <v>78</v>
      </c>
      <c r="B37" s="13">
        <v>316</v>
      </c>
      <c r="C37" s="13">
        <v>1449</v>
      </c>
      <c r="D37" s="13">
        <v>1799</v>
      </c>
      <c r="E37" s="13">
        <v>206</v>
      </c>
      <c r="F37" s="13">
        <v>479</v>
      </c>
      <c r="G37" s="13">
        <v>5937</v>
      </c>
      <c r="H37" s="13">
        <v>30</v>
      </c>
      <c r="I37" s="13">
        <v>358</v>
      </c>
      <c r="J37" s="12">
        <v>5</v>
      </c>
      <c r="K37" s="12">
        <v>54</v>
      </c>
      <c r="L37" s="13">
        <v>238</v>
      </c>
      <c r="M37" s="13">
        <v>590</v>
      </c>
      <c r="N37" s="13">
        <v>11459</v>
      </c>
    </row>
    <row r="38" spans="1:14" x14ac:dyDescent="0.25">
      <c r="A38" s="11" t="s">
        <v>79</v>
      </c>
      <c r="B38" s="12">
        <v>0</v>
      </c>
      <c r="C38" s="13">
        <v>837</v>
      </c>
      <c r="D38" s="13">
        <v>977</v>
      </c>
      <c r="E38" s="13">
        <v>105</v>
      </c>
      <c r="F38" s="13">
        <v>312</v>
      </c>
      <c r="G38" s="13">
        <v>3295</v>
      </c>
      <c r="H38" s="13">
        <v>19</v>
      </c>
      <c r="I38" s="13">
        <v>112</v>
      </c>
      <c r="J38" s="12">
        <v>6</v>
      </c>
      <c r="K38" s="12">
        <v>40</v>
      </c>
      <c r="L38" s="13">
        <v>243</v>
      </c>
      <c r="M38" s="13">
        <v>189</v>
      </c>
      <c r="N38" s="13">
        <v>6133</v>
      </c>
    </row>
    <row r="39" spans="1:14" x14ac:dyDescent="0.25">
      <c r="A39" s="11" t="s">
        <v>80</v>
      </c>
      <c r="B39" s="12">
        <v>0</v>
      </c>
      <c r="C39" s="12">
        <v>0</v>
      </c>
      <c r="D39" s="12">
        <v>0</v>
      </c>
      <c r="E39" s="12">
        <v>1</v>
      </c>
      <c r="F39" s="12">
        <v>0</v>
      </c>
      <c r="G39" s="13">
        <v>13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3">
        <v>14</v>
      </c>
    </row>
    <row r="40" spans="1:14" x14ac:dyDescent="0.25">
      <c r="A40" s="11" t="s">
        <v>81</v>
      </c>
      <c r="B40" s="12">
        <v>0</v>
      </c>
      <c r="C40" s="13">
        <v>41</v>
      </c>
      <c r="D40" s="13">
        <v>120</v>
      </c>
      <c r="E40" s="12">
        <v>3</v>
      </c>
      <c r="F40" s="12">
        <v>0</v>
      </c>
      <c r="G40" s="13">
        <v>338</v>
      </c>
      <c r="H40" s="12">
        <v>0</v>
      </c>
      <c r="I40" s="13">
        <v>28</v>
      </c>
      <c r="J40" s="12">
        <v>2</v>
      </c>
      <c r="K40" s="12">
        <v>2</v>
      </c>
      <c r="L40" s="12">
        <v>4</v>
      </c>
      <c r="M40" s="12">
        <v>4</v>
      </c>
      <c r="N40" s="13">
        <v>543</v>
      </c>
    </row>
    <row r="41" spans="1:14" x14ac:dyDescent="0.25">
      <c r="A41" s="14" t="s">
        <v>82</v>
      </c>
      <c r="B41" s="15">
        <v>13174</v>
      </c>
      <c r="C41" s="15">
        <v>21537</v>
      </c>
      <c r="D41" s="15">
        <v>23765</v>
      </c>
      <c r="E41" s="15">
        <v>5397</v>
      </c>
      <c r="F41" s="15">
        <v>6995</v>
      </c>
      <c r="G41" s="15">
        <v>76014</v>
      </c>
      <c r="H41" s="15">
        <v>449</v>
      </c>
      <c r="I41" s="15">
        <v>7077</v>
      </c>
      <c r="J41" s="15">
        <v>104</v>
      </c>
      <c r="K41" s="15">
        <v>3353</v>
      </c>
      <c r="L41" s="15">
        <v>5939</v>
      </c>
      <c r="M41" s="15">
        <v>29939</v>
      </c>
      <c r="N41" s="15">
        <v>193745</v>
      </c>
    </row>
    <row r="42" spans="1:14" x14ac:dyDescent="0.25">
      <c r="A42" s="16" t="s">
        <v>83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</sheetData>
  <mergeCells count="3">
    <mergeCell ref="A1:N1"/>
    <mergeCell ref="A2:N2"/>
    <mergeCell ref="A4:N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8"/>
  <sheetViews>
    <sheetView workbookViewId="0">
      <selection activeCell="J1" sqref="J1"/>
    </sheetView>
  </sheetViews>
  <sheetFormatPr defaultRowHeight="15" x14ac:dyDescent="0.25"/>
  <cols>
    <col min="1" max="1" width="10.5703125" customWidth="1"/>
  </cols>
  <sheetData>
    <row r="1" spans="1:12" ht="15.75" x14ac:dyDescent="0.25">
      <c r="A1" s="152" t="s">
        <v>414</v>
      </c>
      <c r="B1" s="153"/>
      <c r="C1" s="153"/>
      <c r="D1" s="153"/>
      <c r="E1" s="153"/>
      <c r="F1" s="153"/>
      <c r="G1" s="153"/>
      <c r="H1" s="154"/>
      <c r="I1" s="1" t="s">
        <v>338</v>
      </c>
    </row>
    <row r="2" spans="1:12" x14ac:dyDescent="0.25">
      <c r="A2" s="155" t="s">
        <v>156</v>
      </c>
      <c r="B2" s="156"/>
      <c r="C2" s="156"/>
      <c r="D2" s="156"/>
      <c r="E2" s="156"/>
      <c r="F2" s="156"/>
      <c r="G2" s="156"/>
      <c r="H2" s="157"/>
    </row>
    <row r="3" spans="1:12" ht="24" x14ac:dyDescent="0.25">
      <c r="A3" s="48" t="s">
        <v>157</v>
      </c>
      <c r="B3" s="48" t="s">
        <v>158</v>
      </c>
      <c r="C3" s="48" t="s">
        <v>159</v>
      </c>
      <c r="D3" s="48" t="s">
        <v>160</v>
      </c>
      <c r="E3" s="48" t="s">
        <v>161</v>
      </c>
      <c r="F3" s="48" t="s">
        <v>162</v>
      </c>
      <c r="G3" s="103" t="s">
        <v>337</v>
      </c>
      <c r="H3" s="103" t="s">
        <v>336</v>
      </c>
      <c r="I3" s="119"/>
    </row>
    <row r="4" spans="1:12" x14ac:dyDescent="0.25">
      <c r="A4" s="49">
        <v>-1</v>
      </c>
      <c r="B4" s="49">
        <v>-2</v>
      </c>
      <c r="C4" s="49">
        <v>-3</v>
      </c>
      <c r="D4" s="49">
        <v>-4</v>
      </c>
      <c r="E4" s="49">
        <v>-5</v>
      </c>
      <c r="F4" s="49">
        <v>-6</v>
      </c>
      <c r="G4" s="49">
        <v>-7</v>
      </c>
      <c r="H4" s="49">
        <v>-8</v>
      </c>
    </row>
    <row r="5" spans="1:12" x14ac:dyDescent="0.25">
      <c r="A5" s="149" t="s">
        <v>163</v>
      </c>
      <c r="B5" s="150"/>
      <c r="C5" s="150"/>
      <c r="D5" s="150"/>
      <c r="E5" s="150"/>
      <c r="F5" s="150"/>
      <c r="G5" s="150"/>
      <c r="H5" s="151"/>
    </row>
    <row r="6" spans="1:12" ht="36" x14ac:dyDescent="0.25">
      <c r="A6" s="50" t="s">
        <v>164</v>
      </c>
      <c r="B6" s="51"/>
      <c r="C6" s="51"/>
      <c r="D6" s="51"/>
      <c r="E6" s="51"/>
      <c r="F6" s="51"/>
      <c r="G6" s="51"/>
      <c r="H6" s="51">
        <v>3219</v>
      </c>
      <c r="I6" t="str">
        <f>IF(LEFT(A6,5)="Gross",A5,I5)</f>
        <v>Assam</v>
      </c>
      <c r="L6" s="104"/>
    </row>
    <row r="7" spans="1:12" x14ac:dyDescent="0.25">
      <c r="A7" s="52" t="s">
        <v>165</v>
      </c>
      <c r="B7" s="53"/>
      <c r="C7" s="53"/>
      <c r="D7" s="53"/>
      <c r="E7" s="53"/>
      <c r="F7" s="53"/>
      <c r="G7" s="53"/>
      <c r="H7" s="53"/>
      <c r="I7" t="str">
        <f t="shared" ref="I7:I70" si="0">IF(LEFT(A7,5)="Gross",A6,I6)</f>
        <v>Assam</v>
      </c>
    </row>
    <row r="8" spans="1:12" ht="24" x14ac:dyDescent="0.25">
      <c r="A8" s="52" t="s">
        <v>166</v>
      </c>
      <c r="B8" s="53"/>
      <c r="C8" s="53"/>
      <c r="D8" s="53"/>
      <c r="E8" s="53"/>
      <c r="F8" s="53"/>
      <c r="G8" s="53"/>
      <c r="H8" s="53"/>
      <c r="I8" t="str">
        <f t="shared" si="0"/>
        <v>Assam</v>
      </c>
    </row>
    <row r="9" spans="1:12" ht="24" x14ac:dyDescent="0.25">
      <c r="A9" s="52" t="s">
        <v>167</v>
      </c>
      <c r="B9" s="53"/>
      <c r="C9" s="53"/>
      <c r="D9" s="53"/>
      <c r="E9" s="53"/>
      <c r="F9" s="53"/>
      <c r="G9" s="53"/>
      <c r="H9" s="53"/>
      <c r="I9" t="str">
        <f t="shared" si="0"/>
        <v>Assam</v>
      </c>
    </row>
    <row r="10" spans="1:12" ht="36" x14ac:dyDescent="0.25">
      <c r="A10" s="52" t="s">
        <v>168</v>
      </c>
      <c r="B10" s="53"/>
      <c r="C10" s="53"/>
      <c r="D10" s="53"/>
      <c r="E10" s="53"/>
      <c r="F10" s="53"/>
      <c r="G10" s="53"/>
      <c r="H10" s="102">
        <v>2410.63</v>
      </c>
      <c r="I10" t="str">
        <f t="shared" si="0"/>
        <v>Assam</v>
      </c>
    </row>
    <row r="11" spans="1:12" ht="24" x14ac:dyDescent="0.25">
      <c r="A11" s="54" t="s">
        <v>169</v>
      </c>
      <c r="B11" s="55"/>
      <c r="C11" s="55"/>
      <c r="D11" s="55"/>
      <c r="E11" s="55"/>
      <c r="F11" s="55"/>
      <c r="G11" s="55"/>
      <c r="H11" s="55"/>
      <c r="I11" t="str">
        <f t="shared" si="0"/>
        <v>Assam</v>
      </c>
    </row>
    <row r="12" spans="1:12" x14ac:dyDescent="0.25">
      <c r="A12" s="149" t="s">
        <v>170</v>
      </c>
      <c r="B12" s="150"/>
      <c r="C12" s="150"/>
      <c r="D12" s="150"/>
      <c r="E12" s="150"/>
      <c r="F12" s="150"/>
      <c r="G12" s="150"/>
      <c r="H12" s="151"/>
    </row>
    <row r="13" spans="1:12" ht="24" x14ac:dyDescent="0.25">
      <c r="A13" s="50" t="s">
        <v>171</v>
      </c>
      <c r="B13" s="51"/>
      <c r="C13" s="51"/>
      <c r="D13" s="51"/>
      <c r="E13" s="51"/>
      <c r="F13" s="51"/>
      <c r="G13" s="51"/>
      <c r="H13" s="51">
        <v>29.51</v>
      </c>
      <c r="I13" t="str">
        <f t="shared" si="0"/>
        <v>Arunachal Pradesh</v>
      </c>
    </row>
    <row r="14" spans="1:12" x14ac:dyDescent="0.25">
      <c r="A14" s="52" t="s">
        <v>165</v>
      </c>
      <c r="B14" s="53"/>
      <c r="C14" s="53"/>
      <c r="D14" s="53"/>
      <c r="E14" s="53"/>
      <c r="F14" s="53"/>
      <c r="G14" s="53"/>
      <c r="H14" s="53"/>
      <c r="I14" t="str">
        <f t="shared" si="0"/>
        <v>Arunachal Pradesh</v>
      </c>
    </row>
    <row r="15" spans="1:12" ht="24" x14ac:dyDescent="0.25">
      <c r="A15" s="52" t="s">
        <v>166</v>
      </c>
      <c r="B15" s="53"/>
      <c r="C15" s="53"/>
      <c r="D15" s="53"/>
      <c r="E15" s="53"/>
      <c r="F15" s="53"/>
      <c r="G15" s="53"/>
      <c r="H15" s="53"/>
      <c r="I15" t="str">
        <f t="shared" si="0"/>
        <v>Arunachal Pradesh</v>
      </c>
    </row>
    <row r="16" spans="1:12" ht="24" x14ac:dyDescent="0.25">
      <c r="A16" s="52" t="s">
        <v>167</v>
      </c>
      <c r="B16" s="53"/>
      <c r="C16" s="53"/>
      <c r="D16" s="53"/>
      <c r="E16" s="53"/>
      <c r="F16" s="53"/>
      <c r="G16" s="53"/>
      <c r="H16" s="53"/>
      <c r="I16" t="str">
        <f t="shared" si="0"/>
        <v>Arunachal Pradesh</v>
      </c>
    </row>
    <row r="17" spans="1:9" ht="36" x14ac:dyDescent="0.25">
      <c r="A17" s="52" t="s">
        <v>168</v>
      </c>
      <c r="B17" s="53"/>
      <c r="C17" s="53"/>
      <c r="D17" s="53"/>
      <c r="E17" s="53"/>
      <c r="F17" s="53"/>
      <c r="G17" s="53"/>
      <c r="H17" s="102">
        <v>0</v>
      </c>
      <c r="I17" t="str">
        <f t="shared" si="0"/>
        <v>Arunachal Pradesh</v>
      </c>
    </row>
    <row r="18" spans="1:9" ht="24" x14ac:dyDescent="0.25">
      <c r="A18" s="54" t="s">
        <v>169</v>
      </c>
      <c r="B18" s="55"/>
      <c r="C18" s="55"/>
      <c r="D18" s="55"/>
      <c r="E18" s="55"/>
      <c r="F18" s="55"/>
      <c r="G18" s="55"/>
      <c r="H18" s="55"/>
      <c r="I18" t="str">
        <f t="shared" si="0"/>
        <v>Arunachal Pradesh</v>
      </c>
    </row>
    <row r="19" spans="1:9" x14ac:dyDescent="0.25">
      <c r="A19" s="149" t="s">
        <v>172</v>
      </c>
      <c r="B19" s="150"/>
      <c r="C19" s="150"/>
      <c r="D19" s="150"/>
      <c r="E19" s="150"/>
      <c r="F19" s="150"/>
      <c r="G19" s="150"/>
      <c r="H19" s="151"/>
    </row>
    <row r="20" spans="1:9" ht="24" x14ac:dyDescent="0.25">
      <c r="A20" s="50" t="s">
        <v>171</v>
      </c>
      <c r="B20" s="51"/>
      <c r="C20" s="51"/>
      <c r="D20" s="51"/>
      <c r="E20" s="51"/>
      <c r="F20" s="51"/>
      <c r="G20" s="51"/>
      <c r="H20" s="51">
        <v>1441.93</v>
      </c>
      <c r="I20" t="str">
        <f t="shared" si="0"/>
        <v>Rajasthan</v>
      </c>
    </row>
    <row r="21" spans="1:9" x14ac:dyDescent="0.25">
      <c r="A21" s="52" t="s">
        <v>165</v>
      </c>
      <c r="B21" s="53"/>
      <c r="C21" s="53"/>
      <c r="D21" s="53"/>
      <c r="E21" s="53"/>
      <c r="F21" s="53"/>
      <c r="G21" s="53"/>
      <c r="H21" s="53"/>
      <c r="I21" t="str">
        <f t="shared" si="0"/>
        <v>Rajasthan</v>
      </c>
    </row>
    <row r="22" spans="1:9" ht="24" x14ac:dyDescent="0.25">
      <c r="A22" s="52" t="s">
        <v>166</v>
      </c>
      <c r="B22" s="53"/>
      <c r="C22" s="53"/>
      <c r="D22" s="53"/>
      <c r="E22" s="53"/>
      <c r="F22" s="53"/>
      <c r="G22" s="53"/>
      <c r="H22" s="53"/>
      <c r="I22" t="str">
        <f t="shared" si="0"/>
        <v>Rajasthan</v>
      </c>
    </row>
    <row r="23" spans="1:9" ht="24" x14ac:dyDescent="0.25">
      <c r="A23" s="52" t="s">
        <v>167</v>
      </c>
      <c r="B23" s="53"/>
      <c r="C23" s="53"/>
      <c r="D23" s="53"/>
      <c r="E23" s="53"/>
      <c r="F23" s="53"/>
      <c r="G23" s="53"/>
      <c r="H23" s="53"/>
      <c r="I23" t="str">
        <f t="shared" si="0"/>
        <v>Rajasthan</v>
      </c>
    </row>
    <row r="24" spans="1:9" ht="36" x14ac:dyDescent="0.25">
      <c r="A24" s="52" t="s">
        <v>168</v>
      </c>
      <c r="B24" s="53"/>
      <c r="C24" s="53"/>
      <c r="D24" s="53"/>
      <c r="E24" s="53"/>
      <c r="F24" s="53"/>
      <c r="G24" s="53"/>
      <c r="H24" s="102">
        <v>743.1</v>
      </c>
      <c r="I24" t="str">
        <f t="shared" si="0"/>
        <v>Rajasthan</v>
      </c>
    </row>
    <row r="25" spans="1:9" ht="24" x14ac:dyDescent="0.25">
      <c r="A25" s="54" t="s">
        <v>169</v>
      </c>
      <c r="B25" s="55"/>
      <c r="C25" s="55"/>
      <c r="D25" s="55"/>
      <c r="E25" s="55"/>
      <c r="F25" s="55"/>
      <c r="G25" s="55"/>
      <c r="H25" s="55"/>
      <c r="I25" t="str">
        <f t="shared" si="0"/>
        <v>Rajasthan</v>
      </c>
    </row>
    <row r="26" spans="1:9" x14ac:dyDescent="0.25">
      <c r="A26" s="149" t="s">
        <v>173</v>
      </c>
      <c r="B26" s="150"/>
      <c r="C26" s="150"/>
      <c r="D26" s="150"/>
      <c r="E26" s="150"/>
      <c r="F26" s="150"/>
      <c r="G26" s="150"/>
      <c r="H26" s="151"/>
    </row>
    <row r="27" spans="1:9" ht="24" x14ac:dyDescent="0.25">
      <c r="A27" s="50" t="s">
        <v>171</v>
      </c>
      <c r="B27" s="51"/>
      <c r="C27" s="51"/>
      <c r="D27" s="51"/>
      <c r="E27" s="51"/>
      <c r="F27" s="51"/>
      <c r="G27" s="51"/>
      <c r="H27" s="51">
        <v>1606.66</v>
      </c>
      <c r="I27" t="str">
        <f t="shared" si="0"/>
        <v>Gujarat</v>
      </c>
    </row>
    <row r="28" spans="1:9" x14ac:dyDescent="0.25">
      <c r="A28" s="52" t="s">
        <v>165</v>
      </c>
      <c r="B28" s="53"/>
      <c r="C28" s="53"/>
      <c r="D28" s="53"/>
      <c r="E28" s="53"/>
      <c r="F28" s="53"/>
      <c r="G28" s="53"/>
      <c r="H28" s="53"/>
      <c r="I28" t="str">
        <f t="shared" si="0"/>
        <v>Gujarat</v>
      </c>
    </row>
    <row r="29" spans="1:9" ht="24" x14ac:dyDescent="0.25">
      <c r="A29" s="52" t="s">
        <v>166</v>
      </c>
      <c r="B29" s="53"/>
      <c r="C29" s="53"/>
      <c r="D29" s="53"/>
      <c r="E29" s="53"/>
      <c r="F29" s="53"/>
      <c r="G29" s="53"/>
      <c r="H29" s="53"/>
      <c r="I29" t="str">
        <f t="shared" si="0"/>
        <v>Gujarat</v>
      </c>
    </row>
    <row r="30" spans="1:9" ht="24" x14ac:dyDescent="0.25">
      <c r="A30" s="52" t="s">
        <v>167</v>
      </c>
      <c r="B30" s="53"/>
      <c r="C30" s="53"/>
      <c r="D30" s="53"/>
      <c r="E30" s="53"/>
      <c r="F30" s="53"/>
      <c r="G30" s="53"/>
      <c r="H30" s="53"/>
      <c r="I30" t="str">
        <f t="shared" si="0"/>
        <v>Gujarat</v>
      </c>
    </row>
    <row r="31" spans="1:9" ht="36" x14ac:dyDescent="0.25">
      <c r="A31" s="52" t="s">
        <v>168</v>
      </c>
      <c r="B31" s="53"/>
      <c r="C31" s="53"/>
      <c r="D31" s="53"/>
      <c r="E31" s="53"/>
      <c r="F31" s="53"/>
      <c r="G31" s="53"/>
      <c r="H31" s="102">
        <v>1133.3</v>
      </c>
      <c r="I31" t="str">
        <f t="shared" si="0"/>
        <v>Gujarat</v>
      </c>
    </row>
    <row r="32" spans="1:9" ht="24" x14ac:dyDescent="0.25">
      <c r="A32" s="54" t="s">
        <v>169</v>
      </c>
      <c r="B32" s="55"/>
      <c r="C32" s="55"/>
      <c r="D32" s="55"/>
      <c r="E32" s="55"/>
      <c r="F32" s="55"/>
      <c r="G32" s="55"/>
      <c r="H32" s="55"/>
      <c r="I32" t="str">
        <f t="shared" si="0"/>
        <v>Gujarat</v>
      </c>
    </row>
    <row r="33" spans="1:9" x14ac:dyDescent="0.25">
      <c r="A33" s="149" t="s">
        <v>174</v>
      </c>
      <c r="B33" s="150"/>
      <c r="C33" s="150"/>
      <c r="D33" s="150"/>
      <c r="E33" s="150"/>
      <c r="F33" s="150"/>
      <c r="G33" s="150"/>
      <c r="H33" s="151"/>
    </row>
    <row r="34" spans="1:9" ht="24" x14ac:dyDescent="0.25">
      <c r="A34" s="50" t="s">
        <v>171</v>
      </c>
      <c r="B34" s="51"/>
      <c r="C34" s="51"/>
      <c r="D34" s="51"/>
      <c r="E34" s="51"/>
      <c r="F34" s="51"/>
      <c r="G34" s="51"/>
      <c r="H34" s="51">
        <v>1207.22</v>
      </c>
      <c r="I34" t="str">
        <f t="shared" si="0"/>
        <v>Tamil Nadu</v>
      </c>
    </row>
    <row r="35" spans="1:9" x14ac:dyDescent="0.25">
      <c r="A35" s="52" t="s">
        <v>165</v>
      </c>
      <c r="B35" s="53"/>
      <c r="C35" s="53"/>
      <c r="D35" s="53"/>
      <c r="E35" s="53"/>
      <c r="F35" s="53"/>
      <c r="G35" s="53"/>
      <c r="H35" s="53"/>
      <c r="I35" t="str">
        <f t="shared" si="0"/>
        <v>Tamil Nadu</v>
      </c>
    </row>
    <row r="36" spans="1:9" ht="24" x14ac:dyDescent="0.25">
      <c r="A36" s="52" t="s">
        <v>166</v>
      </c>
      <c r="B36" s="53"/>
      <c r="C36" s="53"/>
      <c r="D36" s="53"/>
      <c r="E36" s="53"/>
      <c r="F36" s="53"/>
      <c r="G36" s="53"/>
      <c r="H36" s="53"/>
      <c r="I36" t="str">
        <f t="shared" si="0"/>
        <v>Tamil Nadu</v>
      </c>
    </row>
    <row r="37" spans="1:9" ht="24" x14ac:dyDescent="0.25">
      <c r="A37" s="52" t="s">
        <v>167</v>
      </c>
      <c r="B37" s="53"/>
      <c r="C37" s="53"/>
      <c r="D37" s="53"/>
      <c r="E37" s="53"/>
      <c r="F37" s="53"/>
      <c r="G37" s="53"/>
      <c r="H37" s="53"/>
      <c r="I37" t="str">
        <f t="shared" si="0"/>
        <v>Tamil Nadu</v>
      </c>
    </row>
    <row r="38" spans="1:9" ht="36" x14ac:dyDescent="0.25">
      <c r="A38" s="52" t="s">
        <v>168</v>
      </c>
      <c r="B38" s="53"/>
      <c r="C38" s="53"/>
      <c r="D38" s="53"/>
      <c r="E38" s="53"/>
      <c r="F38" s="53"/>
      <c r="G38" s="53"/>
      <c r="H38" s="102">
        <v>1178.73</v>
      </c>
      <c r="I38" t="str">
        <f t="shared" si="0"/>
        <v>Tamil Nadu</v>
      </c>
    </row>
    <row r="39" spans="1:9" ht="24" x14ac:dyDescent="0.25">
      <c r="A39" s="54" t="s">
        <v>169</v>
      </c>
      <c r="B39" s="55"/>
      <c r="C39" s="55"/>
      <c r="D39" s="55"/>
      <c r="E39" s="55"/>
      <c r="F39" s="55"/>
      <c r="G39" s="55"/>
      <c r="H39" s="55"/>
      <c r="I39" t="str">
        <f t="shared" si="0"/>
        <v>Tamil Nadu</v>
      </c>
    </row>
    <row r="40" spans="1:9" x14ac:dyDescent="0.25">
      <c r="A40" s="149" t="s">
        <v>175</v>
      </c>
      <c r="B40" s="150"/>
      <c r="C40" s="150"/>
      <c r="D40" s="150"/>
      <c r="E40" s="150"/>
      <c r="F40" s="150"/>
      <c r="G40" s="150"/>
      <c r="H40" s="151"/>
    </row>
    <row r="41" spans="1:9" ht="24" x14ac:dyDescent="0.25">
      <c r="A41" s="50" t="s">
        <v>171</v>
      </c>
      <c r="B41" s="51"/>
      <c r="C41" s="51"/>
      <c r="D41" s="51"/>
      <c r="E41" s="51"/>
      <c r="F41" s="51"/>
      <c r="G41" s="51"/>
      <c r="H41" s="51">
        <v>959.16</v>
      </c>
      <c r="I41" t="str">
        <f t="shared" si="0"/>
        <v>Andhra Pradesh</v>
      </c>
    </row>
    <row r="42" spans="1:9" x14ac:dyDescent="0.25">
      <c r="A42" s="52" t="s">
        <v>165</v>
      </c>
      <c r="B42" s="53"/>
      <c r="C42" s="53"/>
      <c r="D42" s="53"/>
      <c r="E42" s="53"/>
      <c r="F42" s="53"/>
      <c r="G42" s="53"/>
      <c r="H42" s="53"/>
      <c r="I42" t="str">
        <f t="shared" si="0"/>
        <v>Andhra Pradesh</v>
      </c>
    </row>
    <row r="43" spans="1:9" ht="24" x14ac:dyDescent="0.25">
      <c r="A43" s="52" t="s">
        <v>166</v>
      </c>
      <c r="B43" s="53"/>
      <c r="C43" s="53"/>
      <c r="D43" s="53"/>
      <c r="E43" s="53"/>
      <c r="F43" s="53"/>
      <c r="G43" s="53"/>
      <c r="H43" s="53"/>
      <c r="I43" t="str">
        <f t="shared" si="0"/>
        <v>Andhra Pradesh</v>
      </c>
    </row>
    <row r="44" spans="1:9" ht="24" x14ac:dyDescent="0.25">
      <c r="A44" s="52" t="s">
        <v>167</v>
      </c>
      <c r="B44" s="53"/>
      <c r="C44" s="53"/>
      <c r="D44" s="53"/>
      <c r="E44" s="53"/>
      <c r="F44" s="53"/>
      <c r="G44" s="53"/>
      <c r="H44" s="53"/>
      <c r="I44" t="str">
        <f t="shared" si="0"/>
        <v>Andhra Pradesh</v>
      </c>
    </row>
    <row r="45" spans="1:9" ht="36" x14ac:dyDescent="0.25">
      <c r="A45" s="52" t="s">
        <v>168</v>
      </c>
      <c r="B45" s="53"/>
      <c r="C45" s="53"/>
      <c r="D45" s="53"/>
      <c r="E45" s="53"/>
      <c r="F45" s="53"/>
      <c r="G45" s="53"/>
      <c r="H45" s="102">
        <v>911.21</v>
      </c>
      <c r="I45" t="str">
        <f t="shared" si="0"/>
        <v>Andhra Pradesh</v>
      </c>
    </row>
    <row r="46" spans="1:9" ht="24" x14ac:dyDescent="0.25">
      <c r="A46" s="54" t="s">
        <v>169</v>
      </c>
      <c r="B46" s="55"/>
      <c r="C46" s="55"/>
      <c r="D46" s="55"/>
      <c r="E46" s="55"/>
      <c r="F46" s="55"/>
      <c r="G46" s="55"/>
      <c r="H46" s="55"/>
      <c r="I46" t="str">
        <f t="shared" si="0"/>
        <v>Andhra Pradesh</v>
      </c>
    </row>
    <row r="47" spans="1:9" x14ac:dyDescent="0.25">
      <c r="A47" s="161" t="s">
        <v>335</v>
      </c>
      <c r="B47" s="150"/>
      <c r="C47" s="150"/>
      <c r="D47" s="150"/>
      <c r="E47" s="150"/>
      <c r="F47" s="150"/>
      <c r="G47" s="150"/>
      <c r="H47" s="151"/>
    </row>
    <row r="48" spans="1:9" ht="24" x14ac:dyDescent="0.25">
      <c r="A48" s="50" t="s">
        <v>171</v>
      </c>
      <c r="B48" s="51"/>
      <c r="C48" s="51"/>
      <c r="D48" s="51"/>
      <c r="E48" s="51"/>
      <c r="F48" s="51"/>
      <c r="G48" s="51"/>
      <c r="H48" s="51">
        <v>1440.37</v>
      </c>
      <c r="I48" t="str">
        <f t="shared" si="0"/>
        <v>Tripura</v>
      </c>
    </row>
    <row r="49" spans="1:9" x14ac:dyDescent="0.25">
      <c r="A49" s="52" t="s">
        <v>165</v>
      </c>
      <c r="B49" s="53"/>
      <c r="C49" s="53"/>
      <c r="D49" s="53"/>
      <c r="E49" s="53"/>
      <c r="F49" s="53"/>
      <c r="G49" s="53"/>
      <c r="H49" s="53"/>
      <c r="I49" t="str">
        <f t="shared" si="0"/>
        <v>Tripura</v>
      </c>
    </row>
    <row r="50" spans="1:9" ht="24" x14ac:dyDescent="0.25">
      <c r="A50" s="52" t="s">
        <v>166</v>
      </c>
      <c r="B50" s="53"/>
      <c r="C50" s="53"/>
      <c r="D50" s="53"/>
      <c r="E50" s="53"/>
      <c r="F50" s="53"/>
      <c r="G50" s="53"/>
      <c r="H50" s="53"/>
      <c r="I50" t="str">
        <f t="shared" si="0"/>
        <v>Tripura</v>
      </c>
    </row>
    <row r="51" spans="1:9" ht="24" x14ac:dyDescent="0.25">
      <c r="A51" s="52" t="s">
        <v>167</v>
      </c>
      <c r="B51" s="53"/>
      <c r="C51" s="53"/>
      <c r="D51" s="53"/>
      <c r="E51" s="53"/>
      <c r="F51" s="53"/>
      <c r="G51" s="53"/>
      <c r="H51" s="53"/>
      <c r="I51" t="str">
        <f t="shared" si="0"/>
        <v>Tripura</v>
      </c>
    </row>
    <row r="52" spans="1:9" ht="36" x14ac:dyDescent="0.25">
      <c r="A52" s="52" t="s">
        <v>168</v>
      </c>
      <c r="B52" s="53"/>
      <c r="C52" s="53"/>
      <c r="D52" s="53"/>
      <c r="E52" s="53"/>
      <c r="F52" s="53"/>
      <c r="G52" s="53"/>
      <c r="H52" s="102">
        <v>1437.16</v>
      </c>
      <c r="I52" t="str">
        <f t="shared" si="0"/>
        <v>Tripura</v>
      </c>
    </row>
    <row r="53" spans="1:9" ht="24" x14ac:dyDescent="0.25">
      <c r="A53" s="54" t="s">
        <v>169</v>
      </c>
      <c r="B53" s="55"/>
      <c r="C53" s="55"/>
      <c r="D53" s="55"/>
      <c r="E53" s="55"/>
      <c r="F53" s="55"/>
      <c r="G53" s="55"/>
      <c r="H53" s="55"/>
      <c r="I53" t="str">
        <f t="shared" si="0"/>
        <v>Tripura</v>
      </c>
    </row>
    <row r="54" spans="1:9" x14ac:dyDescent="0.25">
      <c r="A54" s="161" t="s">
        <v>23</v>
      </c>
      <c r="B54" s="150"/>
      <c r="C54" s="150"/>
      <c r="D54" s="150"/>
      <c r="E54" s="150"/>
      <c r="F54" s="150"/>
      <c r="G54" s="150"/>
      <c r="H54" s="151"/>
    </row>
    <row r="55" spans="1:9" ht="24" x14ac:dyDescent="0.25">
      <c r="A55" s="50" t="s">
        <v>171</v>
      </c>
      <c r="B55" s="51"/>
      <c r="C55" s="51"/>
      <c r="D55" s="51"/>
      <c r="E55" s="51"/>
      <c r="F55" s="51"/>
      <c r="G55" s="51"/>
      <c r="H55" s="51">
        <v>531</v>
      </c>
      <c r="I55" t="str">
        <f t="shared" si="0"/>
        <v>West Bengal</v>
      </c>
    </row>
    <row r="56" spans="1:9" x14ac:dyDescent="0.25">
      <c r="A56" s="52" t="s">
        <v>165</v>
      </c>
      <c r="B56" s="53"/>
      <c r="C56" s="53"/>
      <c r="D56" s="53"/>
      <c r="E56" s="53"/>
      <c r="F56" s="53"/>
      <c r="G56" s="53"/>
      <c r="H56" s="53"/>
      <c r="I56" t="str">
        <f t="shared" si="0"/>
        <v>West Bengal</v>
      </c>
    </row>
    <row r="57" spans="1:9" ht="24" x14ac:dyDescent="0.25">
      <c r="A57" s="52" t="s">
        <v>166</v>
      </c>
      <c r="B57" s="53"/>
      <c r="C57" s="53"/>
      <c r="D57" s="53"/>
      <c r="E57" s="53"/>
      <c r="F57" s="53"/>
      <c r="G57" s="53"/>
      <c r="H57" s="53"/>
      <c r="I57" t="str">
        <f t="shared" si="0"/>
        <v>West Bengal</v>
      </c>
    </row>
    <row r="58" spans="1:9" ht="24" x14ac:dyDescent="0.25">
      <c r="A58" s="52" t="s">
        <v>167</v>
      </c>
      <c r="B58" s="53"/>
      <c r="C58" s="53"/>
      <c r="D58" s="53"/>
      <c r="E58" s="53"/>
      <c r="F58" s="53"/>
      <c r="G58" s="53"/>
      <c r="H58" s="53"/>
      <c r="I58" t="str">
        <f t="shared" si="0"/>
        <v>West Bengal</v>
      </c>
    </row>
    <row r="59" spans="1:9" ht="36" x14ac:dyDescent="0.25">
      <c r="A59" s="52" t="s">
        <v>168</v>
      </c>
      <c r="B59" s="53"/>
      <c r="C59" s="53"/>
      <c r="D59" s="53"/>
      <c r="E59" s="53"/>
      <c r="F59" s="53"/>
      <c r="G59" s="53"/>
      <c r="H59" s="102">
        <v>296</v>
      </c>
      <c r="I59" t="str">
        <f t="shared" si="0"/>
        <v>West Bengal</v>
      </c>
    </row>
    <row r="60" spans="1:9" ht="24" x14ac:dyDescent="0.25">
      <c r="A60" s="54" t="s">
        <v>169</v>
      </c>
      <c r="B60" s="55"/>
      <c r="C60" s="55"/>
      <c r="D60" s="55"/>
      <c r="E60" s="55"/>
      <c r="F60" s="55"/>
      <c r="G60" s="55"/>
      <c r="H60" s="55"/>
      <c r="I60" t="str">
        <f t="shared" si="0"/>
        <v>West Bengal</v>
      </c>
    </row>
    <row r="61" spans="1:9" x14ac:dyDescent="0.25">
      <c r="A61" s="161" t="s">
        <v>15</v>
      </c>
      <c r="B61" s="150"/>
      <c r="C61" s="150"/>
      <c r="D61" s="150"/>
      <c r="E61" s="150"/>
      <c r="F61" s="150"/>
      <c r="G61" s="150"/>
      <c r="H61" s="151"/>
    </row>
    <row r="62" spans="1:9" ht="24" x14ac:dyDescent="0.25">
      <c r="A62" s="50" t="s">
        <v>171</v>
      </c>
      <c r="B62" s="56"/>
      <c r="C62" s="51"/>
      <c r="D62" s="51"/>
      <c r="E62" s="51"/>
      <c r="F62" s="51"/>
      <c r="G62" s="51"/>
      <c r="H62" s="51">
        <v>199.77</v>
      </c>
      <c r="I62" t="str">
        <f t="shared" si="0"/>
        <v>Madhya Pradesh</v>
      </c>
    </row>
    <row r="63" spans="1:9" x14ac:dyDescent="0.25">
      <c r="A63" s="52" t="s">
        <v>165</v>
      </c>
      <c r="B63" s="57"/>
      <c r="C63" s="53"/>
      <c r="D63" s="53"/>
      <c r="E63" s="53"/>
      <c r="F63" s="53"/>
      <c r="G63" s="53"/>
      <c r="H63" s="53"/>
      <c r="I63" t="str">
        <f t="shared" si="0"/>
        <v>Madhya Pradesh</v>
      </c>
    </row>
    <row r="64" spans="1:9" ht="24" x14ac:dyDescent="0.25">
      <c r="A64" s="52" t="s">
        <v>166</v>
      </c>
      <c r="B64" s="57"/>
      <c r="C64" s="53"/>
      <c r="D64" s="53"/>
      <c r="E64" s="53"/>
      <c r="F64" s="53"/>
      <c r="G64" s="53"/>
      <c r="H64" s="53"/>
      <c r="I64" t="str">
        <f t="shared" si="0"/>
        <v>Madhya Pradesh</v>
      </c>
    </row>
    <row r="65" spans="1:9" ht="24" x14ac:dyDescent="0.25">
      <c r="A65" s="52" t="s">
        <v>167</v>
      </c>
      <c r="B65" s="57"/>
      <c r="C65" s="53"/>
      <c r="D65" s="53"/>
      <c r="E65" s="53"/>
      <c r="F65" s="53"/>
      <c r="G65" s="53"/>
      <c r="H65" s="53"/>
      <c r="I65" t="str">
        <f t="shared" si="0"/>
        <v>Madhya Pradesh</v>
      </c>
    </row>
    <row r="66" spans="1:9" ht="36" x14ac:dyDescent="0.25">
      <c r="A66" s="52" t="s">
        <v>168</v>
      </c>
      <c r="B66" s="57"/>
      <c r="C66" s="53"/>
      <c r="D66" s="53"/>
      <c r="E66" s="53"/>
      <c r="F66" s="53"/>
      <c r="G66" s="53"/>
      <c r="H66" s="102">
        <v>184.13</v>
      </c>
      <c r="I66" t="str">
        <f t="shared" si="0"/>
        <v>Madhya Pradesh</v>
      </c>
    </row>
    <row r="67" spans="1:9" ht="24" x14ac:dyDescent="0.25">
      <c r="A67" s="54" t="s">
        <v>169</v>
      </c>
      <c r="B67" s="58"/>
      <c r="C67" s="55"/>
      <c r="D67" s="55"/>
      <c r="E67" s="55"/>
      <c r="F67" s="55"/>
      <c r="G67" s="55"/>
      <c r="H67" s="55"/>
      <c r="I67" t="str">
        <f t="shared" si="0"/>
        <v>Madhya Pradesh</v>
      </c>
    </row>
    <row r="68" spans="1:9" x14ac:dyDescent="0.25">
      <c r="A68" s="161" t="s">
        <v>12</v>
      </c>
      <c r="B68" s="150"/>
      <c r="C68" s="150"/>
      <c r="D68" s="150"/>
      <c r="E68" s="150"/>
      <c r="F68" s="150"/>
      <c r="G68" s="150"/>
      <c r="H68" s="151"/>
    </row>
    <row r="69" spans="1:9" ht="24" x14ac:dyDescent="0.25">
      <c r="A69" s="50" t="s">
        <v>171</v>
      </c>
      <c r="B69" s="56"/>
      <c r="C69" s="51"/>
      <c r="D69" s="51"/>
      <c r="E69" s="51"/>
      <c r="F69" s="51"/>
      <c r="G69" s="51"/>
      <c r="H69" s="51">
        <v>3.96</v>
      </c>
      <c r="I69" t="str">
        <f t="shared" si="0"/>
        <v>Jharkhand</v>
      </c>
    </row>
    <row r="70" spans="1:9" x14ac:dyDescent="0.25">
      <c r="A70" s="52" t="s">
        <v>165</v>
      </c>
      <c r="B70" s="57"/>
      <c r="C70" s="53"/>
      <c r="D70" s="53"/>
      <c r="E70" s="53"/>
      <c r="F70" s="53"/>
      <c r="G70" s="53"/>
      <c r="H70" s="53"/>
      <c r="I70" t="str">
        <f t="shared" si="0"/>
        <v>Jharkhand</v>
      </c>
    </row>
    <row r="71" spans="1:9" ht="24" x14ac:dyDescent="0.25">
      <c r="A71" s="52" t="s">
        <v>166</v>
      </c>
      <c r="B71" s="57"/>
      <c r="C71" s="53"/>
      <c r="D71" s="53"/>
      <c r="E71" s="53"/>
      <c r="F71" s="53"/>
      <c r="G71" s="53"/>
      <c r="H71" s="53"/>
      <c r="I71" t="str">
        <f t="shared" ref="I71:I95" si="1">IF(LEFT(A71,5)="Gross",A70,I70)</f>
        <v>Jharkhand</v>
      </c>
    </row>
    <row r="72" spans="1:9" ht="24" x14ac:dyDescent="0.25">
      <c r="A72" s="52" t="s">
        <v>167</v>
      </c>
      <c r="B72" s="57"/>
      <c r="C72" s="53"/>
      <c r="D72" s="53"/>
      <c r="E72" s="53"/>
      <c r="F72" s="53"/>
      <c r="G72" s="53"/>
      <c r="H72" s="53"/>
      <c r="I72" t="str">
        <f t="shared" si="1"/>
        <v>Jharkhand</v>
      </c>
    </row>
    <row r="73" spans="1:9" ht="36" x14ac:dyDescent="0.25">
      <c r="A73" s="52" t="s">
        <v>168</v>
      </c>
      <c r="B73" s="57"/>
      <c r="C73" s="53"/>
      <c r="D73" s="53"/>
      <c r="E73" s="53"/>
      <c r="F73" s="53"/>
      <c r="G73" s="53"/>
      <c r="H73" s="102">
        <v>3.47</v>
      </c>
      <c r="I73" t="str">
        <f t="shared" si="1"/>
        <v>Jharkhand</v>
      </c>
    </row>
    <row r="74" spans="1:9" ht="24" x14ac:dyDescent="0.25">
      <c r="A74" s="54" t="s">
        <v>169</v>
      </c>
      <c r="B74" s="58"/>
      <c r="C74" s="55"/>
      <c r="D74" s="55"/>
      <c r="E74" s="55"/>
      <c r="F74" s="55"/>
      <c r="G74" s="55"/>
      <c r="H74" s="55"/>
      <c r="I74" t="str">
        <f t="shared" si="1"/>
        <v>Jharkhand</v>
      </c>
    </row>
    <row r="75" spans="1:9" x14ac:dyDescent="0.25">
      <c r="A75" s="158" t="s">
        <v>176</v>
      </c>
      <c r="B75" s="159"/>
      <c r="C75" s="159"/>
      <c r="D75" s="159"/>
      <c r="E75" s="159"/>
      <c r="F75" s="159"/>
      <c r="G75" s="159"/>
      <c r="H75" s="160"/>
    </row>
    <row r="76" spans="1:9" ht="24" x14ac:dyDescent="0.25">
      <c r="A76" s="50" t="s">
        <v>171</v>
      </c>
      <c r="B76" s="51"/>
      <c r="C76" s="51"/>
      <c r="D76" s="51"/>
      <c r="E76" s="51"/>
      <c r="F76" s="51"/>
      <c r="G76" s="51"/>
      <c r="H76" s="51"/>
      <c r="I76" t="str">
        <f t="shared" si="1"/>
        <v>A. Total Onshore</v>
      </c>
    </row>
    <row r="77" spans="1:9" x14ac:dyDescent="0.25">
      <c r="A77" s="52" t="s">
        <v>165</v>
      </c>
      <c r="B77" s="53"/>
      <c r="C77" s="53"/>
      <c r="D77" s="53"/>
      <c r="E77" s="53"/>
      <c r="F77" s="53"/>
      <c r="G77" s="53"/>
      <c r="H77" s="53"/>
      <c r="I77" t="str">
        <f t="shared" si="1"/>
        <v>A. Total Onshore</v>
      </c>
    </row>
    <row r="78" spans="1:9" ht="24" x14ac:dyDescent="0.25">
      <c r="A78" s="52" t="s">
        <v>166</v>
      </c>
      <c r="B78" s="53"/>
      <c r="C78" s="53"/>
      <c r="D78" s="53"/>
      <c r="E78" s="53"/>
      <c r="F78" s="53"/>
      <c r="G78" s="53"/>
      <c r="H78" s="53"/>
      <c r="I78" t="str">
        <f t="shared" si="1"/>
        <v>A. Total Onshore</v>
      </c>
    </row>
    <row r="79" spans="1:9" ht="24" x14ac:dyDescent="0.25">
      <c r="A79" s="52" t="s">
        <v>167</v>
      </c>
      <c r="B79" s="53"/>
      <c r="C79" s="53"/>
      <c r="D79" s="53"/>
      <c r="E79" s="53"/>
      <c r="F79" s="53"/>
      <c r="G79" s="53"/>
      <c r="H79" s="53"/>
      <c r="I79" t="str">
        <f t="shared" si="1"/>
        <v>A. Total Onshore</v>
      </c>
    </row>
    <row r="80" spans="1:9" ht="36" x14ac:dyDescent="0.25">
      <c r="A80" s="52" t="s">
        <v>168</v>
      </c>
      <c r="B80" s="53"/>
      <c r="C80" s="53"/>
      <c r="D80" s="53"/>
      <c r="E80" s="53"/>
      <c r="F80" s="53"/>
      <c r="G80" s="53"/>
      <c r="H80" s="102">
        <v>8297.73</v>
      </c>
      <c r="I80" t="str">
        <f t="shared" si="1"/>
        <v>A. Total Onshore</v>
      </c>
    </row>
    <row r="81" spans="1:9" ht="24" x14ac:dyDescent="0.25">
      <c r="A81" s="54" t="s">
        <v>169</v>
      </c>
      <c r="B81" s="55"/>
      <c r="C81" s="55"/>
      <c r="D81" s="55"/>
      <c r="E81" s="55"/>
      <c r="F81" s="55"/>
      <c r="G81" s="55"/>
      <c r="H81" s="55"/>
      <c r="I81" t="str">
        <f t="shared" si="1"/>
        <v>A. Total Onshore</v>
      </c>
    </row>
    <row r="82" spans="1:9" x14ac:dyDescent="0.25">
      <c r="A82" s="158" t="s">
        <v>177</v>
      </c>
      <c r="B82" s="159"/>
      <c r="C82" s="159"/>
      <c r="D82" s="159"/>
      <c r="E82" s="159"/>
      <c r="F82" s="159"/>
      <c r="G82" s="159"/>
      <c r="H82" s="160"/>
      <c r="I82" t="str">
        <f t="shared" si="1"/>
        <v>A. Total Onshore</v>
      </c>
    </row>
    <row r="83" spans="1:9" ht="24" x14ac:dyDescent="0.25">
      <c r="A83" s="50" t="s">
        <v>171</v>
      </c>
      <c r="B83" s="51"/>
      <c r="C83" s="51"/>
      <c r="D83" s="51"/>
      <c r="E83" s="51"/>
      <c r="F83" s="51"/>
      <c r="G83" s="51"/>
      <c r="H83" s="51"/>
      <c r="I83" t="str">
        <f t="shared" si="1"/>
        <v>B. Offshore</v>
      </c>
    </row>
    <row r="84" spans="1:9" x14ac:dyDescent="0.25">
      <c r="A84" s="52" t="s">
        <v>165</v>
      </c>
      <c r="B84" s="53"/>
      <c r="C84" s="53"/>
      <c r="D84" s="53"/>
      <c r="E84" s="53"/>
      <c r="F84" s="53"/>
      <c r="G84" s="53"/>
      <c r="H84" s="53"/>
      <c r="I84" t="str">
        <f t="shared" si="1"/>
        <v>B. Offshore</v>
      </c>
    </row>
    <row r="85" spans="1:9" ht="24" x14ac:dyDescent="0.25">
      <c r="A85" s="52" t="s">
        <v>166</v>
      </c>
      <c r="B85" s="53"/>
      <c r="C85" s="53"/>
      <c r="D85" s="53"/>
      <c r="E85" s="53"/>
      <c r="F85" s="53"/>
      <c r="G85" s="53"/>
      <c r="H85" s="53"/>
      <c r="I85" t="str">
        <f t="shared" si="1"/>
        <v>B. Offshore</v>
      </c>
    </row>
    <row r="86" spans="1:9" ht="24" x14ac:dyDescent="0.25">
      <c r="A86" s="52" t="s">
        <v>167</v>
      </c>
      <c r="B86" s="53"/>
      <c r="C86" s="53"/>
      <c r="D86" s="53"/>
      <c r="E86" s="53"/>
      <c r="F86" s="53"/>
      <c r="G86" s="53"/>
      <c r="H86" s="53"/>
      <c r="I86" t="str">
        <f t="shared" si="1"/>
        <v>B. Offshore</v>
      </c>
    </row>
    <row r="87" spans="1:9" ht="36" x14ac:dyDescent="0.25">
      <c r="A87" s="52" t="s">
        <v>168</v>
      </c>
      <c r="B87" s="53"/>
      <c r="C87" s="53"/>
      <c r="D87" s="53"/>
      <c r="E87" s="53"/>
      <c r="F87" s="53"/>
      <c r="G87" s="53"/>
      <c r="H87" s="102">
        <v>17625.5</v>
      </c>
      <c r="I87" t="str">
        <f t="shared" si="1"/>
        <v>B. Offshore</v>
      </c>
    </row>
    <row r="88" spans="1:9" ht="24" x14ac:dyDescent="0.25">
      <c r="A88" s="54" t="s">
        <v>169</v>
      </c>
      <c r="B88" s="55"/>
      <c r="C88" s="55"/>
      <c r="D88" s="55"/>
      <c r="E88" s="55"/>
      <c r="F88" s="55"/>
      <c r="G88" s="55"/>
      <c r="H88" s="55"/>
      <c r="I88" t="str">
        <f t="shared" si="1"/>
        <v>B. Offshore</v>
      </c>
    </row>
    <row r="89" spans="1:9" x14ac:dyDescent="0.25">
      <c r="A89" s="149" t="s">
        <v>178</v>
      </c>
      <c r="B89" s="150"/>
      <c r="C89" s="150"/>
      <c r="D89" s="150"/>
      <c r="E89" s="150"/>
      <c r="F89" s="150"/>
      <c r="G89" s="150"/>
      <c r="H89" s="151"/>
      <c r="I89" t="str">
        <f t="shared" si="1"/>
        <v>B. Offshore</v>
      </c>
    </row>
    <row r="90" spans="1:9" ht="24" x14ac:dyDescent="0.25">
      <c r="A90" s="50" t="s">
        <v>171</v>
      </c>
      <c r="B90" s="51"/>
      <c r="C90" s="51"/>
      <c r="D90" s="51"/>
      <c r="E90" s="51"/>
      <c r="F90" s="51"/>
      <c r="G90" s="51"/>
      <c r="H90" s="51"/>
      <c r="I90" t="str">
        <f t="shared" si="1"/>
        <v>Total (A+B)</v>
      </c>
    </row>
    <row r="91" spans="1:9" x14ac:dyDescent="0.25">
      <c r="A91" s="52" t="s">
        <v>165</v>
      </c>
      <c r="B91" s="53"/>
      <c r="C91" s="53"/>
      <c r="D91" s="53"/>
      <c r="E91" s="53"/>
      <c r="F91" s="53"/>
      <c r="G91" s="53"/>
      <c r="H91" s="53"/>
      <c r="I91" t="str">
        <f t="shared" si="1"/>
        <v>Total (A+B)</v>
      </c>
    </row>
    <row r="92" spans="1:9" ht="24" x14ac:dyDescent="0.25">
      <c r="A92" s="52" t="s">
        <v>166</v>
      </c>
      <c r="B92" s="53"/>
      <c r="C92" s="53"/>
      <c r="D92" s="53"/>
      <c r="E92" s="53"/>
      <c r="F92" s="53"/>
      <c r="G92" s="53"/>
      <c r="H92" s="53"/>
      <c r="I92" t="str">
        <f t="shared" si="1"/>
        <v>Total (A+B)</v>
      </c>
    </row>
    <row r="93" spans="1:9" ht="24" x14ac:dyDescent="0.25">
      <c r="A93" s="52" t="s">
        <v>167</v>
      </c>
      <c r="B93" s="53"/>
      <c r="C93" s="53"/>
      <c r="D93" s="53"/>
      <c r="E93" s="53"/>
      <c r="F93" s="53"/>
      <c r="G93" s="53"/>
      <c r="H93" s="53"/>
      <c r="I93" t="str">
        <f t="shared" si="1"/>
        <v>Total (A+B)</v>
      </c>
    </row>
    <row r="94" spans="1:9" ht="36" x14ac:dyDescent="0.25">
      <c r="A94" s="52" t="s">
        <v>168</v>
      </c>
      <c r="B94" s="53"/>
      <c r="C94" s="53"/>
      <c r="D94" s="53"/>
      <c r="E94" s="53"/>
      <c r="F94" s="53"/>
      <c r="G94" s="53"/>
      <c r="H94" s="102">
        <f>H87+H80</f>
        <v>25923.23</v>
      </c>
      <c r="I94" t="str">
        <f t="shared" si="1"/>
        <v>Total (A+B)</v>
      </c>
    </row>
    <row r="95" spans="1:9" ht="24" x14ac:dyDescent="0.25">
      <c r="A95" s="54" t="s">
        <v>169</v>
      </c>
      <c r="B95" s="55"/>
      <c r="C95" s="55"/>
      <c r="D95" s="55"/>
      <c r="E95" s="55"/>
      <c r="F95" s="55"/>
      <c r="G95" s="55"/>
      <c r="H95" s="55"/>
      <c r="I95" t="str">
        <f t="shared" si="1"/>
        <v>Total (A+B)</v>
      </c>
    </row>
    <row r="97" spans="1:1" x14ac:dyDescent="0.25">
      <c r="A97" s="96" t="s">
        <v>340</v>
      </c>
    </row>
    <row r="98" spans="1:1" x14ac:dyDescent="0.25">
      <c r="A98" s="96" t="s">
        <v>341</v>
      </c>
    </row>
  </sheetData>
  <mergeCells count="15">
    <mergeCell ref="A75:H75"/>
    <mergeCell ref="A82:H82"/>
    <mergeCell ref="A89:H89"/>
    <mergeCell ref="A33:H33"/>
    <mergeCell ref="A40:H40"/>
    <mergeCell ref="A47:H47"/>
    <mergeCell ref="A54:H54"/>
    <mergeCell ref="A61:H61"/>
    <mergeCell ref="A68:H68"/>
    <mergeCell ref="A26:H26"/>
    <mergeCell ref="A1:H1"/>
    <mergeCell ref="A2:H2"/>
    <mergeCell ref="A5:H5"/>
    <mergeCell ref="A12:H12"/>
    <mergeCell ref="A19:H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6E25-1668-470B-860D-08A8C33E0B08}">
  <dimension ref="A1:E16"/>
  <sheetViews>
    <sheetView workbookViewId="0">
      <selection activeCell="C11" sqref="C11"/>
    </sheetView>
  </sheetViews>
  <sheetFormatPr defaultRowHeight="15" x14ac:dyDescent="0.25"/>
  <cols>
    <col min="1" max="1" width="41" customWidth="1"/>
    <col min="2" max="2" width="9.140625" bestFit="1" customWidth="1"/>
  </cols>
  <sheetData>
    <row r="1" spans="1:5" x14ac:dyDescent="0.25">
      <c r="A1" t="s">
        <v>345</v>
      </c>
    </row>
    <row r="2" spans="1:5" x14ac:dyDescent="0.25">
      <c r="A2" s="107" t="s">
        <v>346</v>
      </c>
      <c r="B2" s="107" t="s">
        <v>336</v>
      </c>
    </row>
    <row r="3" spans="1:5" x14ac:dyDescent="0.25">
      <c r="A3" s="108">
        <v>-1</v>
      </c>
      <c r="B3" s="108">
        <v>-8</v>
      </c>
    </row>
    <row r="4" spans="1:5" x14ac:dyDescent="0.25">
      <c r="A4" t="s">
        <v>347</v>
      </c>
    </row>
    <row r="5" spans="1:5" x14ac:dyDescent="0.25">
      <c r="A5" t="s">
        <v>348</v>
      </c>
      <c r="C5" t="s">
        <v>355</v>
      </c>
    </row>
    <row r="6" spans="1:5" x14ac:dyDescent="0.25">
      <c r="A6" t="s">
        <v>3</v>
      </c>
      <c r="B6">
        <v>322</v>
      </c>
      <c r="C6" s="44">
        <f>'Tax Rates'!B6</f>
        <v>0.05</v>
      </c>
      <c r="D6">
        <f>B6*C6</f>
        <v>16.100000000000001</v>
      </c>
    </row>
    <row r="7" spans="1:5" x14ac:dyDescent="0.25">
      <c r="A7" t="s">
        <v>349</v>
      </c>
      <c r="B7">
        <v>50</v>
      </c>
      <c r="C7" s="44">
        <f>'Tax Rates'!B7</f>
        <v>0.04</v>
      </c>
      <c r="D7">
        <f t="shared" ref="D7:D11" si="0">B7*C7</f>
        <v>2</v>
      </c>
    </row>
    <row r="8" spans="1:5" x14ac:dyDescent="0.25">
      <c r="A8" t="s">
        <v>4</v>
      </c>
      <c r="B8">
        <v>4342</v>
      </c>
      <c r="C8" s="44">
        <f>'Tax Rates'!B8</f>
        <v>0.05</v>
      </c>
      <c r="D8">
        <f t="shared" si="0"/>
        <v>217.10000000000002</v>
      </c>
    </row>
    <row r="9" spans="1:5" x14ac:dyDescent="0.25">
      <c r="A9" t="s">
        <v>8</v>
      </c>
      <c r="B9">
        <v>4591</v>
      </c>
      <c r="C9" s="44">
        <f>'Tax Rates'!B14</f>
        <v>0.04</v>
      </c>
      <c r="D9">
        <f t="shared" si="0"/>
        <v>183.64000000000001</v>
      </c>
    </row>
    <row r="10" spans="1:5" x14ac:dyDescent="0.25">
      <c r="A10" t="s">
        <v>19</v>
      </c>
      <c r="B10">
        <v>7720</v>
      </c>
      <c r="C10" s="44">
        <f>'Tax Rates'!B30</f>
        <v>5.5E-2</v>
      </c>
      <c r="D10">
        <f t="shared" si="0"/>
        <v>424.6</v>
      </c>
    </row>
    <row r="11" spans="1:5" x14ac:dyDescent="0.25">
      <c r="A11" t="s">
        <v>20</v>
      </c>
      <c r="B11">
        <v>345</v>
      </c>
      <c r="C11" s="44">
        <f>'Tax Rates'!B33</f>
        <v>0.05</v>
      </c>
      <c r="D11">
        <f t="shared" si="0"/>
        <v>17.25</v>
      </c>
    </row>
    <row r="12" spans="1:5" x14ac:dyDescent="0.25">
      <c r="A12" t="s">
        <v>350</v>
      </c>
      <c r="B12" s="1">
        <v>17369</v>
      </c>
      <c r="D12">
        <f>SUM(D6:D11)</f>
        <v>860.69</v>
      </c>
    </row>
    <row r="13" spans="1:5" x14ac:dyDescent="0.25">
      <c r="A13" t="s">
        <v>351</v>
      </c>
      <c r="D13">
        <f>D12/B12</f>
        <v>4.9553227013645E-2</v>
      </c>
      <c r="E13" t="s">
        <v>356</v>
      </c>
    </row>
    <row r="14" spans="1:5" x14ac:dyDescent="0.25">
      <c r="A14" t="s">
        <v>352</v>
      </c>
      <c r="B14">
        <v>14785</v>
      </c>
    </row>
    <row r="15" spans="1:5" x14ac:dyDescent="0.25">
      <c r="A15" t="s">
        <v>353</v>
      </c>
      <c r="B15">
        <v>1890</v>
      </c>
    </row>
    <row r="16" spans="1:5" x14ac:dyDescent="0.25">
      <c r="A16" t="s">
        <v>354</v>
      </c>
      <c r="B16" s="1">
        <v>16676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6771-1855-4B28-A43F-860E44524BFD}">
  <dimension ref="A1:G29"/>
  <sheetViews>
    <sheetView topLeftCell="A8" workbookViewId="0">
      <selection activeCell="C20" sqref="C20"/>
    </sheetView>
  </sheetViews>
  <sheetFormatPr defaultRowHeight="15" x14ac:dyDescent="0.25"/>
  <cols>
    <col min="1" max="1" width="30.42578125" customWidth="1"/>
    <col min="2" max="2" width="7.7109375" customWidth="1"/>
    <col min="3" max="3" width="9.28515625" customWidth="1"/>
    <col min="4" max="4" width="16.42578125" customWidth="1"/>
    <col min="5" max="5" width="18.7109375" customWidth="1"/>
    <col min="6" max="6" width="22.28515625" customWidth="1"/>
    <col min="7" max="7" width="13.28515625" customWidth="1"/>
  </cols>
  <sheetData>
    <row r="1" spans="1:7" x14ac:dyDescent="0.25">
      <c r="A1" s="2" t="s">
        <v>365</v>
      </c>
      <c r="B1" s="110"/>
      <c r="E1" s="2" t="s">
        <v>379</v>
      </c>
      <c r="F1" s="2"/>
      <c r="G1" s="2"/>
    </row>
    <row r="2" spans="1:7" ht="33.75" customHeight="1" x14ac:dyDescent="0.25">
      <c r="B2" t="s">
        <v>301</v>
      </c>
      <c r="C2" t="s">
        <v>360</v>
      </c>
      <c r="E2" s="164" t="s">
        <v>367</v>
      </c>
      <c r="F2" s="165"/>
    </row>
    <row r="3" spans="1:7" x14ac:dyDescent="0.25">
      <c r="A3" t="s">
        <v>357</v>
      </c>
      <c r="B3" s="111">
        <v>675.4</v>
      </c>
      <c r="C3" s="111">
        <v>46.64</v>
      </c>
      <c r="E3" t="s">
        <v>375</v>
      </c>
      <c r="F3" t="s">
        <v>376</v>
      </c>
    </row>
    <row r="4" spans="1:7" x14ac:dyDescent="0.25">
      <c r="A4" t="s">
        <v>358</v>
      </c>
      <c r="B4" s="112">
        <v>975724.7</v>
      </c>
      <c r="C4" s="112">
        <v>79416.7</v>
      </c>
      <c r="E4">
        <v>1140</v>
      </c>
      <c r="F4">
        <v>1368</v>
      </c>
    </row>
    <row r="5" spans="1:7" x14ac:dyDescent="0.25">
      <c r="A5" t="s">
        <v>359</v>
      </c>
      <c r="B5" s="112">
        <f>B4/B3</f>
        <v>1444.6619780870594</v>
      </c>
      <c r="C5" s="112">
        <f>C4/C3</f>
        <v>1702.759433962264</v>
      </c>
      <c r="E5" t="s">
        <v>380</v>
      </c>
      <c r="F5" s="117">
        <f>AVERAGE(E4:F4)</f>
        <v>1254</v>
      </c>
    </row>
    <row r="6" spans="1:7" x14ac:dyDescent="0.25">
      <c r="E6" t="s">
        <v>378</v>
      </c>
    </row>
    <row r="7" spans="1:7" x14ac:dyDescent="0.25">
      <c r="A7" s="96" t="s">
        <v>366</v>
      </c>
      <c r="E7" s="96" t="s">
        <v>377</v>
      </c>
    </row>
    <row r="8" spans="1:7" x14ac:dyDescent="0.25">
      <c r="A8" s="96" t="s">
        <v>364</v>
      </c>
      <c r="E8" s="96" t="s">
        <v>368</v>
      </c>
    </row>
    <row r="10" spans="1:7" x14ac:dyDescent="0.25">
      <c r="A10" s="2" t="s">
        <v>382</v>
      </c>
      <c r="B10" s="119"/>
      <c r="E10" s="2" t="s">
        <v>392</v>
      </c>
      <c r="F10" s="2"/>
      <c r="G10" s="2"/>
    </row>
    <row r="11" spans="1:7" x14ac:dyDescent="0.25">
      <c r="A11" s="118">
        <f>F5*(C5/B5)</f>
        <v>1478.0345593479738</v>
      </c>
      <c r="B11" t="s">
        <v>381</v>
      </c>
      <c r="E11" t="s">
        <v>401</v>
      </c>
      <c r="F11" t="s">
        <v>400</v>
      </c>
    </row>
    <row r="12" spans="1:7" x14ac:dyDescent="0.25">
      <c r="A12" s="96" t="s">
        <v>383</v>
      </c>
      <c r="E12" t="s">
        <v>399</v>
      </c>
      <c r="F12">
        <v>1018.3</v>
      </c>
    </row>
    <row r="13" spans="1:7" x14ac:dyDescent="0.25">
      <c r="A13" s="96"/>
      <c r="F13" s="116"/>
    </row>
    <row r="14" spans="1:7" x14ac:dyDescent="0.25">
      <c r="A14" s="2" t="s">
        <v>386</v>
      </c>
      <c r="B14" s="110"/>
      <c r="C14" s="110"/>
      <c r="E14" s="96" t="s">
        <v>393</v>
      </c>
    </row>
    <row r="15" spans="1:7" x14ac:dyDescent="0.25">
      <c r="B15" t="s">
        <v>301</v>
      </c>
      <c r="C15" t="s">
        <v>360</v>
      </c>
      <c r="E15" s="96" t="s">
        <v>394</v>
      </c>
    </row>
    <row r="16" spans="1:7" x14ac:dyDescent="0.25">
      <c r="A16" t="s">
        <v>387</v>
      </c>
      <c r="B16">
        <f>F5</f>
        <v>1254</v>
      </c>
      <c r="C16" s="112">
        <f>A11</f>
        <v>1478.0345593479738</v>
      </c>
    </row>
    <row r="17" spans="1:7" x14ac:dyDescent="0.25">
      <c r="A17" t="s">
        <v>388</v>
      </c>
      <c r="B17" s="95">
        <f>0.05*B16</f>
        <v>62.7</v>
      </c>
      <c r="C17" s="120">
        <f>0.05*C16</f>
        <v>73.901727967398685</v>
      </c>
      <c r="E17" s="162" t="s">
        <v>402</v>
      </c>
      <c r="F17" s="163"/>
      <c r="G17" s="163"/>
    </row>
    <row r="18" spans="1:7" ht="30" x14ac:dyDescent="0.25">
      <c r="A18" s="109" t="s">
        <v>384</v>
      </c>
      <c r="B18" s="95">
        <v>400</v>
      </c>
      <c r="C18" s="95">
        <v>400</v>
      </c>
      <c r="E18" s="163"/>
      <c r="F18" s="163"/>
      <c r="G18" s="163"/>
    </row>
    <row r="19" spans="1:7" x14ac:dyDescent="0.25">
      <c r="A19" s="124" t="s">
        <v>447</v>
      </c>
      <c r="B19" s="95">
        <f>0.14*B16</f>
        <v>175.56000000000003</v>
      </c>
      <c r="C19" s="95">
        <f>0.06*C16</f>
        <v>88.682073560878422</v>
      </c>
      <c r="E19" s="163"/>
      <c r="F19" s="163"/>
      <c r="G19" s="163"/>
    </row>
    <row r="20" spans="1:7" x14ac:dyDescent="0.25">
      <c r="A20" t="s">
        <v>389</v>
      </c>
      <c r="B20">
        <f>F12</f>
        <v>1018.3</v>
      </c>
      <c r="C20">
        <f>F12</f>
        <v>1018.3</v>
      </c>
      <c r="E20" s="163"/>
      <c r="F20" s="163"/>
      <c r="G20" s="163"/>
    </row>
    <row r="21" spans="1:7" x14ac:dyDescent="0.25">
      <c r="A21" t="s">
        <v>411</v>
      </c>
      <c r="B21">
        <f>0.05*B20</f>
        <v>50.914999999999999</v>
      </c>
      <c r="C21">
        <f>0.05*C20</f>
        <v>50.914999999999999</v>
      </c>
      <c r="E21" s="163"/>
      <c r="F21" s="163"/>
      <c r="G21" s="163"/>
    </row>
    <row r="22" spans="1:7" x14ac:dyDescent="0.25">
      <c r="A22" t="s">
        <v>385</v>
      </c>
      <c r="B22">
        <f>SUM(B16:B21)</f>
        <v>2961.4749999999999</v>
      </c>
      <c r="C22" s="111">
        <f>SUM(C16:C21)</f>
        <v>3109.8333608762509</v>
      </c>
      <c r="E22" s="163"/>
      <c r="F22" s="163"/>
      <c r="G22" s="163"/>
    </row>
    <row r="23" spans="1:7" ht="30" x14ac:dyDescent="0.25">
      <c r="A23" s="109" t="s">
        <v>442</v>
      </c>
      <c r="B23" s="121">
        <f>SUM(B17:B19,B21)/B22</f>
        <v>0.23271342827476171</v>
      </c>
      <c r="C23" s="121">
        <f>SUM(C17:C19,C21)/C22</f>
        <v>0.19727706611116066</v>
      </c>
    </row>
    <row r="24" spans="1:7" x14ac:dyDescent="0.25">
      <c r="A24" s="1"/>
    </row>
    <row r="25" spans="1:7" x14ac:dyDescent="0.25">
      <c r="A25" s="162" t="s">
        <v>412</v>
      </c>
      <c r="B25" s="163"/>
      <c r="C25" s="163"/>
    </row>
    <row r="26" spans="1:7" x14ac:dyDescent="0.25">
      <c r="A26" s="163"/>
      <c r="B26" s="163"/>
      <c r="C26" s="163"/>
    </row>
    <row r="27" spans="1:7" x14ac:dyDescent="0.25">
      <c r="A27" s="163"/>
      <c r="B27" s="163"/>
      <c r="C27" s="163"/>
    </row>
    <row r="28" spans="1:7" x14ac:dyDescent="0.25">
      <c r="A28" s="163"/>
      <c r="B28" s="163"/>
      <c r="C28" s="163"/>
    </row>
    <row r="29" spans="1:7" ht="3.75" customHeight="1" x14ac:dyDescent="0.25">
      <c r="A29" s="163"/>
      <c r="B29" s="163"/>
      <c r="C29" s="163"/>
    </row>
  </sheetData>
  <mergeCells count="3">
    <mergeCell ref="A25:C29"/>
    <mergeCell ref="E2:F2"/>
    <mergeCell ref="E17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Petroleum &amp; Diesel Prices</vt:lpstr>
      <vt:lpstr>Tax Rates</vt:lpstr>
      <vt:lpstr>Electricity Tax Rates</vt:lpstr>
      <vt:lpstr>Electricity Tariffs and Consump</vt:lpstr>
      <vt:lpstr>Petroleum Products Consumption</vt:lpstr>
      <vt:lpstr>NG Sales</vt:lpstr>
      <vt:lpstr>Crude Oil Production</vt:lpstr>
      <vt:lpstr>Coal &amp; Lignite</vt:lpstr>
      <vt:lpstr>Fuel Oil &amp; LPG</vt:lpstr>
      <vt:lpstr>Start Year Taxes</vt:lpstr>
      <vt:lpstr>BSoFPtiT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2015-06-13T20:49:48Z</dcterms:created>
  <dcterms:modified xsi:type="dcterms:W3CDTF">2020-02-22T18:07:45Z</dcterms:modified>
  <cp:category/>
  <cp:contentStatus/>
</cp:coreProperties>
</file>