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ept\Dropbox\EPS\Input Data for India 2.0\trans\SYVbT\"/>
    </mc:Choice>
  </mc:AlternateContent>
  <xr:revisionPtr revIDLastSave="0" documentId="13_ncr:1_{897B51F1-E0D1-44BE-BF8D-1318B2F047EA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About" sheetId="1" r:id="rId1"/>
    <sheet name="India Ships" sheetId="8" r:id="rId2"/>
    <sheet name="India Rail" sheetId="7" r:id="rId3"/>
    <sheet name="India Aircraft" sheetId="6" r:id="rId4"/>
    <sheet name="India Road" sheetId="5" r:id="rId5"/>
    <sheet name="India AVLo" sheetId="9" r:id="rId6"/>
    <sheet name="SYVbT-passenger" sheetId="2" r:id="rId7"/>
    <sheet name="SYVbT-freight" sheetId="4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4" l="1"/>
  <c r="D7" i="4"/>
  <c r="E7" i="4"/>
  <c r="F7" i="4"/>
  <c r="G7" i="4"/>
  <c r="H7" i="4"/>
  <c r="E5" i="4"/>
  <c r="B5" i="4"/>
  <c r="E4" i="4"/>
  <c r="C3" i="4"/>
  <c r="D3" i="4"/>
  <c r="E3" i="4"/>
  <c r="F3" i="4"/>
  <c r="G3" i="4"/>
  <c r="H3" i="4"/>
  <c r="C2" i="4"/>
  <c r="D2" i="4"/>
  <c r="E2" i="4"/>
  <c r="F2" i="4"/>
  <c r="G2" i="4"/>
  <c r="H2" i="4"/>
  <c r="D7" i="2"/>
  <c r="E7" i="2"/>
  <c r="F7" i="2"/>
  <c r="G7" i="2"/>
  <c r="H7" i="2"/>
  <c r="C7" i="2"/>
  <c r="E5" i="2"/>
  <c r="B5" i="2"/>
  <c r="B2" i="8"/>
  <c r="E6" i="2" s="1"/>
  <c r="Q18" i="8"/>
  <c r="J18" i="8"/>
  <c r="R18" i="8" s="1"/>
  <c r="B3" i="8" s="1"/>
  <c r="E6" i="4" s="1"/>
  <c r="G19" i="7" l="1"/>
  <c r="G18" i="7"/>
  <c r="G16" i="7"/>
  <c r="G15" i="7"/>
  <c r="E4" i="2" l="1"/>
  <c r="C3" i="2"/>
  <c r="D3" i="2"/>
  <c r="E3" i="2"/>
  <c r="F3" i="2"/>
  <c r="G3" i="2"/>
  <c r="H3" i="2"/>
  <c r="C2" i="2"/>
  <c r="D2" i="2"/>
  <c r="E2" i="2"/>
  <c r="F2" i="2"/>
  <c r="G2" i="2"/>
  <c r="H2" i="2"/>
  <c r="G52" i="5"/>
  <c r="F52" i="5"/>
  <c r="I45" i="5"/>
  <c r="G45" i="5"/>
  <c r="F45" i="5"/>
  <c r="I50" i="5"/>
  <c r="I51" i="5"/>
  <c r="L51" i="5"/>
  <c r="L50" i="5"/>
  <c r="K51" i="5"/>
  <c r="K50" i="5"/>
  <c r="L52" i="5"/>
  <c r="K52" i="5"/>
  <c r="H52" i="5"/>
  <c r="L46" i="5"/>
  <c r="K46" i="5"/>
  <c r="L45" i="5"/>
  <c r="K45" i="5"/>
  <c r="L44" i="5"/>
  <c r="K44" i="5"/>
  <c r="I44" i="5"/>
  <c r="H44" i="5"/>
  <c r="G44" i="5"/>
  <c r="F44" i="5"/>
  <c r="B13" i="6" l="1"/>
  <c r="B12" i="6"/>
  <c r="B8" i="6" l="1"/>
  <c r="B5" i="6"/>
  <c r="B5" i="7"/>
  <c r="C46" i="5" l="1"/>
  <c r="C45" i="5"/>
  <c r="C44" i="5"/>
  <c r="B46" i="5"/>
  <c r="B45" i="5"/>
  <c r="B44" i="5"/>
  <c r="B19" i="7"/>
  <c r="B18" i="7"/>
  <c r="B3" i="4"/>
  <c r="B2" i="4"/>
  <c r="I52" i="5"/>
  <c r="B7" i="4"/>
  <c r="H46" i="5"/>
  <c r="F46" i="5"/>
  <c r="B7" i="2" s="1"/>
  <c r="B3" i="2"/>
  <c r="B2" i="2"/>
  <c r="B17" i="6"/>
  <c r="B21" i="6" s="1"/>
  <c r="B16" i="6"/>
  <c r="B20" i="6" s="1"/>
  <c r="B23" i="7" l="1"/>
  <c r="B24" i="7"/>
</calcChain>
</file>

<file path=xl/sharedStrings.xml><?xml version="1.0" encoding="utf-8"?>
<sst xmlns="http://schemas.openxmlformats.org/spreadsheetml/2006/main" count="286" uniqueCount="167">
  <si>
    <t>SYVbT Start Year Vehicles by Technology</t>
  </si>
  <si>
    <t>Sources:</t>
  </si>
  <si>
    <t>Road transport Year Book 2015-2016</t>
  </si>
  <si>
    <t>http://morth.nic.in/showfile.asp?lid=3141</t>
  </si>
  <si>
    <t>aircraft</t>
  </si>
  <si>
    <t>Ships</t>
  </si>
  <si>
    <t>battery electric vehicle</t>
  </si>
  <si>
    <t>natural gas vehicle</t>
  </si>
  <si>
    <t>gasoline vehicle</t>
  </si>
  <si>
    <t>diesel vehicle</t>
  </si>
  <si>
    <t>plugin hybrid vehicle</t>
  </si>
  <si>
    <t>LDVs</t>
  </si>
  <si>
    <t>HDVs</t>
  </si>
  <si>
    <t>rail</t>
  </si>
  <si>
    <t>ships</t>
  </si>
  <si>
    <t>motorbikes</t>
  </si>
  <si>
    <t>Freight Transported (MT)</t>
  </si>
  <si>
    <t>Psgr/aircraft</t>
  </si>
  <si>
    <t>(from AVLo)</t>
  </si>
  <si>
    <t>Freight MT/aircraft</t>
  </si>
  <si>
    <t>Psr aircraft scaling factor</t>
  </si>
  <si>
    <t>Frgt aircraft scaling factor</t>
  </si>
  <si>
    <t>Psrg aircraft (est.)</t>
  </si>
  <si>
    <t>Freight aircraft (est.)</t>
  </si>
  <si>
    <t>Directorate General of Civil Aviation (DGCA)</t>
  </si>
  <si>
    <t>Table 8 (aircraft), Tables 1 and 5 (psgr vs. freight)</t>
  </si>
  <si>
    <t>aircraft (count, and psgr traffic vs. freight traffic)</t>
  </si>
  <si>
    <t>aircraft (loading)</t>
  </si>
  <si>
    <t>See AVLo</t>
  </si>
  <si>
    <t>Vehicle Km by type of Vehicle under Chosen Scenario</t>
  </si>
  <si>
    <t>Mode</t>
  </si>
  <si>
    <t>Sub-mode</t>
  </si>
  <si>
    <t>Technology</t>
  </si>
  <si>
    <t>ROAD</t>
  </si>
  <si>
    <t>BUS</t>
  </si>
  <si>
    <t>DIESEL</t>
  </si>
  <si>
    <t>CNG</t>
  </si>
  <si>
    <t>ELECTRIC</t>
  </si>
  <si>
    <t>FCV</t>
  </si>
  <si>
    <t>ONMI-BUS</t>
  </si>
  <si>
    <t>CAR</t>
  </si>
  <si>
    <t>PETROL</t>
  </si>
  <si>
    <t>LPG</t>
  </si>
  <si>
    <t>2W</t>
  </si>
  <si>
    <t>3W</t>
  </si>
  <si>
    <t>TAXI</t>
  </si>
  <si>
    <t>Passenger</t>
  </si>
  <si>
    <t>Freight</t>
  </si>
  <si>
    <t>Passenger Vehcile Technology Shares</t>
  </si>
  <si>
    <t>Freight Vehicle Technology Shares</t>
  </si>
  <si>
    <t>Type</t>
  </si>
  <si>
    <t>HCV</t>
  </si>
  <si>
    <t>LCV</t>
  </si>
  <si>
    <t>Freight Vehcile Breakdown by Technology ("Modal Share")</t>
  </si>
  <si>
    <t>Passenger Cars</t>
  </si>
  <si>
    <t>Freight Cars</t>
  </si>
  <si>
    <t>Number of Cars per Train</t>
  </si>
  <si>
    <t>Assumption:</t>
  </si>
  <si>
    <t>Ministry of Railways Data:</t>
  </si>
  <si>
    <t>Steam locomotives</t>
  </si>
  <si>
    <t>Diesel locomotives</t>
  </si>
  <si>
    <t>Electric locomotives</t>
  </si>
  <si>
    <t>Number of Locomotives by Type:</t>
  </si>
  <si>
    <t>Passenger locomotives</t>
  </si>
  <si>
    <t>Freight locomotives</t>
  </si>
  <si>
    <t>Number of Trains that could be supplied with these cars</t>
  </si>
  <si>
    <t>Calculations</t>
  </si>
  <si>
    <t>Ministry of Railways</t>
  </si>
  <si>
    <t>Page 34, Annex 2.2</t>
  </si>
  <si>
    <t>All on-road modes (vehicle count, not by technology)</t>
  </si>
  <si>
    <t>Ministry of Road Transport and Highways</t>
  </si>
  <si>
    <t>Division of on-road modes by technology</t>
  </si>
  <si>
    <t>http://indiaenergy.gov.in/iess/docs/IESS_Version2.2.xlsx</t>
  </si>
  <si>
    <t>India Energy Security Scenarios 2047 downloadable Excel model</t>
  </si>
  <si>
    <t>NITI Aayog, Government of India</t>
  </si>
  <si>
    <t>Categories: all other categories</t>
  </si>
  <si>
    <t>Totals</t>
  </si>
  <si>
    <t>Frgt HDV</t>
  </si>
  <si>
    <t>Frgt LDV</t>
  </si>
  <si>
    <t>Frgt Mtrbk</t>
  </si>
  <si>
    <t>Psgr HDV</t>
  </si>
  <si>
    <t>Psgr LDV</t>
  </si>
  <si>
    <t>Number from table</t>
  </si>
  <si>
    <t>EPS Classification</t>
  </si>
  <si>
    <t>not used</t>
  </si>
  <si>
    <t>Psgr Mtrbk</t>
  </si>
  <si>
    <t>taxis</t>
  </si>
  <si>
    <t>buses</t>
  </si>
  <si>
    <t>psgr rickshaws</t>
  </si>
  <si>
    <t>frgt rickshaws</t>
  </si>
  <si>
    <t>light truck</t>
  </si>
  <si>
    <t>heavy 2-axle truck</t>
  </si>
  <si>
    <t>heavy 3+ axle truck</t>
  </si>
  <si>
    <t>hired 2-whl mtrbks</t>
  </si>
  <si>
    <t>2-whl motorbikes</t>
  </si>
  <si>
    <t>cars</t>
  </si>
  <si>
    <t>omnibuses</t>
  </si>
  <si>
    <t>Number of Vehicles</t>
  </si>
  <si>
    <t>LPG vehicle</t>
  </si>
  <si>
    <t>hydrogen vehicle</t>
  </si>
  <si>
    <t>total</t>
  </si>
  <si>
    <t>Railway Year Book 2017-18</t>
  </si>
  <si>
    <t>http://www.indianrailways.gov.in/railwayboard/uploads/directorate/stat_econ/pdf_annual_report/Railway%20Year%20Book_2017_18.pdf</t>
  </si>
  <si>
    <t>Page 3, Key Statistics; P4, Other important statistics</t>
  </si>
  <si>
    <t>http://www.dgca.nic.in/pub/HANDBOOK%202017-18/HANDBOOK%202017-18.pdf</t>
  </si>
  <si>
    <t xml:space="preserve">Vehicle Loading </t>
  </si>
  <si>
    <t>(passengers)</t>
  </si>
  <si>
    <t>(tons)</t>
  </si>
  <si>
    <t>Rail</t>
  </si>
  <si>
    <t>Aircraft Statistics - 2018</t>
  </si>
  <si>
    <t>Ministry of Railways Data (2018):</t>
  </si>
  <si>
    <t>Total Fleet (Passenger + Freight)</t>
  </si>
  <si>
    <t>Total Passengers</t>
  </si>
  <si>
    <t>(Domestic &amp; Intnl.)</t>
  </si>
  <si>
    <t>(excluded)</t>
  </si>
  <si>
    <t>Passenger Vehicle Breakdown by Technology (Vehicle KM)</t>
  </si>
  <si>
    <t>Source: IESS</t>
  </si>
  <si>
    <t>Rail Fleet Breakdown by Technology (Vehicle KM)</t>
  </si>
  <si>
    <t>RAIL</t>
  </si>
  <si>
    <t>RAIL-Passenger</t>
  </si>
  <si>
    <t>RAIL-frieght</t>
  </si>
  <si>
    <t>Passenger electric rail</t>
  </si>
  <si>
    <t>Passenger diesel rail</t>
  </si>
  <si>
    <t>Freight diesel rail</t>
  </si>
  <si>
    <t>Freight electric rail</t>
  </si>
  <si>
    <t>Tabs XIIa and XIIb (Table 12.1)</t>
  </si>
  <si>
    <t xml:space="preserve">   SHIPPING</t>
  </si>
  <si>
    <t xml:space="preserve"> Table 22.1 - STRENGTH OF INDIAN MERCHANT SHIPPING FLEET</t>
  </si>
  <si>
    <t xml:space="preserve">  (As on 31st December)</t>
  </si>
  <si>
    <t xml:space="preserve"> </t>
  </si>
  <si>
    <t>Year</t>
  </si>
  <si>
    <t>Item</t>
  </si>
  <si>
    <t xml:space="preserve">                  Coastal Shipping</t>
  </si>
  <si>
    <t xml:space="preserve">                  Overseas  Shipping</t>
  </si>
  <si>
    <t>Total</t>
  </si>
  <si>
    <t>Type of Vessels</t>
  </si>
  <si>
    <r>
      <t xml:space="preserve">Dry Cargo Liner </t>
    </r>
    <r>
      <rPr>
        <b/>
        <vertAlign val="superscript"/>
        <sz val="10"/>
        <rFont val="Times New Roman"/>
        <family val="1"/>
      </rPr>
      <t>(1)</t>
    </r>
  </si>
  <si>
    <r>
      <t xml:space="preserve">Dry Cargo Bulk Carrier </t>
    </r>
    <r>
      <rPr>
        <b/>
        <vertAlign val="superscript"/>
        <sz val="10"/>
        <rFont val="Times New Roman"/>
        <family val="1"/>
      </rPr>
      <t>(2)</t>
    </r>
  </si>
  <si>
    <r>
      <t>Oil Tanker</t>
    </r>
    <r>
      <rPr>
        <b/>
        <vertAlign val="superscript"/>
        <sz val="10"/>
        <rFont val="Times New Roman"/>
        <family val="1"/>
      </rPr>
      <t xml:space="preserve"> (3)</t>
    </r>
  </si>
  <si>
    <r>
      <t xml:space="preserve">Passenger-cum-Cargo </t>
    </r>
    <r>
      <rPr>
        <b/>
        <vertAlign val="superscript"/>
        <sz val="10"/>
        <rFont val="Times New Roman"/>
        <family val="1"/>
      </rPr>
      <t>(4)</t>
    </r>
  </si>
  <si>
    <t>Off-shore Supply</t>
  </si>
  <si>
    <r>
      <t xml:space="preserve">Specialised for Off-shore Services </t>
    </r>
    <r>
      <rPr>
        <b/>
        <vertAlign val="superscript"/>
        <sz val="10"/>
        <rFont val="Times New Roman"/>
        <family val="1"/>
      </rPr>
      <t>(5)</t>
    </r>
  </si>
  <si>
    <t>Timber Carrier</t>
  </si>
  <si>
    <r>
      <t xml:space="preserve">Dry Cargo Liner </t>
    </r>
    <r>
      <rPr>
        <b/>
        <vertAlign val="superscript"/>
        <sz val="10"/>
        <rFont val="Times New Roman"/>
        <family val="1"/>
      </rPr>
      <t>(6)</t>
    </r>
  </si>
  <si>
    <r>
      <t xml:space="preserve">Dry Cargo Bulk Carrier </t>
    </r>
    <r>
      <rPr>
        <b/>
        <vertAlign val="superscript"/>
        <sz val="10"/>
        <rFont val="Times New Roman"/>
        <family val="1"/>
      </rPr>
      <t>(7)</t>
    </r>
  </si>
  <si>
    <r>
      <t>Oil Tanker</t>
    </r>
    <r>
      <rPr>
        <b/>
        <vertAlign val="superscript"/>
        <sz val="10"/>
        <rFont val="Times New Roman"/>
        <family val="1"/>
      </rPr>
      <t xml:space="preserve"> (8)</t>
    </r>
  </si>
  <si>
    <r>
      <t xml:space="preserve">Ore/Oil Bulk Carrier </t>
    </r>
    <r>
      <rPr>
        <b/>
        <vertAlign val="superscript"/>
        <sz val="10"/>
        <rFont val="Times New Roman"/>
        <family val="1"/>
      </rPr>
      <t>(9)</t>
    </r>
  </si>
  <si>
    <r>
      <t xml:space="preserve">Passenger-cum-Cargo </t>
    </r>
    <r>
      <rPr>
        <b/>
        <vertAlign val="superscript"/>
        <sz val="10"/>
        <rFont val="Times New Roman"/>
        <family val="1"/>
      </rPr>
      <t>(10)</t>
    </r>
  </si>
  <si>
    <t>No. Of Vessels</t>
  </si>
  <si>
    <t>-</t>
  </si>
  <si>
    <t>Categories: Passenger cum cargo</t>
  </si>
  <si>
    <t>Number of Ships (2016 - latest year available)*</t>
  </si>
  <si>
    <t>*Includes both coastal and overseas</t>
  </si>
  <si>
    <t>Ministry of Shipping/Ministry of Statistics &amp; Programme Implementation</t>
  </si>
  <si>
    <t>SHIPPING - Statistical Year Book India 2018</t>
  </si>
  <si>
    <t>http://www.mospi.gov.in/statistical-year-book-india/2018/191</t>
  </si>
  <si>
    <t>Sr. No 22.1 - Strength of Indian Merchant Shipping Fleet</t>
  </si>
  <si>
    <t>We assume maritime heavy fuel oil to be closest to diesel, and apportion ships to diesel technology type.</t>
  </si>
  <si>
    <t>We assume jet fuel to be most similar to diesel, and apportion aircrafts to diesel technology type.</t>
  </si>
  <si>
    <t>Handbook of Civil Aviation Statistics 2017-18</t>
  </si>
  <si>
    <t xml:space="preserve">Notes: </t>
  </si>
  <si>
    <t>Fleet sizes for each vehicle type are updated for latest available sources in govt. sources.</t>
  </si>
  <si>
    <t xml:space="preserve">The govt. reports don't give a breakdown of the vehicle fleet by technology type, so </t>
  </si>
  <si>
    <t>and applied to the base year fleet of each vehicle type to disaggregate by technology.</t>
  </si>
  <si>
    <t>There are no hydrogen technology vehicle types for the base year, and values are zero.</t>
  </si>
  <si>
    <t xml:space="preserve">we use IESS Level 2 (BAU) trajectory values on "Vehicle Km by type of Vehicle" to determine </t>
  </si>
  <si>
    <t xml:space="preserve">the ratios for various technologies like diesel, electric, CNG etc. The ratios are for year 2017,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</si>
</sst>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###0.00_)"/>
    <numFmt numFmtId="167" formatCode="#,##0_)"/>
    <numFmt numFmtId="168" formatCode="0.0%"/>
    <numFmt numFmtId="169" formatCode="#,##0_);\(#,##0\);&quot;-&quot;_);@"/>
    <numFmt numFmtId="170" formatCode="0.00000"/>
  </numFmts>
  <fonts count="5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0"/>
      <color theme="9" tint="0.79998168889431442"/>
      <name val="Calibri"/>
      <family val="1"/>
      <scheme val="minor"/>
    </font>
    <font>
      <b/>
      <sz val="10"/>
      <color theme="1"/>
      <name val="Cambria"/>
      <family val="2"/>
      <scheme val="major"/>
    </font>
    <font>
      <b/>
      <sz val="10"/>
      <color theme="9" tint="0.79998168889431442"/>
      <name val="Cambria"/>
      <family val="2"/>
      <scheme val="major"/>
    </font>
    <font>
      <sz val="10"/>
      <name val="Calibri"/>
      <family val="1"/>
      <scheme val="minor"/>
    </font>
    <font>
      <sz val="10"/>
      <color theme="1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vertAlign val="superscript"/>
      <sz val="10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AEAAA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</fills>
  <borders count="4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1" tint="4.9989318521683403E-2"/>
      </top>
      <bottom style="thin">
        <color theme="0" tint="-0.34998626667073579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44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165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165" fontId="6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7" fillId="0" borderId="0" applyFont="0" applyFill="0" applyBorder="0" applyAlignment="0" applyProtection="0"/>
    <xf numFmtId="166" fontId="17" fillId="0" borderId="6" applyNumberFormat="0" applyFill="0">
      <alignment horizontal="right"/>
    </xf>
    <xf numFmtId="167" fontId="18" fillId="0" borderId="6">
      <alignment horizontal="right" vertical="center"/>
    </xf>
    <xf numFmtId="49" fontId="19" fillId="0" borderId="6">
      <alignment horizontal="left" vertical="center"/>
    </xf>
    <xf numFmtId="166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6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  <xf numFmtId="165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44" fillId="0" borderId="0" applyFont="0" applyFill="0" applyBorder="0" applyAlignment="0" applyProtection="0"/>
  </cellStyleXfs>
  <cellXfs count="11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0" fillId="2" borderId="0" xfId="0" applyFill="1"/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37" fillId="0" borderId="0" xfId="140" applyAlignment="1">
      <alignment horizontal="left"/>
    </xf>
    <xf numFmtId="0" fontId="1" fillId="28" borderId="0" xfId="0" applyFont="1" applyFill="1"/>
    <xf numFmtId="0" fontId="0" fillId="0" borderId="0" xfId="0" applyFill="1"/>
    <xf numFmtId="0" fontId="0" fillId="0" borderId="0" xfId="0" applyFill="1" applyAlignment="1">
      <alignment horizontal="left"/>
    </xf>
    <xf numFmtId="168" fontId="0" fillId="0" borderId="0" xfId="142" applyNumberFormat="1" applyFont="1"/>
    <xf numFmtId="0" fontId="38" fillId="0" borderId="0" xfId="0" applyFont="1"/>
    <xf numFmtId="0" fontId="39" fillId="29" borderId="0" xfId="0" applyNumberFormat="1" applyFont="1" applyFill="1" applyBorder="1" applyAlignment="1">
      <alignment vertical="center"/>
    </xf>
    <xf numFmtId="0" fontId="0" fillId="29" borderId="0" xfId="0" applyFill="1" applyBorder="1" applyAlignment="1">
      <alignment vertical="center"/>
    </xf>
    <xf numFmtId="9" fontId="0" fillId="29" borderId="0" xfId="0" applyNumberFormat="1" applyFill="1" applyBorder="1" applyAlignment="1">
      <alignment vertical="center"/>
    </xf>
    <xf numFmtId="0" fontId="40" fillId="29" borderId="0" xfId="0" applyFont="1" applyFill="1" applyAlignment="1">
      <alignment vertical="center"/>
    </xf>
    <xf numFmtId="0" fontId="0" fillId="29" borderId="0" xfId="0" applyFill="1"/>
    <xf numFmtId="0" fontId="41" fillId="29" borderId="18" xfId="0" applyFont="1" applyFill="1" applyBorder="1" applyAlignment="1">
      <alignment vertical="center"/>
    </xf>
    <xf numFmtId="0" fontId="42" fillId="29" borderId="18" xfId="0" applyNumberFormat="1" applyFont="1" applyFill="1" applyBorder="1" applyAlignment="1">
      <alignment horizontal="right" vertical="center"/>
    </xf>
    <xf numFmtId="0" fontId="41" fillId="29" borderId="19" xfId="0" applyNumberFormat="1" applyFont="1" applyFill="1" applyBorder="1" applyAlignment="1">
      <alignment horizontal="right" vertical="center"/>
    </xf>
    <xf numFmtId="0" fontId="0" fillId="29" borderId="0" xfId="0" applyNumberFormat="1" applyFill="1" applyBorder="1" applyAlignment="1">
      <alignment vertical="center"/>
    </xf>
    <xf numFmtId="2" fontId="40" fillId="29" borderId="0" xfId="0" applyNumberFormat="1" applyFont="1" applyFill="1" applyBorder="1"/>
    <xf numFmtId="2" fontId="0" fillId="29" borderId="0" xfId="0" applyNumberFormat="1" applyFill="1" applyBorder="1"/>
    <xf numFmtId="169" fontId="43" fillId="29" borderId="0" xfId="141" applyNumberFormat="1" applyFont="1" applyFill="1" applyBorder="1" applyAlignment="1">
      <alignment vertical="center"/>
    </xf>
    <xf numFmtId="0" fontId="0" fillId="0" borderId="0" xfId="0" applyFont="1" applyAlignment="1">
      <alignment horizontal="left"/>
    </xf>
    <xf numFmtId="10" fontId="0" fillId="0" borderId="0" xfId="142" applyNumberFormat="1" applyFont="1"/>
    <xf numFmtId="2" fontId="0" fillId="30" borderId="0" xfId="0" applyNumberFormat="1" applyFill="1" applyBorder="1"/>
    <xf numFmtId="9" fontId="40" fillId="29" borderId="0" xfId="143" applyNumberFormat="1" applyFont="1" applyFill="1" applyBorder="1" applyAlignment="1">
      <alignment vertical="center"/>
    </xf>
    <xf numFmtId="168" fontId="43" fillId="29" borderId="0" xfId="143" applyNumberFormat="1" applyFont="1" applyFill="1" applyBorder="1" applyAlignment="1">
      <alignment vertical="center"/>
    </xf>
    <xf numFmtId="168" fontId="43" fillId="29" borderId="0" xfId="143" applyNumberFormat="1" applyFont="1" applyFill="1" applyBorder="1" applyAlignment="1">
      <alignment horizontal="right" vertical="center"/>
    </xf>
    <xf numFmtId="0" fontId="0" fillId="31" borderId="0" xfId="0" applyFill="1"/>
    <xf numFmtId="0" fontId="0" fillId="32" borderId="0" xfId="0" applyFill="1"/>
    <xf numFmtId="0" fontId="1" fillId="32" borderId="0" xfId="0" applyFont="1" applyFill="1"/>
    <xf numFmtId="0" fontId="0" fillId="0" borderId="0" xfId="0" applyAlignment="1">
      <alignment horizontal="right"/>
    </xf>
    <xf numFmtId="0" fontId="0" fillId="0" borderId="0" xfId="0" applyFont="1"/>
    <xf numFmtId="0" fontId="1" fillId="0" borderId="0" xfId="0" applyFont="1" applyAlignment="1">
      <alignment wrapText="1"/>
    </xf>
    <xf numFmtId="0" fontId="37" fillId="0" borderId="0" xfId="140" applyAlignment="1">
      <alignment horizontal="left" wrapText="1"/>
    </xf>
    <xf numFmtId="0" fontId="1" fillId="0" borderId="0" xfId="0" applyFont="1" applyFill="1"/>
    <xf numFmtId="0" fontId="1" fillId="0" borderId="0" xfId="0" applyNumberFormat="1" applyFont="1"/>
    <xf numFmtId="170" fontId="0" fillId="0" borderId="0" xfId="0" applyNumberFormat="1"/>
    <xf numFmtId="2" fontId="0" fillId="0" borderId="0" xfId="0" applyNumberFormat="1"/>
    <xf numFmtId="10" fontId="0" fillId="0" borderId="0" xfId="0" applyNumberFormat="1"/>
    <xf numFmtId="0" fontId="0" fillId="29" borderId="20" xfId="0" applyNumberFormat="1" applyFill="1" applyBorder="1" applyAlignment="1">
      <alignment vertical="center"/>
    </xf>
    <xf numFmtId="0" fontId="0" fillId="29" borderId="20" xfId="0" applyFill="1" applyBorder="1" applyAlignment="1">
      <alignment vertical="center"/>
    </xf>
    <xf numFmtId="9" fontId="0" fillId="29" borderId="20" xfId="0" applyNumberFormat="1" applyFill="1" applyBorder="1" applyAlignment="1">
      <alignment vertical="center"/>
    </xf>
    <xf numFmtId="0" fontId="0" fillId="29" borderId="21" xfId="0" applyNumberFormat="1" applyFill="1" applyBorder="1" applyAlignment="1">
      <alignment vertical="center"/>
    </xf>
    <xf numFmtId="9" fontId="0" fillId="29" borderId="21" xfId="0" applyNumberFormat="1" applyFill="1" applyBorder="1" applyAlignment="1">
      <alignment vertical="center"/>
    </xf>
    <xf numFmtId="0" fontId="0" fillId="0" borderId="0" xfId="0" applyNumberFormat="1" applyFill="1" applyBorder="1" applyAlignment="1">
      <alignment vertical="center"/>
    </xf>
    <xf numFmtId="0" fontId="0" fillId="33" borderId="22" xfId="0" applyFill="1" applyBorder="1"/>
    <xf numFmtId="0" fontId="45" fillId="33" borderId="23" xfId="0" applyFont="1" applyFill="1" applyBorder="1" applyAlignment="1" applyProtection="1">
      <alignment horizontal="left"/>
    </xf>
    <xf numFmtId="0" fontId="45" fillId="33" borderId="23" xfId="0" applyFont="1" applyFill="1" applyBorder="1"/>
    <xf numFmtId="0" fontId="45" fillId="33" borderId="22" xfId="0" applyFont="1" applyFill="1" applyBorder="1" applyAlignment="1" applyProtection="1">
      <alignment horizontal="left"/>
    </xf>
    <xf numFmtId="0" fontId="45" fillId="33" borderId="24" xfId="0" applyFont="1" applyFill="1" applyBorder="1"/>
    <xf numFmtId="0" fontId="0" fillId="33" borderId="25" xfId="0" applyFill="1" applyBorder="1"/>
    <xf numFmtId="0" fontId="46" fillId="33" borderId="0" xfId="0" applyFont="1" applyFill="1" applyBorder="1" applyAlignment="1" applyProtection="1"/>
    <xf numFmtId="0" fontId="46" fillId="33" borderId="25" xfId="0" applyFont="1" applyFill="1" applyBorder="1" applyAlignment="1" applyProtection="1"/>
    <xf numFmtId="0" fontId="46" fillId="33" borderId="26" xfId="0" applyFont="1" applyFill="1" applyBorder="1" applyAlignment="1" applyProtection="1"/>
    <xf numFmtId="0" fontId="46" fillId="33" borderId="0" xfId="0" applyFont="1" applyFill="1" applyBorder="1" applyAlignment="1" applyProtection="1">
      <alignment horizontal="center"/>
    </xf>
    <xf numFmtId="0" fontId="46" fillId="33" borderId="0" xfId="0" applyFont="1" applyFill="1" applyBorder="1" applyAlignment="1">
      <alignment horizontal="center"/>
    </xf>
    <xf numFmtId="0" fontId="0" fillId="33" borderId="0" xfId="0" applyFill="1" applyBorder="1"/>
    <xf numFmtId="0" fontId="46" fillId="33" borderId="25" xfId="0" applyFont="1" applyFill="1" applyBorder="1" applyAlignment="1" applyProtection="1">
      <alignment horizontal="center"/>
    </xf>
    <xf numFmtId="0" fontId="46" fillId="33" borderId="26" xfId="0" applyFont="1" applyFill="1" applyBorder="1" applyAlignment="1">
      <alignment horizontal="center"/>
    </xf>
    <xf numFmtId="0" fontId="47" fillId="33" borderId="0" xfId="0" applyFont="1" applyFill="1" applyBorder="1" applyAlignment="1" applyProtection="1"/>
    <xf numFmtId="0" fontId="47" fillId="33" borderId="25" xfId="0" applyFont="1" applyFill="1" applyBorder="1" applyAlignment="1" applyProtection="1"/>
    <xf numFmtId="0" fontId="47" fillId="33" borderId="26" xfId="0" applyFont="1" applyFill="1" applyBorder="1" applyAlignment="1" applyProtection="1"/>
    <xf numFmtId="0" fontId="0" fillId="33" borderId="27" xfId="0" applyFill="1" applyBorder="1"/>
    <xf numFmtId="0" fontId="48" fillId="33" borderId="28" xfId="0" applyFont="1" applyFill="1" applyBorder="1" applyAlignment="1" applyProtection="1">
      <alignment horizontal="left"/>
    </xf>
    <xf numFmtId="0" fontId="48" fillId="33" borderId="28" xfId="0" applyFont="1" applyFill="1" applyBorder="1"/>
    <xf numFmtId="0" fontId="48" fillId="33" borderId="27" xfId="0" applyFont="1" applyFill="1" applyBorder="1" applyAlignment="1" applyProtection="1">
      <alignment horizontal="left"/>
    </xf>
    <xf numFmtId="0" fontId="48" fillId="33" borderId="26" xfId="0" applyFont="1" applyFill="1" applyBorder="1"/>
    <xf numFmtId="0" fontId="49" fillId="33" borderId="37" xfId="0" applyFont="1" applyFill="1" applyBorder="1" applyAlignment="1">
      <alignment horizontal="center" vertical="top"/>
    </xf>
    <xf numFmtId="0" fontId="49" fillId="33" borderId="30" xfId="0" applyFont="1" applyFill="1" applyBorder="1" applyAlignment="1">
      <alignment horizontal="center" vertical="top" wrapText="1"/>
    </xf>
    <xf numFmtId="0" fontId="49" fillId="33" borderId="30" xfId="0" applyFont="1" applyFill="1" applyBorder="1" applyAlignment="1">
      <alignment horizontal="center" vertical="top"/>
    </xf>
    <xf numFmtId="0" fontId="49" fillId="33" borderId="35" xfId="0" applyFont="1" applyFill="1" applyBorder="1" applyAlignment="1">
      <alignment horizontal="center" vertical="top" wrapText="1"/>
    </xf>
    <xf numFmtId="0" fontId="49" fillId="33" borderId="35" xfId="0" applyFont="1" applyFill="1" applyBorder="1" applyAlignment="1">
      <alignment horizontal="center" vertical="top"/>
    </xf>
    <xf numFmtId="0" fontId="49" fillId="33" borderId="40" xfId="0" quotePrefix="1" applyFont="1" applyFill="1" applyBorder="1" applyAlignment="1" applyProtection="1">
      <alignment horizontal="center" vertical="top"/>
    </xf>
    <xf numFmtId="0" fontId="49" fillId="33" borderId="39" xfId="0" applyFont="1" applyFill="1" applyBorder="1" applyAlignment="1">
      <alignment horizontal="center" vertical="top" wrapText="1"/>
    </xf>
    <xf numFmtId="0" fontId="49" fillId="33" borderId="39" xfId="0" quotePrefix="1" applyFont="1" applyFill="1" applyBorder="1" applyAlignment="1" applyProtection="1">
      <alignment horizontal="center" vertical="top"/>
    </xf>
    <xf numFmtId="0" fontId="49" fillId="33" borderId="42" xfId="0" applyFont="1" applyFill="1" applyBorder="1" applyAlignment="1">
      <alignment horizontal="center" vertical="center"/>
    </xf>
    <xf numFmtId="0" fontId="49" fillId="33" borderId="43" xfId="0" applyFont="1" applyFill="1" applyBorder="1" applyAlignment="1">
      <alignment horizontal="center" vertical="center"/>
    </xf>
    <xf numFmtId="0" fontId="49" fillId="33" borderId="43" xfId="0" applyFont="1" applyFill="1" applyBorder="1" applyAlignment="1">
      <alignment horizontal="center" vertical="top" wrapText="1"/>
    </xf>
    <xf numFmtId="0" fontId="49" fillId="33" borderId="43" xfId="0" applyFont="1" applyFill="1" applyBorder="1" applyAlignment="1" applyProtection="1">
      <alignment horizontal="center" vertical="top" wrapText="1"/>
    </xf>
    <xf numFmtId="0" fontId="49" fillId="33" borderId="43" xfId="0" quotePrefix="1" applyFont="1" applyFill="1" applyBorder="1" applyAlignment="1" applyProtection="1">
      <alignment horizontal="center" vertical="top"/>
    </xf>
    <xf numFmtId="0" fontId="49" fillId="33" borderId="44" xfId="0" applyFont="1" applyFill="1" applyBorder="1" applyAlignment="1" applyProtection="1">
      <alignment horizontal="center" vertical="center"/>
    </xf>
    <xf numFmtId="0" fontId="49" fillId="33" borderId="25" xfId="0" applyFont="1" applyFill="1" applyBorder="1" applyAlignment="1">
      <alignment horizontal="center"/>
    </xf>
    <xf numFmtId="0" fontId="49" fillId="33" borderId="0" xfId="0" applyFont="1" applyFill="1" applyBorder="1"/>
    <xf numFmtId="49" fontId="48" fillId="34" borderId="32" xfId="0" applyNumberFormat="1" applyFont="1" applyFill="1" applyBorder="1" applyAlignment="1" applyProtection="1">
      <alignment horizontal="right"/>
    </xf>
    <xf numFmtId="49" fontId="48" fillId="34" borderId="33" xfId="0" applyNumberFormat="1" applyFont="1" applyFill="1" applyBorder="1" applyAlignment="1" applyProtection="1">
      <alignment horizontal="right"/>
    </xf>
    <xf numFmtId="49" fontId="48" fillId="34" borderId="44" xfId="0" applyNumberFormat="1" applyFont="1" applyFill="1" applyBorder="1" applyAlignment="1" applyProtection="1">
      <alignment horizontal="right"/>
    </xf>
    <xf numFmtId="49" fontId="0" fillId="0" borderId="0" xfId="0" applyNumberFormat="1"/>
    <xf numFmtId="3" fontId="0" fillId="0" borderId="0" xfId="0" applyNumberFormat="1" applyFill="1"/>
    <xf numFmtId="0" fontId="49" fillId="33" borderId="30" xfId="0" applyFont="1" applyFill="1" applyBorder="1" applyAlignment="1" applyProtection="1">
      <alignment horizontal="center" vertical="top" wrapText="1"/>
    </xf>
    <xf numFmtId="0" fontId="49" fillId="33" borderId="35" xfId="0" applyFont="1" applyFill="1" applyBorder="1" applyAlignment="1" applyProtection="1">
      <alignment horizontal="center" vertical="top" wrapText="1"/>
    </xf>
    <xf numFmtId="0" fontId="49" fillId="33" borderId="39" xfId="0" applyFont="1" applyFill="1" applyBorder="1" applyAlignment="1" applyProtection="1">
      <alignment horizontal="center" vertical="top" wrapText="1"/>
    </xf>
    <xf numFmtId="0" fontId="49" fillId="33" borderId="30" xfId="0" applyFont="1" applyFill="1" applyBorder="1" applyAlignment="1">
      <alignment horizontal="center" vertical="top" wrapText="1"/>
    </xf>
    <xf numFmtId="0" fontId="49" fillId="33" borderId="35" xfId="0" applyFont="1" applyFill="1" applyBorder="1" applyAlignment="1">
      <alignment horizontal="center" vertical="top" wrapText="1"/>
    </xf>
    <xf numFmtId="0" fontId="49" fillId="33" borderId="39" xfId="0" applyFont="1" applyFill="1" applyBorder="1" applyAlignment="1">
      <alignment horizontal="center" vertical="top" wrapText="1"/>
    </xf>
    <xf numFmtId="0" fontId="47" fillId="33" borderId="29" xfId="0" applyFont="1" applyFill="1" applyBorder="1" applyAlignment="1">
      <alignment horizontal="center" vertical="center"/>
    </xf>
    <xf numFmtId="0" fontId="47" fillId="33" borderId="38" xfId="0" applyFont="1" applyFill="1" applyBorder="1" applyAlignment="1">
      <alignment horizontal="center" vertical="center"/>
    </xf>
    <xf numFmtId="0" fontId="47" fillId="33" borderId="30" xfId="0" applyFont="1" applyFill="1" applyBorder="1" applyAlignment="1">
      <alignment horizontal="center" vertical="center"/>
    </xf>
    <xf numFmtId="0" fontId="47" fillId="33" borderId="35" xfId="0" applyFont="1" applyFill="1" applyBorder="1" applyAlignment="1">
      <alignment horizontal="center" vertical="center"/>
    </xf>
    <xf numFmtId="0" fontId="47" fillId="33" borderId="39" xfId="0" applyFont="1" applyFill="1" applyBorder="1" applyAlignment="1">
      <alignment horizontal="center" vertical="center"/>
    </xf>
    <xf numFmtId="0" fontId="47" fillId="33" borderId="31" xfId="0" applyFont="1" applyFill="1" applyBorder="1" applyAlignment="1" applyProtection="1">
      <alignment horizontal="center"/>
    </xf>
    <xf numFmtId="0" fontId="47" fillId="33" borderId="32" xfId="0" applyFont="1" applyFill="1" applyBorder="1" applyAlignment="1" applyProtection="1">
      <alignment horizontal="center"/>
    </xf>
    <xf numFmtId="0" fontId="47" fillId="33" borderId="33" xfId="0" applyFont="1" applyFill="1" applyBorder="1" applyAlignment="1" applyProtection="1">
      <alignment horizontal="center"/>
    </xf>
    <xf numFmtId="0" fontId="47" fillId="33" borderId="34" xfId="0" applyFont="1" applyFill="1" applyBorder="1" applyAlignment="1" applyProtection="1">
      <alignment horizontal="center" vertical="center"/>
    </xf>
    <xf numFmtId="0" fontId="47" fillId="33" borderId="36" xfId="0" applyFont="1" applyFill="1" applyBorder="1" applyAlignment="1" applyProtection="1">
      <alignment horizontal="center" vertical="center"/>
    </xf>
    <xf numFmtId="0" fontId="47" fillId="33" borderId="41" xfId="0" applyFont="1" applyFill="1" applyBorder="1" applyAlignment="1" applyProtection="1">
      <alignment horizontal="center" vertical="center"/>
    </xf>
    <xf numFmtId="0" fontId="49" fillId="33" borderId="31" xfId="0" applyFont="1" applyFill="1" applyBorder="1" applyAlignment="1" applyProtection="1">
      <alignment horizontal="center"/>
    </xf>
    <xf numFmtId="0" fontId="49" fillId="33" borderId="32" xfId="0" applyFont="1" applyFill="1" applyBorder="1" applyAlignment="1" applyProtection="1">
      <alignment horizontal="center"/>
    </xf>
    <xf numFmtId="0" fontId="49" fillId="33" borderId="33" xfId="0" applyFont="1" applyFill="1" applyBorder="1" applyAlignment="1" applyProtection="1">
      <alignment horizontal="center"/>
    </xf>
  </cellXfs>
  <cellStyles count="144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" xfId="141" builtinId="3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2 4" xfId="143" xr:uid="{00000000-0005-0000-0000-000022000000}"/>
    <cellStyle name="Comma 3" xfId="46" xr:uid="{00000000-0005-0000-0000-000023000000}"/>
    <cellStyle name="Comma 4" xfId="47" xr:uid="{00000000-0005-0000-0000-000024000000}"/>
    <cellStyle name="Comma 5" xfId="48" xr:uid="{00000000-0005-0000-0000-000025000000}"/>
    <cellStyle name="Comma 6" xfId="49" xr:uid="{00000000-0005-0000-0000-000026000000}"/>
    <cellStyle name="Comma 7" xfId="50" xr:uid="{00000000-0005-0000-0000-000027000000}"/>
    <cellStyle name="Currency 2" xfId="51" xr:uid="{00000000-0005-0000-0000-000028000000}"/>
    <cellStyle name="Currency 3" xfId="52" xr:uid="{00000000-0005-0000-0000-000029000000}"/>
    <cellStyle name="Currency 3 2" xfId="53" xr:uid="{00000000-0005-0000-0000-00002A000000}"/>
    <cellStyle name="Data" xfId="54" xr:uid="{00000000-0005-0000-0000-00002B000000}"/>
    <cellStyle name="Data no deci" xfId="55" xr:uid="{00000000-0005-0000-0000-00002C000000}"/>
    <cellStyle name="Data Superscript" xfId="56" xr:uid="{00000000-0005-0000-0000-00002D000000}"/>
    <cellStyle name="Data_1-1A-Regular" xfId="57" xr:uid="{00000000-0005-0000-0000-00002E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D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" xfId="142" builtinId="5"/>
    <cellStyle name="Percent 2" xfId="118" xr:uid="{00000000-0005-0000-0000-000077000000}"/>
    <cellStyle name="Percent 2 2" xfId="119" xr:uid="{00000000-0005-0000-0000-000078000000}"/>
    <cellStyle name="Percent 3" xfId="120" xr:uid="{00000000-0005-0000-0000-000079000000}"/>
    <cellStyle name="Percent 3 2" xfId="121" xr:uid="{00000000-0005-0000-0000-00007A000000}"/>
    <cellStyle name="Source Hed" xfId="122" xr:uid="{00000000-0005-0000-0000-00007B000000}"/>
    <cellStyle name="Source Superscript" xfId="123" xr:uid="{00000000-0005-0000-0000-00007C000000}"/>
    <cellStyle name="Source Text" xfId="9" xr:uid="{00000000-0005-0000-0000-00007D000000}"/>
    <cellStyle name="State" xfId="124" xr:uid="{00000000-0005-0000-0000-00007E000000}"/>
    <cellStyle name="Superscript" xfId="125" xr:uid="{00000000-0005-0000-0000-00007F000000}"/>
    <cellStyle name="Table Data" xfId="126" xr:uid="{00000000-0005-0000-0000-000080000000}"/>
    <cellStyle name="Table Head Top" xfId="127" xr:uid="{00000000-0005-0000-0000-000081000000}"/>
    <cellStyle name="Table Hed Side" xfId="128" xr:uid="{00000000-0005-0000-0000-000082000000}"/>
    <cellStyle name="Table title" xfId="7" xr:uid="{00000000-0005-0000-0000-000083000000}"/>
    <cellStyle name="Title 2" xfId="129" xr:uid="{00000000-0005-0000-0000-000084000000}"/>
    <cellStyle name="Title Text" xfId="130" xr:uid="{00000000-0005-0000-0000-000085000000}"/>
    <cellStyle name="Title Text 1" xfId="131" xr:uid="{00000000-0005-0000-0000-000086000000}"/>
    <cellStyle name="Title Text 2" xfId="132" xr:uid="{00000000-0005-0000-0000-000087000000}"/>
    <cellStyle name="Title-1" xfId="14" xr:uid="{00000000-0005-0000-0000-000088000000}"/>
    <cellStyle name="Title-2" xfId="133" xr:uid="{00000000-0005-0000-0000-000089000000}"/>
    <cellStyle name="Title-3" xfId="134" xr:uid="{00000000-0005-0000-0000-00008A000000}"/>
    <cellStyle name="Total 2" xfId="135" xr:uid="{00000000-0005-0000-0000-00008B000000}"/>
    <cellStyle name="Warning Text 2" xfId="136" xr:uid="{00000000-0005-0000-0000-00008C000000}"/>
    <cellStyle name="Wrap" xfId="137" xr:uid="{00000000-0005-0000-0000-00008D000000}"/>
    <cellStyle name="Wrap Bold" xfId="138" xr:uid="{00000000-0005-0000-0000-00008E000000}"/>
    <cellStyle name="Wrap Title" xfId="139" xr:uid="{00000000-0005-0000-0000-00008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7620</xdr:rowOff>
    </xdr:from>
    <xdr:to>
      <xdr:col>6</xdr:col>
      <xdr:colOff>526213</xdr:colOff>
      <xdr:row>39</xdr:row>
      <xdr:rowOff>130169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20"/>
          <a:ext cx="4991533" cy="7254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indianrailways.gov.in/railwayboard/uploads/directorate/stat_econ/pdf_annual_report/Railway%20Year%20Book_2017_18.pdf" TargetMode="External"/><Relationship Id="rId1" Type="http://schemas.openxmlformats.org/officeDocument/2006/relationships/hyperlink" Target="http://morth.nic.in/showfile.asp?lid=314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2"/>
  <sheetViews>
    <sheetView topLeftCell="A43" workbookViewId="0">
      <selection activeCell="A52" sqref="A52"/>
    </sheetView>
  </sheetViews>
  <sheetFormatPr defaultRowHeight="15"/>
  <cols>
    <col min="2" max="2" width="73.140625" customWidth="1"/>
  </cols>
  <sheetData>
    <row r="1" spans="1:2">
      <c r="A1" s="1" t="s">
        <v>0</v>
      </c>
    </row>
    <row r="3" spans="1:2">
      <c r="A3" s="1" t="s">
        <v>1</v>
      </c>
      <c r="B3" s="2" t="s">
        <v>69</v>
      </c>
    </row>
    <row r="4" spans="1:2">
      <c r="B4" t="s">
        <v>70</v>
      </c>
    </row>
    <row r="5" spans="1:2">
      <c r="B5" s="3">
        <v>2016</v>
      </c>
    </row>
    <row r="6" spans="1:2">
      <c r="B6" t="s">
        <v>2</v>
      </c>
    </row>
    <row r="7" spans="1:2">
      <c r="B7" s="8" t="s">
        <v>3</v>
      </c>
    </row>
    <row r="8" spans="1:2">
      <c r="B8" t="s">
        <v>68</v>
      </c>
    </row>
    <row r="9" spans="1:2" s="10" customFormat="1">
      <c r="B9" s="11"/>
    </row>
    <row r="10" spans="1:2">
      <c r="B10" s="2" t="s">
        <v>71</v>
      </c>
    </row>
    <row r="11" spans="1:2">
      <c r="B11" t="s">
        <v>74</v>
      </c>
    </row>
    <row r="12" spans="1:2">
      <c r="B12" s="3">
        <v>2015</v>
      </c>
    </row>
    <row r="13" spans="1:2">
      <c r="B13" t="s">
        <v>73</v>
      </c>
    </row>
    <row r="14" spans="1:2">
      <c r="B14" t="s">
        <v>72</v>
      </c>
    </row>
    <row r="15" spans="1:2">
      <c r="B15" t="s">
        <v>125</v>
      </c>
    </row>
    <row r="17" spans="2:2">
      <c r="B17" s="2" t="s">
        <v>108</v>
      </c>
    </row>
    <row r="18" spans="2:2">
      <c r="B18" t="s">
        <v>67</v>
      </c>
    </row>
    <row r="19" spans="2:2">
      <c r="B19" s="3">
        <v>2018</v>
      </c>
    </row>
    <row r="20" spans="2:2">
      <c r="B20" t="s">
        <v>101</v>
      </c>
    </row>
    <row r="21" spans="2:2" ht="30">
      <c r="B21" s="38" t="s">
        <v>102</v>
      </c>
    </row>
    <row r="22" spans="2:2">
      <c r="B22" t="s">
        <v>103</v>
      </c>
    </row>
    <row r="24" spans="2:2">
      <c r="B24" s="2" t="s">
        <v>26</v>
      </c>
    </row>
    <row r="25" spans="2:2">
      <c r="B25" t="s">
        <v>24</v>
      </c>
    </row>
    <row r="26" spans="2:2">
      <c r="B26" s="3">
        <v>2018</v>
      </c>
    </row>
    <row r="27" spans="2:2">
      <c r="B27" t="s">
        <v>159</v>
      </c>
    </row>
    <row r="28" spans="2:2">
      <c r="B28" t="s">
        <v>104</v>
      </c>
    </row>
    <row r="29" spans="2:2">
      <c r="B29" t="s">
        <v>25</v>
      </c>
    </row>
    <row r="31" spans="2:2">
      <c r="B31" s="2" t="s">
        <v>27</v>
      </c>
    </row>
    <row r="32" spans="2:2">
      <c r="B32" s="13" t="s">
        <v>28</v>
      </c>
    </row>
    <row r="34" spans="1:2">
      <c r="B34" s="9" t="s">
        <v>5</v>
      </c>
    </row>
    <row r="35" spans="1:2">
      <c r="B35" t="s">
        <v>153</v>
      </c>
    </row>
    <row r="36" spans="1:2">
      <c r="B36" s="3">
        <v>2018</v>
      </c>
    </row>
    <row r="37" spans="1:2">
      <c r="A37" s="1"/>
      <c r="B37" t="s">
        <v>154</v>
      </c>
    </row>
    <row r="38" spans="1:2">
      <c r="B38" t="s">
        <v>155</v>
      </c>
    </row>
    <row r="39" spans="1:2">
      <c r="B39" t="s">
        <v>156</v>
      </c>
    </row>
    <row r="42" spans="1:2">
      <c r="A42" s="1" t="s">
        <v>160</v>
      </c>
    </row>
    <row r="43" spans="1:2">
      <c r="A43" t="s">
        <v>161</v>
      </c>
    </row>
    <row r="44" spans="1:2">
      <c r="A44" t="s">
        <v>162</v>
      </c>
    </row>
    <row r="45" spans="1:2">
      <c r="A45" t="s">
        <v>165</v>
      </c>
    </row>
    <row r="46" spans="1:2">
      <c r="A46" t="s">
        <v>166</v>
      </c>
    </row>
    <row r="47" spans="1:2">
      <c r="A47" t="s">
        <v>163</v>
      </c>
    </row>
    <row r="49" spans="1:1">
      <c r="A49" t="s">
        <v>158</v>
      </c>
    </row>
    <row r="50" spans="1:1">
      <c r="A50" t="s">
        <v>157</v>
      </c>
    </row>
    <row r="52" spans="1:1">
      <c r="A52" t="s">
        <v>164</v>
      </c>
    </row>
  </sheetData>
  <hyperlinks>
    <hyperlink ref="B7" r:id="rId1" xr:uid="{00000000-0004-0000-0000-000000000000}"/>
    <hyperlink ref="B21" r:id="rId2" xr:uid="{F0FA4D2D-B917-419F-94C7-DA2F8A6839D2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0"/>
  <sheetViews>
    <sheetView tabSelected="1" workbookViewId="0">
      <selection activeCell="Q4" sqref="Q4"/>
    </sheetView>
  </sheetViews>
  <sheetFormatPr defaultRowHeight="15"/>
  <cols>
    <col min="1" max="1" width="12.5703125" customWidth="1"/>
    <col min="2" max="2" width="14.5703125" customWidth="1"/>
    <col min="8" max="8" width="10.85546875" customWidth="1"/>
  </cols>
  <sheetData>
    <row r="1" spans="1:18">
      <c r="A1" s="1" t="s">
        <v>151</v>
      </c>
    </row>
    <row r="2" spans="1:18">
      <c r="A2" t="s">
        <v>46</v>
      </c>
      <c r="B2" s="91">
        <f>F18+O18</f>
        <v>101</v>
      </c>
      <c r="C2" t="s">
        <v>150</v>
      </c>
    </row>
    <row r="3" spans="1:18">
      <c r="A3" t="s">
        <v>47</v>
      </c>
      <c r="B3" s="91">
        <f>R18-B2</f>
        <v>1200</v>
      </c>
      <c r="C3" t="s">
        <v>75</v>
      </c>
    </row>
    <row r="4" spans="1:18">
      <c r="A4" s="13" t="s">
        <v>152</v>
      </c>
    </row>
    <row r="5" spans="1:18" ht="15.75" thickBot="1"/>
    <row r="6" spans="1:18" ht="15.75">
      <c r="A6" s="50"/>
      <c r="B6" s="51"/>
      <c r="C6" s="51"/>
      <c r="D6" s="52"/>
      <c r="E6" s="52"/>
      <c r="F6" s="52"/>
      <c r="G6" s="52"/>
      <c r="H6" s="52"/>
      <c r="I6" s="52"/>
      <c r="J6" s="52"/>
      <c r="K6" s="53"/>
      <c r="L6" s="52"/>
      <c r="M6" s="52"/>
      <c r="N6" s="52"/>
      <c r="O6" s="52"/>
      <c r="P6" s="52"/>
      <c r="Q6" s="52"/>
      <c r="R6" s="54"/>
    </row>
    <row r="7" spans="1:18" ht="15.75">
      <c r="A7" s="55"/>
      <c r="B7" s="56"/>
      <c r="C7" s="56" t="s">
        <v>126</v>
      </c>
      <c r="D7" s="56"/>
      <c r="E7" s="56"/>
      <c r="F7" s="56"/>
      <c r="G7" s="56"/>
      <c r="H7" s="56"/>
      <c r="I7" s="56"/>
      <c r="J7" s="56"/>
      <c r="K7" s="57" t="s">
        <v>126</v>
      </c>
      <c r="L7" s="56"/>
      <c r="M7" s="56"/>
      <c r="N7" s="56"/>
      <c r="O7" s="56"/>
      <c r="P7" s="56"/>
      <c r="Q7" s="56"/>
      <c r="R7" s="58"/>
    </row>
    <row r="8" spans="1:18" ht="15.75">
      <c r="A8" s="55"/>
      <c r="B8" s="59"/>
      <c r="C8" s="59"/>
      <c r="D8" s="60"/>
      <c r="E8" s="60"/>
      <c r="F8" s="60"/>
      <c r="G8" s="60"/>
      <c r="H8" s="61"/>
      <c r="I8" s="60"/>
      <c r="J8" s="60"/>
      <c r="K8" s="62"/>
      <c r="L8" s="60"/>
      <c r="M8" s="60"/>
      <c r="N8" s="60"/>
      <c r="O8" s="60"/>
      <c r="P8" s="60"/>
      <c r="Q8" s="60"/>
      <c r="R8" s="63"/>
    </row>
    <row r="9" spans="1:18" ht="15.75">
      <c r="A9" s="55"/>
      <c r="B9" s="56"/>
      <c r="C9" s="56" t="s">
        <v>127</v>
      </c>
      <c r="D9" s="56"/>
      <c r="E9" s="56"/>
      <c r="F9" s="56"/>
      <c r="G9" s="56"/>
      <c r="H9" s="56"/>
      <c r="I9" s="56"/>
      <c r="J9" s="56"/>
      <c r="K9" s="57" t="s">
        <v>127</v>
      </c>
      <c r="L9" s="56"/>
      <c r="M9" s="56"/>
      <c r="N9" s="56"/>
      <c r="O9" s="56"/>
      <c r="P9" s="56"/>
      <c r="Q9" s="56"/>
      <c r="R9" s="58"/>
    </row>
    <row r="10" spans="1:18">
      <c r="A10" s="55"/>
      <c r="B10" s="64"/>
      <c r="C10" s="64" t="s">
        <v>128</v>
      </c>
      <c r="D10" s="64"/>
      <c r="E10" s="64"/>
      <c r="F10" s="64"/>
      <c r="G10" s="64"/>
      <c r="H10" s="64"/>
      <c r="I10" s="64"/>
      <c r="J10" s="64"/>
      <c r="K10" s="65" t="s">
        <v>128</v>
      </c>
      <c r="L10" s="64"/>
      <c r="M10" s="64"/>
      <c r="N10" s="64"/>
      <c r="O10" s="64"/>
      <c r="P10" s="64"/>
      <c r="Q10" s="64"/>
      <c r="R10" s="66"/>
    </row>
    <row r="11" spans="1:18">
      <c r="A11" s="67"/>
      <c r="B11" s="68"/>
      <c r="C11" s="68" t="s">
        <v>129</v>
      </c>
      <c r="D11" s="69"/>
      <c r="E11" s="69"/>
      <c r="F11" s="69"/>
      <c r="G11" s="69"/>
      <c r="H11" s="69"/>
      <c r="I11" s="69"/>
      <c r="J11" s="69"/>
      <c r="K11" s="70" t="s">
        <v>129</v>
      </c>
      <c r="L11" s="69"/>
      <c r="M11" s="69"/>
      <c r="N11" s="69"/>
      <c r="O11" s="69"/>
      <c r="P11" s="69"/>
      <c r="Q11" s="69"/>
      <c r="R11" s="71"/>
    </row>
    <row r="12" spans="1:18">
      <c r="A12" s="99" t="s">
        <v>130</v>
      </c>
      <c r="B12" s="101" t="s">
        <v>131</v>
      </c>
      <c r="C12" s="104" t="s">
        <v>132</v>
      </c>
      <c r="D12" s="105"/>
      <c r="E12" s="105"/>
      <c r="F12" s="105"/>
      <c r="G12" s="105"/>
      <c r="H12" s="105"/>
      <c r="I12" s="105"/>
      <c r="J12" s="106"/>
      <c r="K12" s="104" t="s">
        <v>133</v>
      </c>
      <c r="L12" s="105"/>
      <c r="M12" s="105"/>
      <c r="N12" s="105"/>
      <c r="O12" s="105"/>
      <c r="P12" s="105"/>
      <c r="Q12" s="106"/>
      <c r="R12" s="107" t="s">
        <v>134</v>
      </c>
    </row>
    <row r="13" spans="1:18">
      <c r="A13" s="99"/>
      <c r="B13" s="102"/>
      <c r="C13" s="110" t="s">
        <v>135</v>
      </c>
      <c r="D13" s="111"/>
      <c r="E13" s="111"/>
      <c r="F13" s="111"/>
      <c r="G13" s="111"/>
      <c r="H13" s="111"/>
      <c r="I13" s="111"/>
      <c r="J13" s="112"/>
      <c r="K13" s="110" t="s">
        <v>135</v>
      </c>
      <c r="L13" s="111"/>
      <c r="M13" s="111"/>
      <c r="N13" s="111"/>
      <c r="O13" s="111"/>
      <c r="P13" s="111"/>
      <c r="Q13" s="112"/>
      <c r="R13" s="108"/>
    </row>
    <row r="14" spans="1:18" ht="25.5">
      <c r="A14" s="99"/>
      <c r="B14" s="102"/>
      <c r="C14" s="96" t="s">
        <v>136</v>
      </c>
      <c r="D14" s="93" t="s">
        <v>137</v>
      </c>
      <c r="E14" s="93" t="s">
        <v>138</v>
      </c>
      <c r="F14" s="93" t="s">
        <v>139</v>
      </c>
      <c r="G14" s="96" t="s">
        <v>140</v>
      </c>
      <c r="H14" s="96" t="s">
        <v>141</v>
      </c>
      <c r="I14" s="96" t="s">
        <v>142</v>
      </c>
      <c r="J14" s="72" t="s">
        <v>134</v>
      </c>
      <c r="K14" s="96" t="s">
        <v>143</v>
      </c>
      <c r="L14" s="93" t="s">
        <v>144</v>
      </c>
      <c r="M14" s="93" t="s">
        <v>145</v>
      </c>
      <c r="N14" s="96" t="s">
        <v>146</v>
      </c>
      <c r="O14" s="93" t="s">
        <v>147</v>
      </c>
      <c r="P14" s="73" t="s">
        <v>142</v>
      </c>
      <c r="Q14" s="74" t="s">
        <v>134</v>
      </c>
      <c r="R14" s="108"/>
    </row>
    <row r="15" spans="1:18">
      <c r="A15" s="99"/>
      <c r="B15" s="102"/>
      <c r="C15" s="97"/>
      <c r="D15" s="94"/>
      <c r="E15" s="94"/>
      <c r="F15" s="94"/>
      <c r="G15" s="97"/>
      <c r="H15" s="97"/>
      <c r="I15" s="97"/>
      <c r="J15" s="72"/>
      <c r="K15" s="97"/>
      <c r="L15" s="94"/>
      <c r="M15" s="94"/>
      <c r="N15" s="97"/>
      <c r="O15" s="94"/>
      <c r="P15" s="75"/>
      <c r="Q15" s="76"/>
      <c r="R15" s="108"/>
    </row>
    <row r="16" spans="1:18">
      <c r="A16" s="100"/>
      <c r="B16" s="103"/>
      <c r="C16" s="98"/>
      <c r="D16" s="95"/>
      <c r="E16" s="95"/>
      <c r="F16" s="95"/>
      <c r="G16" s="98"/>
      <c r="H16" s="98"/>
      <c r="I16" s="98"/>
      <c r="J16" s="77"/>
      <c r="K16" s="98"/>
      <c r="L16" s="95"/>
      <c r="M16" s="95"/>
      <c r="N16" s="98"/>
      <c r="O16" s="95"/>
      <c r="P16" s="78"/>
      <c r="Q16" s="79"/>
      <c r="R16" s="109"/>
    </row>
    <row r="17" spans="1:18">
      <c r="A17" s="80">
        <v>1</v>
      </c>
      <c r="B17" s="81">
        <v>2</v>
      </c>
      <c r="C17" s="82">
        <v>3</v>
      </c>
      <c r="D17" s="83">
        <v>4</v>
      </c>
      <c r="E17" s="83">
        <v>5</v>
      </c>
      <c r="F17" s="83">
        <v>6</v>
      </c>
      <c r="G17" s="82">
        <v>7</v>
      </c>
      <c r="H17" s="82">
        <v>8</v>
      </c>
      <c r="I17" s="82">
        <v>9</v>
      </c>
      <c r="J17" s="84">
        <v>10</v>
      </c>
      <c r="K17" s="82">
        <v>11</v>
      </c>
      <c r="L17" s="83">
        <v>12</v>
      </c>
      <c r="M17" s="83">
        <v>13</v>
      </c>
      <c r="N17" s="82">
        <v>14</v>
      </c>
      <c r="O17" s="83">
        <v>15</v>
      </c>
      <c r="P17" s="82">
        <v>16</v>
      </c>
      <c r="Q17" s="84">
        <v>17</v>
      </c>
      <c r="R17" s="85">
        <v>18</v>
      </c>
    </row>
    <row r="18" spans="1:18">
      <c r="A18" s="86">
        <v>2016</v>
      </c>
      <c r="B18" s="87" t="s">
        <v>148</v>
      </c>
      <c r="C18" s="88">
        <v>586</v>
      </c>
      <c r="D18" s="88">
        <v>37</v>
      </c>
      <c r="E18" s="88">
        <v>22</v>
      </c>
      <c r="F18" s="88">
        <v>96</v>
      </c>
      <c r="G18" s="88">
        <v>100</v>
      </c>
      <c r="H18" s="88">
        <v>57</v>
      </c>
      <c r="I18" s="88" t="s">
        <v>149</v>
      </c>
      <c r="J18" s="89">
        <f>SUM(C18:I18)</f>
        <v>898</v>
      </c>
      <c r="K18" s="88">
        <v>155</v>
      </c>
      <c r="L18" s="88">
        <v>85</v>
      </c>
      <c r="M18" s="88">
        <v>128</v>
      </c>
      <c r="N18" s="88">
        <v>30</v>
      </c>
      <c r="O18" s="88">
        <v>5</v>
      </c>
      <c r="P18" s="88">
        <v>0</v>
      </c>
      <c r="Q18" s="88">
        <f>SUM(K18:P18)</f>
        <v>403</v>
      </c>
      <c r="R18" s="90">
        <f>(J18+Q18)</f>
        <v>1301</v>
      </c>
    </row>
    <row r="20" spans="1:18">
      <c r="C20" s="91"/>
      <c r="J20" s="91"/>
    </row>
  </sheetData>
  <mergeCells count="19">
    <mergeCell ref="A12:A16"/>
    <mergeCell ref="B12:B16"/>
    <mergeCell ref="C12:J12"/>
    <mergeCell ref="K12:Q12"/>
    <mergeCell ref="R12:R16"/>
    <mergeCell ref="C13:J13"/>
    <mergeCell ref="K13:Q13"/>
    <mergeCell ref="C14:C16"/>
    <mergeCell ref="D14:D16"/>
    <mergeCell ref="E14:E16"/>
    <mergeCell ref="M14:M16"/>
    <mergeCell ref="N14:N16"/>
    <mergeCell ref="O14:O16"/>
    <mergeCell ref="F14:F16"/>
    <mergeCell ref="G14:G16"/>
    <mergeCell ref="H14:H16"/>
    <mergeCell ref="I14:I16"/>
    <mergeCell ref="K14:K16"/>
    <mergeCell ref="L14:L1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4"/>
  <sheetViews>
    <sheetView workbookViewId="0">
      <selection activeCell="I19" sqref="I19:I20"/>
    </sheetView>
  </sheetViews>
  <sheetFormatPr defaultRowHeight="15"/>
  <cols>
    <col min="1" max="1" width="22" customWidth="1"/>
    <col min="4" max="4" width="21.7109375" customWidth="1"/>
    <col min="6" max="6" width="18" customWidth="1"/>
    <col min="7" max="7" width="15" customWidth="1"/>
    <col min="8" max="8" width="17.7109375" customWidth="1"/>
  </cols>
  <sheetData>
    <row r="1" spans="1:8">
      <c r="A1" s="2" t="s">
        <v>110</v>
      </c>
      <c r="B1" s="4"/>
    </row>
    <row r="2" spans="1:8">
      <c r="A2" t="s">
        <v>59</v>
      </c>
      <c r="B2">
        <v>39</v>
      </c>
    </row>
    <row r="3" spans="1:8">
      <c r="A3" t="s">
        <v>60</v>
      </c>
      <c r="B3">
        <v>6086</v>
      </c>
    </row>
    <row r="4" spans="1:8">
      <c r="A4" t="s">
        <v>61</v>
      </c>
      <c r="B4">
        <v>5639</v>
      </c>
    </row>
    <row r="5" spans="1:8">
      <c r="A5" t="s">
        <v>100</v>
      </c>
      <c r="B5">
        <f>SUM(B2:B4)</f>
        <v>11764</v>
      </c>
    </row>
    <row r="7" spans="1:8">
      <c r="A7" s="2" t="s">
        <v>58</v>
      </c>
      <c r="B7" s="4"/>
      <c r="E7" s="2" t="s">
        <v>117</v>
      </c>
      <c r="F7" s="4"/>
      <c r="G7" s="4"/>
      <c r="H7" s="4"/>
    </row>
    <row r="8" spans="1:8">
      <c r="A8" t="s">
        <v>54</v>
      </c>
      <c r="B8">
        <v>65326</v>
      </c>
      <c r="E8" s="14" t="s">
        <v>29</v>
      </c>
      <c r="F8" s="15"/>
      <c r="G8" s="16"/>
      <c r="H8" s="18"/>
    </row>
    <row r="9" spans="1:8">
      <c r="A9" t="s">
        <v>55</v>
      </c>
      <c r="B9">
        <v>279308</v>
      </c>
      <c r="E9" s="19" t="s">
        <v>30</v>
      </c>
      <c r="F9" s="19" t="s">
        <v>31</v>
      </c>
      <c r="G9" s="19" t="s">
        <v>32</v>
      </c>
      <c r="H9" s="21">
        <v>2017</v>
      </c>
    </row>
    <row r="10" spans="1:8">
      <c r="E10" s="44" t="s">
        <v>118</v>
      </c>
      <c r="F10" s="45" t="s">
        <v>119</v>
      </c>
      <c r="G10" s="46" t="s">
        <v>35</v>
      </c>
      <c r="H10" s="41">
        <v>0.6872269809588859</v>
      </c>
    </row>
    <row r="11" spans="1:8">
      <c r="A11" s="2" t="s">
        <v>57</v>
      </c>
      <c r="B11" s="4"/>
      <c r="E11" s="22" t="s">
        <v>118</v>
      </c>
      <c r="F11" s="15" t="s">
        <v>119</v>
      </c>
      <c r="G11" s="16" t="s">
        <v>37</v>
      </c>
      <c r="H11" s="41">
        <v>0.7181451682412896</v>
      </c>
    </row>
    <row r="12" spans="1:8">
      <c r="A12" s="1" t="s">
        <v>56</v>
      </c>
      <c r="E12" s="22" t="s">
        <v>118</v>
      </c>
      <c r="F12" s="22" t="s">
        <v>120</v>
      </c>
      <c r="G12" s="16" t="s">
        <v>35</v>
      </c>
      <c r="H12" s="41">
        <v>0.11317598788024429</v>
      </c>
    </row>
    <row r="13" spans="1:8">
      <c r="A13" t="s">
        <v>46</v>
      </c>
      <c r="B13" s="32">
        <v>10</v>
      </c>
      <c r="E13" s="47" t="s">
        <v>118</v>
      </c>
      <c r="F13" s="47" t="s">
        <v>120</v>
      </c>
      <c r="G13" s="48" t="s">
        <v>37</v>
      </c>
      <c r="H13" s="41">
        <v>0.22909010449952699</v>
      </c>
    </row>
    <row r="14" spans="1:8">
      <c r="A14" t="s">
        <v>47</v>
      </c>
      <c r="B14" s="32">
        <v>50</v>
      </c>
    </row>
    <row r="15" spans="1:8">
      <c r="E15" s="49" t="s">
        <v>122</v>
      </c>
      <c r="G15" s="6">
        <f>B23*(H10/SUM(H10:H11))</f>
        <v>3100.9285297835759</v>
      </c>
    </row>
    <row r="16" spans="1:8">
      <c r="A16" s="34" t="s">
        <v>66</v>
      </c>
      <c r="B16" s="33"/>
      <c r="E16" s="49" t="s">
        <v>121</v>
      </c>
      <c r="G16" s="6">
        <f>B23*(H11/SUM(H10:H11))</f>
        <v>3240.4386067881528</v>
      </c>
      <c r="H16" s="6"/>
    </row>
    <row r="17" spans="1:7">
      <c r="A17" s="1" t="s">
        <v>65</v>
      </c>
      <c r="E17" s="10"/>
    </row>
    <row r="18" spans="1:7">
      <c r="A18" t="s">
        <v>46</v>
      </c>
      <c r="B18" s="6">
        <f>B8/B13</f>
        <v>6532.6</v>
      </c>
      <c r="E18" s="49" t="s">
        <v>123</v>
      </c>
      <c r="G18" s="6">
        <f>B24*(H12/SUM(H12:H13))</f>
        <v>1793.0839335069468</v>
      </c>
    </row>
    <row r="19" spans="1:7">
      <c r="A19" t="s">
        <v>47</v>
      </c>
      <c r="B19" s="6">
        <f>B9/B14</f>
        <v>5586.16</v>
      </c>
      <c r="E19" s="49" t="s">
        <v>124</v>
      </c>
      <c r="G19" s="6">
        <f>B24*(H13/SUM(H12:H13))</f>
        <v>3629.5489299213236</v>
      </c>
    </row>
    <row r="20" spans="1:7">
      <c r="G20" s="6"/>
    </row>
    <row r="22" spans="1:7">
      <c r="A22" s="1" t="s">
        <v>62</v>
      </c>
    </row>
    <row r="23" spans="1:7">
      <c r="A23" t="s">
        <v>63</v>
      </c>
      <c r="B23" s="6">
        <f>SUM(B2:B4)*B18/SUM(B18:B19)</f>
        <v>6341.3671365717291</v>
      </c>
    </row>
    <row r="24" spans="1:7">
      <c r="A24" t="s">
        <v>64</v>
      </c>
      <c r="B24" s="6">
        <f>SUM(B2:B4)*B19/SUM(B18:B19)</f>
        <v>5422.6328634282709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1"/>
  <sheetViews>
    <sheetView topLeftCell="A16" workbookViewId="0">
      <selection activeCell="B20" sqref="B20"/>
    </sheetView>
  </sheetViews>
  <sheetFormatPr defaultRowHeight="15"/>
  <cols>
    <col min="1" max="1" width="27.28515625" customWidth="1"/>
    <col min="2" max="2" width="10" bestFit="1" customWidth="1"/>
  </cols>
  <sheetData>
    <row r="1" spans="1:3">
      <c r="A1" t="s">
        <v>109</v>
      </c>
    </row>
    <row r="2" spans="1:3">
      <c r="A2" t="s">
        <v>111</v>
      </c>
      <c r="B2">
        <v>620</v>
      </c>
    </row>
    <row r="5" spans="1:3">
      <c r="A5" t="s">
        <v>112</v>
      </c>
      <c r="B5">
        <f>183.9*10^6</f>
        <v>183900000</v>
      </c>
    </row>
    <row r="6" spans="1:3">
      <c r="A6" t="s">
        <v>113</v>
      </c>
    </row>
    <row r="8" spans="1:3">
      <c r="A8" t="s">
        <v>16</v>
      </c>
      <c r="B8">
        <f>(6.97+15.13)*10^5</f>
        <v>2210000</v>
      </c>
    </row>
    <row r="12" spans="1:3">
      <c r="A12" t="s">
        <v>17</v>
      </c>
      <c r="B12">
        <f>'India AVLo'!B4</f>
        <v>180</v>
      </c>
      <c r="C12" t="s">
        <v>18</v>
      </c>
    </row>
    <row r="13" spans="1:3">
      <c r="A13" t="s">
        <v>19</v>
      </c>
      <c r="B13">
        <f>'India AVLo'!C4</f>
        <v>17.34</v>
      </c>
      <c r="C13" t="s">
        <v>18</v>
      </c>
    </row>
    <row r="16" spans="1:3">
      <c r="A16" t="s">
        <v>20</v>
      </c>
      <c r="B16">
        <f>B5/B12</f>
        <v>1021666.6666666666</v>
      </c>
    </row>
    <row r="17" spans="1:4">
      <c r="A17" t="s">
        <v>21</v>
      </c>
      <c r="B17" s="6">
        <f>B8/B13</f>
        <v>127450.98039215687</v>
      </c>
    </row>
    <row r="20" spans="1:4">
      <c r="A20" t="s">
        <v>22</v>
      </c>
      <c r="B20" s="6">
        <f>B2*(B16/SUM(B16:B17))</f>
        <v>551.23453630236327</v>
      </c>
    </row>
    <row r="21" spans="1:4">
      <c r="A21" t="s">
        <v>23</v>
      </c>
      <c r="B21" s="6">
        <f>B2*(B17/SUM(B16:B17))</f>
        <v>68.765463697636719</v>
      </c>
      <c r="D21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2"/>
  <sheetViews>
    <sheetView workbookViewId="0">
      <selection activeCell="K3" sqref="K3"/>
    </sheetView>
  </sheetViews>
  <sheetFormatPr defaultRowHeight="15"/>
  <cols>
    <col min="1" max="1" width="11.7109375" customWidth="1"/>
    <col min="2" max="2" width="10" bestFit="1" customWidth="1"/>
    <col min="6" max="9" width="16.7109375" customWidth="1"/>
    <col min="10" max="10" width="20.140625" customWidth="1"/>
    <col min="11" max="11" width="14.140625" customWidth="1"/>
    <col min="12" max="12" width="17.140625" customWidth="1"/>
    <col min="14" max="14" width="10.42578125" customWidth="1"/>
  </cols>
  <sheetData>
    <row r="1" spans="8:16">
      <c r="K1" s="2" t="s">
        <v>115</v>
      </c>
      <c r="L1" s="4"/>
      <c r="M1" s="4"/>
      <c r="N1" s="4"/>
      <c r="O1" s="4"/>
    </row>
    <row r="2" spans="8:16">
      <c r="K2" s="14" t="s">
        <v>29</v>
      </c>
      <c r="L2" s="15"/>
      <c r="M2" s="16"/>
      <c r="N2" s="17"/>
      <c r="O2" s="18"/>
    </row>
    <row r="3" spans="8:16">
      <c r="K3" s="19" t="s">
        <v>30</v>
      </c>
      <c r="L3" s="19" t="s">
        <v>31</v>
      </c>
      <c r="M3" s="19" t="s">
        <v>32</v>
      </c>
      <c r="N3" s="20">
        <v>2007</v>
      </c>
      <c r="O3" s="21">
        <v>2017</v>
      </c>
    </row>
    <row r="4" spans="8:16">
      <c r="K4" s="22" t="s">
        <v>33</v>
      </c>
      <c r="L4" s="15" t="s">
        <v>34</v>
      </c>
      <c r="M4" s="16" t="s">
        <v>35</v>
      </c>
      <c r="N4" s="23"/>
      <c r="O4" s="24">
        <v>125.78926798703105</v>
      </c>
    </row>
    <row r="5" spans="8:16">
      <c r="K5" s="22"/>
      <c r="L5" s="15"/>
      <c r="M5" s="16" t="s">
        <v>36</v>
      </c>
      <c r="N5" s="23"/>
      <c r="O5" s="24">
        <v>1.7403814920202365</v>
      </c>
    </row>
    <row r="6" spans="8:16">
      <c r="K6" s="22"/>
      <c r="L6" s="15"/>
      <c r="M6" s="16" t="s">
        <v>37</v>
      </c>
      <c r="N6" s="23"/>
      <c r="O6" s="24">
        <v>0.60155495037288353</v>
      </c>
    </row>
    <row r="7" spans="8:16">
      <c r="K7" s="22"/>
      <c r="L7" s="15"/>
      <c r="M7" s="16" t="s">
        <v>38</v>
      </c>
      <c r="N7" s="23"/>
      <c r="O7" s="28">
        <v>0.20051831679096116</v>
      </c>
      <c r="P7" t="s">
        <v>114</v>
      </c>
    </row>
    <row r="8" spans="8:16">
      <c r="H8" s="5" t="s">
        <v>82</v>
      </c>
      <c r="I8" s="5" t="s">
        <v>83</v>
      </c>
      <c r="K8" s="22"/>
      <c r="L8" s="15" t="s">
        <v>39</v>
      </c>
      <c r="M8" s="16" t="s">
        <v>35</v>
      </c>
      <c r="N8" s="23"/>
      <c r="O8" s="24">
        <v>12.225284097997806</v>
      </c>
    </row>
    <row r="9" spans="8:16">
      <c r="H9">
        <v>1597938</v>
      </c>
      <c r="I9" s="35" t="s">
        <v>77</v>
      </c>
      <c r="J9" s="36" t="s">
        <v>92</v>
      </c>
      <c r="K9" s="22"/>
      <c r="L9" s="15"/>
      <c r="M9" s="16" t="s">
        <v>36</v>
      </c>
      <c r="N9" s="23"/>
      <c r="O9" s="24">
        <v>0.16807356623326436</v>
      </c>
    </row>
    <row r="10" spans="8:16">
      <c r="H10">
        <v>3900933</v>
      </c>
      <c r="I10" s="35" t="s">
        <v>77</v>
      </c>
      <c r="J10" t="s">
        <v>91</v>
      </c>
      <c r="K10" s="22"/>
      <c r="L10" s="15" t="s">
        <v>40</v>
      </c>
      <c r="M10" s="16" t="s">
        <v>41</v>
      </c>
      <c r="N10" s="23"/>
      <c r="O10" s="24">
        <v>139.2118858409529</v>
      </c>
    </row>
    <row r="11" spans="8:16">
      <c r="H11">
        <v>2757639</v>
      </c>
      <c r="I11" s="35" t="s">
        <v>78</v>
      </c>
      <c r="J11" t="s">
        <v>90</v>
      </c>
      <c r="K11" s="22"/>
      <c r="L11" s="15"/>
      <c r="M11" s="16" t="s">
        <v>35</v>
      </c>
      <c r="N11" s="23"/>
      <c r="O11" s="24">
        <v>43.779584242835888</v>
      </c>
    </row>
    <row r="12" spans="8:16">
      <c r="H12">
        <v>1817717</v>
      </c>
      <c r="I12" s="35" t="s">
        <v>79</v>
      </c>
      <c r="J12" t="s">
        <v>89</v>
      </c>
      <c r="K12" s="22"/>
      <c r="L12" s="15"/>
      <c r="M12" s="16" t="s">
        <v>36</v>
      </c>
      <c r="N12" s="23"/>
      <c r="O12" s="24">
        <v>5.1552046662759663</v>
      </c>
    </row>
    <row r="13" spans="8:16">
      <c r="H13">
        <v>5017285</v>
      </c>
      <c r="I13" s="35" t="s">
        <v>84</v>
      </c>
      <c r="K13" s="22"/>
      <c r="L13" s="15"/>
      <c r="M13" s="16" t="s">
        <v>42</v>
      </c>
      <c r="N13" s="23"/>
      <c r="O13" s="24">
        <v>5.1552046662759663</v>
      </c>
    </row>
    <row r="14" spans="8:16">
      <c r="H14">
        <v>341841</v>
      </c>
      <c r="I14" s="35" t="s">
        <v>84</v>
      </c>
      <c r="K14" s="22"/>
      <c r="L14" s="15"/>
      <c r="M14" s="16" t="s">
        <v>37</v>
      </c>
      <c r="N14" s="23"/>
      <c r="O14" s="24">
        <v>3.7359912418031045</v>
      </c>
    </row>
    <row r="15" spans="8:16">
      <c r="H15">
        <v>312301</v>
      </c>
      <c r="I15" s="35" t="s">
        <v>84</v>
      </c>
      <c r="K15" s="22"/>
      <c r="L15" s="15"/>
      <c r="M15" s="16" t="s">
        <v>38</v>
      </c>
      <c r="N15" s="23"/>
      <c r="O15" s="24">
        <v>1.2392318909317224</v>
      </c>
    </row>
    <row r="16" spans="8:16">
      <c r="H16">
        <v>163210</v>
      </c>
      <c r="I16" s="35" t="s">
        <v>84</v>
      </c>
      <c r="K16" s="22"/>
      <c r="L16" s="15" t="s">
        <v>43</v>
      </c>
      <c r="M16" s="16" t="s">
        <v>41</v>
      </c>
      <c r="N16" s="23"/>
      <c r="O16" s="24">
        <v>71.939372545440037</v>
      </c>
    </row>
    <row r="17" spans="8:15">
      <c r="H17">
        <v>285118</v>
      </c>
      <c r="I17" s="35" t="s">
        <v>84</v>
      </c>
      <c r="K17" s="22"/>
      <c r="L17" s="15"/>
      <c r="M17" s="16" t="s">
        <v>41</v>
      </c>
      <c r="N17" s="23"/>
      <c r="O17" s="24">
        <v>569.33037033849519</v>
      </c>
    </row>
    <row r="18" spans="8:15">
      <c r="H18">
        <v>1384740</v>
      </c>
      <c r="I18" s="35" t="s">
        <v>80</v>
      </c>
      <c r="J18" t="s">
        <v>87</v>
      </c>
      <c r="K18" s="22"/>
      <c r="L18" s="15"/>
      <c r="M18" s="16" t="s">
        <v>41</v>
      </c>
      <c r="N18" s="23"/>
      <c r="O18" s="24">
        <v>3.0284554979831024</v>
      </c>
    </row>
    <row r="19" spans="8:15">
      <c r="H19">
        <v>1034957</v>
      </c>
      <c r="I19" s="35" t="s">
        <v>84</v>
      </c>
      <c r="K19" s="22"/>
      <c r="L19" s="15"/>
      <c r="M19" s="16" t="s">
        <v>37</v>
      </c>
      <c r="N19" s="23"/>
      <c r="O19" s="24">
        <v>26.524057947540875</v>
      </c>
    </row>
    <row r="20" spans="8:15">
      <c r="H20">
        <v>640831</v>
      </c>
      <c r="I20" s="35" t="s">
        <v>84</v>
      </c>
      <c r="K20" s="22"/>
      <c r="L20" s="15" t="s">
        <v>44</v>
      </c>
      <c r="M20" s="16" t="s">
        <v>36</v>
      </c>
      <c r="N20" s="23"/>
      <c r="O20" s="24">
        <v>20.447969551648026</v>
      </c>
    </row>
    <row r="21" spans="8:15">
      <c r="H21">
        <v>182531</v>
      </c>
      <c r="I21" s="35" t="s">
        <v>84</v>
      </c>
      <c r="K21" s="22"/>
      <c r="L21" s="15"/>
      <c r="M21" s="16" t="s">
        <v>42</v>
      </c>
      <c r="N21" s="23"/>
      <c r="O21" s="24">
        <v>15.669914537777572</v>
      </c>
    </row>
    <row r="22" spans="8:15">
      <c r="H22">
        <v>2341375</v>
      </c>
      <c r="I22" s="35" t="s">
        <v>81</v>
      </c>
      <c r="J22" t="s">
        <v>86</v>
      </c>
      <c r="K22" s="22"/>
      <c r="L22" s="15"/>
      <c r="M22" s="16" t="s">
        <v>41</v>
      </c>
      <c r="N22" s="23"/>
      <c r="O22" s="24">
        <v>72.337912086611439</v>
      </c>
    </row>
    <row r="23" spans="8:15">
      <c r="H23">
        <v>2429135</v>
      </c>
      <c r="I23" s="35" t="s">
        <v>84</v>
      </c>
      <c r="K23" s="22"/>
      <c r="L23" s="15"/>
      <c r="M23" s="16" t="s">
        <v>35</v>
      </c>
      <c r="N23" s="23"/>
      <c r="O23" s="24">
        <v>66.285472708183747</v>
      </c>
    </row>
    <row r="24" spans="8:15">
      <c r="H24">
        <v>1354689</v>
      </c>
      <c r="I24" s="35" t="s">
        <v>84</v>
      </c>
      <c r="K24" s="22"/>
      <c r="L24" s="15"/>
      <c r="M24" s="16" t="s">
        <v>37</v>
      </c>
      <c r="N24" s="23"/>
      <c r="O24" s="24">
        <v>6.1035113323078409</v>
      </c>
    </row>
    <row r="25" spans="8:15">
      <c r="H25">
        <v>6392010</v>
      </c>
      <c r="I25" s="35" t="s">
        <v>79</v>
      </c>
      <c r="J25" t="s">
        <v>88</v>
      </c>
      <c r="K25" s="22"/>
      <c r="L25" s="15" t="s">
        <v>45</v>
      </c>
      <c r="M25" s="16" t="s">
        <v>36</v>
      </c>
      <c r="N25" s="23"/>
      <c r="O25" s="24">
        <v>2.0389345161320129</v>
      </c>
    </row>
    <row r="26" spans="8:15">
      <c r="H26">
        <v>26744</v>
      </c>
      <c r="I26" s="35" t="s">
        <v>85</v>
      </c>
      <c r="J26" t="s">
        <v>93</v>
      </c>
      <c r="K26" s="22"/>
      <c r="L26" s="15"/>
      <c r="M26" s="16" t="s">
        <v>42</v>
      </c>
      <c r="N26" s="23"/>
      <c r="O26" s="24">
        <v>1.2073742722641769</v>
      </c>
    </row>
    <row r="27" spans="8:15">
      <c r="H27">
        <v>21090119</v>
      </c>
      <c r="I27" s="35" t="s">
        <v>84</v>
      </c>
      <c r="K27" s="22"/>
      <c r="L27" s="15"/>
      <c r="M27" s="25" t="s">
        <v>35</v>
      </c>
      <c r="N27" s="23"/>
      <c r="O27" s="24">
        <v>67.756572043636965</v>
      </c>
    </row>
    <row r="28" spans="8:15">
      <c r="H28">
        <v>50482957</v>
      </c>
      <c r="I28" s="35" t="s">
        <v>84</v>
      </c>
      <c r="K28" s="22"/>
      <c r="L28" s="15"/>
      <c r="M28" s="25" t="s">
        <v>37</v>
      </c>
      <c r="N28" s="23"/>
      <c r="O28" s="24">
        <v>2.2904155107107469</v>
      </c>
    </row>
    <row r="29" spans="8:15">
      <c r="H29">
        <v>11394919</v>
      </c>
      <c r="I29" s="35" t="s">
        <v>84</v>
      </c>
    </row>
    <row r="30" spans="8:15">
      <c r="H30">
        <v>79512467</v>
      </c>
      <c r="I30" s="35" t="s">
        <v>84</v>
      </c>
    </row>
    <row r="31" spans="8:15">
      <c r="H31">
        <v>168975300</v>
      </c>
      <c r="I31" s="35" t="s">
        <v>85</v>
      </c>
      <c r="J31" t="s">
        <v>94</v>
      </c>
      <c r="K31" s="2" t="s">
        <v>53</v>
      </c>
      <c r="L31" s="4"/>
      <c r="M31" s="4"/>
      <c r="N31" s="4"/>
      <c r="O31" s="4"/>
    </row>
    <row r="32" spans="8:15">
      <c r="H32">
        <v>25612559</v>
      </c>
      <c r="I32" s="35" t="s">
        <v>81</v>
      </c>
      <c r="J32" t="s">
        <v>95</v>
      </c>
      <c r="K32" s="19" t="s">
        <v>30</v>
      </c>
      <c r="L32" s="19" t="s">
        <v>50</v>
      </c>
      <c r="M32" s="19" t="s">
        <v>32</v>
      </c>
      <c r="N32" s="20">
        <v>2007</v>
      </c>
      <c r="O32" s="21">
        <v>2017</v>
      </c>
    </row>
    <row r="33" spans="1:15">
      <c r="H33">
        <v>2287753</v>
      </c>
      <c r="I33" s="35" t="s">
        <v>84</v>
      </c>
      <c r="K33" s="22" t="s">
        <v>33</v>
      </c>
      <c r="L33" s="15" t="s">
        <v>51</v>
      </c>
      <c r="M33" s="16" t="s">
        <v>35</v>
      </c>
      <c r="N33" s="29">
        <v>0.91127970346733433</v>
      </c>
      <c r="O33" s="30">
        <v>0.90269186616874042</v>
      </c>
    </row>
    <row r="34" spans="1:15">
      <c r="H34">
        <v>371927</v>
      </c>
      <c r="I34" s="35" t="s">
        <v>80</v>
      </c>
      <c r="J34" t="s">
        <v>96</v>
      </c>
      <c r="K34" s="22"/>
      <c r="L34" s="15" t="s">
        <v>52</v>
      </c>
      <c r="M34" s="16" t="s">
        <v>35</v>
      </c>
      <c r="N34" s="29">
        <v>8.8720296532665791E-2</v>
      </c>
      <c r="O34" s="31">
        <v>9.7308133831259525E-2</v>
      </c>
    </row>
    <row r="35" spans="1:15">
      <c r="H35">
        <v>7086239</v>
      </c>
      <c r="I35" s="35" t="s">
        <v>84</v>
      </c>
    </row>
    <row r="36" spans="1:15">
      <c r="H36">
        <v>1821775</v>
      </c>
      <c r="I36" s="35" t="s">
        <v>84</v>
      </c>
      <c r="K36" t="s">
        <v>116</v>
      </c>
    </row>
    <row r="37" spans="1:15">
      <c r="H37">
        <v>2768121</v>
      </c>
      <c r="I37" s="35" t="s">
        <v>84</v>
      </c>
    </row>
    <row r="38" spans="1:15">
      <c r="H38">
        <v>208923674</v>
      </c>
      <c r="I38" s="35" t="s">
        <v>84</v>
      </c>
    </row>
    <row r="39" spans="1:15">
      <c r="H39">
        <v>230030598</v>
      </c>
      <c r="I39" s="35" t="s">
        <v>84</v>
      </c>
    </row>
    <row r="42" spans="1:15">
      <c r="A42" s="2" t="s">
        <v>76</v>
      </c>
      <c r="B42" s="4"/>
      <c r="C42" s="4"/>
      <c r="E42" s="2" t="s">
        <v>48</v>
      </c>
      <c r="F42" s="4"/>
      <c r="G42" s="4"/>
      <c r="H42" s="4"/>
      <c r="I42" s="4"/>
      <c r="J42" s="4"/>
      <c r="K42" s="4"/>
      <c r="L42" s="4"/>
    </row>
    <row r="43" spans="1:15">
      <c r="B43" s="1" t="s">
        <v>46</v>
      </c>
      <c r="C43" s="1" t="s">
        <v>47</v>
      </c>
      <c r="F43" s="26" t="s">
        <v>6</v>
      </c>
      <c r="G43" s="26" t="s">
        <v>7</v>
      </c>
      <c r="H43" s="26" t="s">
        <v>8</v>
      </c>
      <c r="I43" s="26" t="s">
        <v>9</v>
      </c>
      <c r="J43" s="26" t="s">
        <v>10</v>
      </c>
      <c r="K43" s="26" t="s">
        <v>98</v>
      </c>
      <c r="L43" s="26" t="s">
        <v>99</v>
      </c>
    </row>
    <row r="44" spans="1:15">
      <c r="A44" s="1" t="s">
        <v>11</v>
      </c>
      <c r="B44">
        <f>SUMIFS($H$9:$H$39,$I$9:$I$39,"Psgr LDV")</f>
        <v>27953934</v>
      </c>
      <c r="C44">
        <f>SUMIFS($H$9:$H$39,$I$9:$I$39,"Frgt LDV")</f>
        <v>2757639</v>
      </c>
      <c r="E44" s="1" t="s">
        <v>11</v>
      </c>
      <c r="F44" s="27">
        <f>O14/SUM(O10:O14)</f>
        <v>1.8960777587192681E-2</v>
      </c>
      <c r="G44" s="27">
        <f>O12/SUM(O10:O14)</f>
        <v>2.6163522012578624E-2</v>
      </c>
      <c r="H44" s="27">
        <f>O10/SUM(O10:O14)</f>
        <v>0.7065234991423669</v>
      </c>
      <c r="I44" s="27">
        <f>O11/SUM(O10:O14)</f>
        <v>0.22218867924528304</v>
      </c>
      <c r="J44" s="27">
        <v>0</v>
      </c>
      <c r="K44" s="27">
        <f>O13/SUM(O10:O14)</f>
        <v>2.6163522012578624E-2</v>
      </c>
      <c r="L44" s="43">
        <f>J44</f>
        <v>0</v>
      </c>
      <c r="M44" s="43"/>
    </row>
    <row r="45" spans="1:15">
      <c r="A45" s="1" t="s">
        <v>12</v>
      </c>
      <c r="B45">
        <f>SUMIFS($H$9:$H$39,$I$9:$I$39,"Psgr HDV")</f>
        <v>1756667</v>
      </c>
      <c r="C45">
        <f>SUMIFS($H$9:$H$39,$I$9:$I$39,"Frgt HDV")</f>
        <v>5498871</v>
      </c>
      <c r="E45" s="1" t="s">
        <v>12</v>
      </c>
      <c r="F45" s="27">
        <f>O6/SUM(O4:O6,O8:O9)</f>
        <v>4.2807815332095885E-3</v>
      </c>
      <c r="G45" s="27">
        <f>(O5+O9)/SUM(O4:O6,O8:O9)</f>
        <v>1.358093581520343E-2</v>
      </c>
      <c r="H45" s="27">
        <v>0</v>
      </c>
      <c r="I45" s="27">
        <f>(O4+O8)/SUM(O4:O6,O8:O9)</f>
        <v>0.98213828265158698</v>
      </c>
      <c r="J45" s="27">
        <v>0</v>
      </c>
      <c r="K45" s="43">
        <f>J45</f>
        <v>0</v>
      </c>
      <c r="L45" s="43">
        <f>K45</f>
        <v>0</v>
      </c>
      <c r="M45" s="43"/>
    </row>
    <row r="46" spans="1:15">
      <c r="A46" s="1" t="s">
        <v>15</v>
      </c>
      <c r="B46">
        <f>SUMIFS($H$9:$H$39,$I$9:$I$39,"Psgr Mtrbk")</f>
        <v>169002044</v>
      </c>
      <c r="C46">
        <f>SUMIFS($H$9:$H$39,$I$9:$I$39,"Frgt Mtrbk")</f>
        <v>8209727</v>
      </c>
      <c r="E46" s="1" t="s">
        <v>15</v>
      </c>
      <c r="F46" s="27">
        <f>O19/SUM(O16:O19)</f>
        <v>3.9539621259247815E-2</v>
      </c>
      <c r="G46" s="27">
        <v>0</v>
      </c>
      <c r="H46" s="27">
        <f>SUM(O16:O18)/SUM(O16:O19)</f>
        <v>0.96046037874075219</v>
      </c>
      <c r="I46" s="27">
        <v>0</v>
      </c>
      <c r="J46" s="27">
        <v>0</v>
      </c>
      <c r="K46" s="43">
        <f>J46</f>
        <v>0</v>
      </c>
      <c r="L46" s="43">
        <f>K46</f>
        <v>0</v>
      </c>
      <c r="M46" s="43"/>
    </row>
    <row r="47" spans="1:15">
      <c r="M47" s="43"/>
    </row>
    <row r="48" spans="1:15">
      <c r="E48" s="2" t="s">
        <v>49</v>
      </c>
      <c r="F48" s="4"/>
      <c r="G48" s="4"/>
      <c r="H48" s="4"/>
      <c r="I48" s="4"/>
      <c r="J48" s="4"/>
      <c r="K48" s="4"/>
      <c r="L48" s="4"/>
      <c r="M48" s="43"/>
    </row>
    <row r="49" spans="5:13">
      <c r="F49" s="26" t="s">
        <v>6</v>
      </c>
      <c r="G49" s="26" t="s">
        <v>7</v>
      </c>
      <c r="H49" s="26" t="s">
        <v>8</v>
      </c>
      <c r="I49" s="26" t="s">
        <v>9</v>
      </c>
      <c r="J49" s="26" t="s">
        <v>10</v>
      </c>
      <c r="K49" s="26" t="s">
        <v>98</v>
      </c>
      <c r="L49" s="26" t="s">
        <v>99</v>
      </c>
      <c r="M49" s="43"/>
    </row>
    <row r="50" spans="5:13">
      <c r="E50" s="1" t="s">
        <v>11</v>
      </c>
      <c r="F50" s="27">
        <v>0</v>
      </c>
      <c r="G50" s="27">
        <v>0</v>
      </c>
      <c r="H50" s="27">
        <v>0</v>
      </c>
      <c r="I50" s="27">
        <f>SUM(O33:O34)</f>
        <v>1</v>
      </c>
      <c r="J50" s="27">
        <v>0</v>
      </c>
      <c r="K50" s="43">
        <f>J50</f>
        <v>0</v>
      </c>
      <c r="L50" s="43">
        <f>K50</f>
        <v>0</v>
      </c>
      <c r="M50" s="43"/>
    </row>
    <row r="51" spans="5:13">
      <c r="E51" s="1" t="s">
        <v>12</v>
      </c>
      <c r="F51" s="27">
        <v>0</v>
      </c>
      <c r="G51" s="27">
        <v>0</v>
      </c>
      <c r="H51" s="27">
        <v>0</v>
      </c>
      <c r="I51" s="27">
        <f>SUM(O33:O34)</f>
        <v>1</v>
      </c>
      <c r="J51" s="27">
        <v>0</v>
      </c>
      <c r="K51" s="43">
        <f>J51</f>
        <v>0</v>
      </c>
      <c r="L51" s="43">
        <f>K51</f>
        <v>0</v>
      </c>
      <c r="M51" s="43"/>
    </row>
    <row r="52" spans="5:13">
      <c r="E52" s="1" t="s">
        <v>15</v>
      </c>
      <c r="F52" s="27">
        <f>O24/SUM(O20:O24)</f>
        <v>3.3749999999999995E-2</v>
      </c>
      <c r="G52" s="27">
        <f>O20/SUM(O20:O24)</f>
        <v>0.11306917195600177</v>
      </c>
      <c r="H52" s="27">
        <f>O22/SUM(O20:O24)</f>
        <v>0.39999999999999991</v>
      </c>
      <c r="I52" s="27">
        <f>O23/SUM(O20:O24)</f>
        <v>0.36653240767479706</v>
      </c>
      <c r="J52" s="27">
        <v>0</v>
      </c>
      <c r="K52" s="27">
        <f>O21/SUM(O20:O24)</f>
        <v>8.6648420369201187E-2</v>
      </c>
      <c r="L52" s="43">
        <f>J52</f>
        <v>0</v>
      </c>
      <c r="M52" s="43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414C9-8DE0-4072-98C4-C859BE86BF3D}">
  <dimension ref="A1:C7"/>
  <sheetViews>
    <sheetView workbookViewId="0">
      <selection activeCell="C7" sqref="C7"/>
    </sheetView>
  </sheetViews>
  <sheetFormatPr defaultRowHeight="15"/>
  <cols>
    <col min="1" max="1" width="12.42578125" customWidth="1"/>
    <col min="2" max="2" width="15.28515625" customWidth="1"/>
  </cols>
  <sheetData>
    <row r="1" spans="1:3" ht="30">
      <c r="A1" s="37" t="s">
        <v>105</v>
      </c>
      <c r="B1" t="s">
        <v>106</v>
      </c>
      <c r="C1" t="s">
        <v>107</v>
      </c>
    </row>
    <row r="2" spans="1:3">
      <c r="A2" s="1" t="s">
        <v>11</v>
      </c>
      <c r="B2">
        <v>3.5</v>
      </c>
      <c r="C2">
        <v>1.7</v>
      </c>
    </row>
    <row r="3" spans="1:3">
      <c r="A3" s="39" t="s">
        <v>12</v>
      </c>
      <c r="B3">
        <v>45</v>
      </c>
      <c r="C3">
        <v>6.0999999999999979</v>
      </c>
    </row>
    <row r="4" spans="1:3">
      <c r="A4" s="1" t="s">
        <v>4</v>
      </c>
      <c r="B4">
        <v>180</v>
      </c>
      <c r="C4">
        <v>17.34</v>
      </c>
    </row>
    <row r="5" spans="1:3">
      <c r="A5" s="39" t="s">
        <v>13</v>
      </c>
      <c r="B5">
        <v>1000</v>
      </c>
      <c r="C5">
        <v>2830</v>
      </c>
    </row>
    <row r="6" spans="1:3">
      <c r="A6" s="40" t="s">
        <v>14</v>
      </c>
      <c r="B6" s="42">
        <v>756.78378378378375</v>
      </c>
      <c r="C6" s="42">
        <v>1974.4736422180429</v>
      </c>
    </row>
    <row r="7" spans="1:3">
      <c r="A7" s="1" t="s">
        <v>15</v>
      </c>
      <c r="B7">
        <v>2</v>
      </c>
      <c r="C7">
        <v>0.42499999999999999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H9"/>
  <sheetViews>
    <sheetView workbookViewId="0">
      <selection activeCell="E4" sqref="E4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6" width="23.28515625" customWidth="1"/>
    <col min="7" max="7" width="19.28515625" customWidth="1"/>
    <col min="8" max="8" width="16.42578125" bestFit="1" customWidth="1"/>
  </cols>
  <sheetData>
    <row r="1" spans="1:8" ht="30">
      <c r="A1" s="37" t="s">
        <v>97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98</v>
      </c>
      <c r="H1" s="5" t="s">
        <v>99</v>
      </c>
    </row>
    <row r="2" spans="1:8">
      <c r="A2" s="1" t="s">
        <v>11</v>
      </c>
      <c r="B2" s="6">
        <f>'India Road'!$B44*'India Road'!F44</f>
        <v>530028.32526106341</v>
      </c>
      <c r="C2" s="6">
        <f>'India Road'!$B44*'India Road'!G44</f>
        <v>731373.36754717003</v>
      </c>
      <c r="D2" s="6">
        <f>'India Road'!$B44*'India Road'!H44</f>
        <v>19750111.264474779</v>
      </c>
      <c r="E2" s="6">
        <f>'India Road'!$B44*'India Road'!I44</f>
        <v>6211047.6751698116</v>
      </c>
      <c r="F2" s="6">
        <f>'India Road'!$B44*'India Road'!J44</f>
        <v>0</v>
      </c>
      <c r="G2" s="6">
        <f>'India Road'!$B44*'India Road'!K44</f>
        <v>731373.36754717003</v>
      </c>
      <c r="H2" s="6">
        <f>'India Road'!$B44*'India Road'!L44</f>
        <v>0</v>
      </c>
    </row>
    <row r="3" spans="1:8">
      <c r="A3" s="1" t="s">
        <v>12</v>
      </c>
      <c r="B3" s="6">
        <f>'India Road'!$B45*'India Road'!F45</f>
        <v>7519.9076535986878</v>
      </c>
      <c r="C3" s="6">
        <f>'India Road'!$B45*'India Road'!G45</f>
        <v>23857.181775685964</v>
      </c>
      <c r="D3" s="6">
        <f>'India Road'!$B45*'India Road'!H45</f>
        <v>0</v>
      </c>
      <c r="E3" s="6">
        <f>'India Road'!$B45*'India Road'!I45</f>
        <v>1725289.9105707153</v>
      </c>
      <c r="F3" s="6">
        <f>'India Road'!$B45*'India Road'!J45</f>
        <v>0</v>
      </c>
      <c r="G3" s="6">
        <f>'India Road'!$B45*'India Road'!K45</f>
        <v>0</v>
      </c>
      <c r="H3" s="6">
        <f>'India Road'!$B45*'India Road'!L45</f>
        <v>0</v>
      </c>
    </row>
    <row r="4" spans="1:8">
      <c r="A4" s="1" t="s">
        <v>4</v>
      </c>
      <c r="B4" s="7">
        <v>0</v>
      </c>
      <c r="C4" s="7">
        <v>0</v>
      </c>
      <c r="D4" s="7">
        <v>0</v>
      </c>
      <c r="E4" s="7">
        <f>'India Aircraft'!B20</f>
        <v>551.23453630236327</v>
      </c>
      <c r="F4" s="7">
        <v>0</v>
      </c>
      <c r="G4" s="7">
        <v>0</v>
      </c>
      <c r="H4" s="7">
        <v>0</v>
      </c>
    </row>
    <row r="5" spans="1:8">
      <c r="A5" s="1" t="s">
        <v>13</v>
      </c>
      <c r="B5" s="7">
        <f>'India Rail'!G16</f>
        <v>3240.4386067881528</v>
      </c>
      <c r="C5" s="7">
        <v>0</v>
      </c>
      <c r="D5" s="7">
        <v>0</v>
      </c>
      <c r="E5" s="7">
        <f>'India Rail'!G15</f>
        <v>3100.9285297835759</v>
      </c>
      <c r="F5" s="7">
        <v>0</v>
      </c>
      <c r="G5" s="7">
        <v>0</v>
      </c>
      <c r="H5" s="7">
        <v>0</v>
      </c>
    </row>
    <row r="6" spans="1:8">
      <c r="A6" s="1" t="s">
        <v>14</v>
      </c>
      <c r="B6" s="7">
        <v>0</v>
      </c>
      <c r="C6" s="7">
        <v>0</v>
      </c>
      <c r="D6" s="7">
        <v>0</v>
      </c>
      <c r="E6" s="7">
        <f>'India Ships'!B2</f>
        <v>101</v>
      </c>
      <c r="F6" s="7">
        <v>0</v>
      </c>
      <c r="G6" s="7">
        <v>0</v>
      </c>
      <c r="H6" s="7">
        <v>0</v>
      </c>
    </row>
    <row r="7" spans="1:8">
      <c r="A7" s="1" t="s">
        <v>15</v>
      </c>
      <c r="B7" s="7">
        <f>'India Road'!$B46*'India Road'!F46</f>
        <v>6682276.8117987346</v>
      </c>
      <c r="C7" s="7">
        <f>'India Road'!$B46*'India Road'!G46</f>
        <v>0</v>
      </c>
      <c r="D7" s="7">
        <f>'India Road'!$B46*'India Road'!H46</f>
        <v>162319767.18820128</v>
      </c>
      <c r="E7" s="7">
        <f>'India Road'!$B46*'India Road'!I46</f>
        <v>0</v>
      </c>
      <c r="F7" s="7">
        <f>'India Road'!$B46*'India Road'!J46</f>
        <v>0</v>
      </c>
      <c r="G7" s="7">
        <f>'India Road'!$B46*'India Road'!K46</f>
        <v>0</v>
      </c>
      <c r="H7" s="7">
        <f>'India Road'!$B46*'India Road'!L46</f>
        <v>0</v>
      </c>
    </row>
    <row r="8" spans="1:8">
      <c r="B8" s="10"/>
      <c r="C8" s="10"/>
      <c r="D8" s="10"/>
      <c r="E8" s="10"/>
      <c r="F8" s="10"/>
      <c r="G8" s="10"/>
      <c r="H8" s="10"/>
    </row>
    <row r="9" spans="1:8">
      <c r="B9" s="10"/>
      <c r="C9" s="10"/>
      <c r="D9" s="10"/>
      <c r="E9" s="10"/>
      <c r="F9" s="10"/>
      <c r="G9" s="10"/>
      <c r="H9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H7"/>
  <sheetViews>
    <sheetView workbookViewId="0">
      <selection activeCell="E7" sqref="E7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6" width="23.28515625" customWidth="1"/>
    <col min="7" max="7" width="15.7109375" customWidth="1"/>
    <col min="8" max="8" width="16.42578125" bestFit="1" customWidth="1"/>
  </cols>
  <sheetData>
    <row r="1" spans="1:8" ht="30">
      <c r="A1" s="37" t="s">
        <v>97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98</v>
      </c>
      <c r="H1" s="5" t="s">
        <v>99</v>
      </c>
    </row>
    <row r="2" spans="1:8">
      <c r="A2" s="1" t="s">
        <v>11</v>
      </c>
      <c r="B2" s="10">
        <f>'India Road'!$C44*'India Road'!F50</f>
        <v>0</v>
      </c>
      <c r="C2" s="10">
        <f>'India Road'!$C44*'India Road'!G50</f>
        <v>0</v>
      </c>
      <c r="D2" s="10">
        <f>'India Road'!$C44*'India Road'!H50</f>
        <v>0</v>
      </c>
      <c r="E2" s="10">
        <f>'India Road'!$C44*'India Road'!I50</f>
        <v>2757639</v>
      </c>
      <c r="F2" s="10">
        <f>'India Road'!$C44*'India Road'!J50</f>
        <v>0</v>
      </c>
      <c r="G2" s="10">
        <f>'India Road'!$C44*'India Road'!K50</f>
        <v>0</v>
      </c>
      <c r="H2" s="10">
        <f>'India Road'!$C44*'India Road'!L50</f>
        <v>0</v>
      </c>
    </row>
    <row r="3" spans="1:8">
      <c r="A3" s="1" t="s">
        <v>12</v>
      </c>
      <c r="B3" s="10">
        <f>'India Road'!$C45*'India Road'!F51</f>
        <v>0</v>
      </c>
      <c r="C3" s="10">
        <f>'India Road'!$C45*'India Road'!G51</f>
        <v>0</v>
      </c>
      <c r="D3" s="10">
        <f>'India Road'!$C45*'India Road'!H51</f>
        <v>0</v>
      </c>
      <c r="E3" s="10">
        <f>'India Road'!$C45*'India Road'!I51</f>
        <v>5498871</v>
      </c>
      <c r="F3" s="10">
        <f>'India Road'!$C45*'India Road'!J51</f>
        <v>0</v>
      </c>
      <c r="G3" s="10">
        <f>'India Road'!$C45*'India Road'!K51</f>
        <v>0</v>
      </c>
      <c r="H3" s="10">
        <f>'India Road'!$C45*'India Road'!L51</f>
        <v>0</v>
      </c>
    </row>
    <row r="4" spans="1:8">
      <c r="A4" s="1" t="s">
        <v>4</v>
      </c>
      <c r="B4" s="10">
        <v>0</v>
      </c>
      <c r="C4" s="10">
        <v>0</v>
      </c>
      <c r="D4" s="10">
        <v>0</v>
      </c>
      <c r="E4" s="7">
        <f>'India Aircraft'!B21</f>
        <v>68.765463697636719</v>
      </c>
      <c r="F4" s="10">
        <v>0</v>
      </c>
      <c r="G4" s="92">
        <v>0</v>
      </c>
      <c r="H4" s="10">
        <v>0</v>
      </c>
    </row>
    <row r="5" spans="1:8">
      <c r="A5" s="1" t="s">
        <v>13</v>
      </c>
      <c r="B5" s="7">
        <f>'India Rail'!G19</f>
        <v>3629.5489299213236</v>
      </c>
      <c r="C5" s="10">
        <v>0</v>
      </c>
      <c r="D5" s="10">
        <v>0</v>
      </c>
      <c r="E5" s="7">
        <f>'India Rail'!G18</f>
        <v>1793.0839335069468</v>
      </c>
      <c r="F5" s="10">
        <v>0</v>
      </c>
      <c r="G5" s="7">
        <v>0</v>
      </c>
      <c r="H5" s="10">
        <v>0</v>
      </c>
    </row>
    <row r="6" spans="1:8">
      <c r="A6" s="1" t="s">
        <v>14</v>
      </c>
      <c r="B6" s="10">
        <v>0</v>
      </c>
      <c r="C6" s="10">
        <v>0</v>
      </c>
      <c r="D6" s="10">
        <v>0</v>
      </c>
      <c r="E6" s="7">
        <f>'India Ships'!B3</f>
        <v>1200</v>
      </c>
      <c r="F6" s="10">
        <v>0</v>
      </c>
      <c r="G6" s="7">
        <v>0</v>
      </c>
      <c r="H6" s="10">
        <v>0</v>
      </c>
    </row>
    <row r="7" spans="1:8">
      <c r="A7" s="1" t="s">
        <v>15</v>
      </c>
      <c r="B7" s="7">
        <f>'India Road'!$C46*'India Road'!F52</f>
        <v>277078.28624999995</v>
      </c>
      <c r="C7" s="7">
        <f>'India Road'!$C46*'India Road'!G52</f>
        <v>928267.03387483058</v>
      </c>
      <c r="D7" s="7">
        <f>'India Road'!$C46*'India Road'!H52</f>
        <v>3283890.7999999993</v>
      </c>
      <c r="E7" s="7">
        <f>'India Road'!$C46*'India Road'!I52</f>
        <v>3009131.0036627888</v>
      </c>
      <c r="F7" s="7">
        <f>'India Road'!$C46*'India Road'!J52</f>
        <v>0</v>
      </c>
      <c r="G7" s="7">
        <f>'India Road'!$C46*'India Road'!K52</f>
        <v>711359.87621238094</v>
      </c>
      <c r="H7" s="7">
        <f>'India Road'!$C46*'India Road'!L52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India Ships</vt:lpstr>
      <vt:lpstr>India Rail</vt:lpstr>
      <vt:lpstr>India Aircraft</vt:lpstr>
      <vt:lpstr>India Road</vt:lpstr>
      <vt:lpstr>India AVLo</vt:lpstr>
      <vt:lpstr>SYVbT-passenger</vt:lpstr>
      <vt:lpstr>SYVbT-freight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Deepthi Swamy</cp:lastModifiedBy>
  <cp:revision/>
  <dcterms:created xsi:type="dcterms:W3CDTF">2017-06-22T21:46:10Z</dcterms:created>
  <dcterms:modified xsi:type="dcterms:W3CDTF">2020-01-27T06:31:34Z</dcterms:modified>
  <cp:category/>
  <cp:contentStatus/>
</cp:coreProperties>
</file>