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60" windowHeight="7760"/>
  </bookViews>
  <sheets>
    <sheet name="About" sheetId="14" r:id="rId1"/>
    <sheet name="2017-2029 Retirements" sheetId="18" r:id="rId2"/>
    <sheet name="Technology Types" sheetId="19" r:id="rId3"/>
    <sheet name="Calculations" sheetId="20" r:id="rId4"/>
    <sheet name="2030-2050 Assumptions" sheetId="21" r:id="rId5"/>
    <sheet name="BCR" sheetId="2" r:id="rId6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O3" i="2"/>
  <c r="O2" i="2"/>
  <c r="C12" i="2"/>
  <c r="D12" i="2"/>
  <c r="E12" i="2"/>
  <c r="F12" i="2"/>
  <c r="G12" i="2"/>
  <c r="H12" i="2"/>
  <c r="I12" i="2"/>
  <c r="J12" i="2"/>
  <c r="K12" i="2"/>
  <c r="L12" i="2"/>
  <c r="M12" i="2"/>
  <c r="N12" i="2"/>
  <c r="B12" i="2"/>
  <c r="C11" i="2"/>
  <c r="D11" i="2"/>
  <c r="E11" i="2"/>
  <c r="F11" i="2"/>
  <c r="G11" i="2"/>
  <c r="H11" i="2"/>
  <c r="I11" i="2"/>
  <c r="J11" i="2"/>
  <c r="K11" i="2"/>
  <c r="L11" i="2"/>
  <c r="M11" i="2"/>
  <c r="N11" i="2"/>
  <c r="B11" i="2"/>
  <c r="B9" i="2"/>
  <c r="C8" i="2"/>
  <c r="D8" i="2"/>
  <c r="E8" i="2"/>
  <c r="F8" i="2"/>
  <c r="G8" i="2"/>
  <c r="H8" i="2"/>
  <c r="I8" i="2"/>
  <c r="J8" i="2"/>
  <c r="K8" i="2"/>
  <c r="L8" i="2"/>
  <c r="M8" i="2"/>
  <c r="N8" i="2"/>
  <c r="B8" i="2"/>
  <c r="C7" i="2"/>
  <c r="D7" i="2"/>
  <c r="E7" i="2"/>
  <c r="F7" i="2"/>
  <c r="G7" i="2"/>
  <c r="H7" i="2"/>
  <c r="I7" i="2"/>
  <c r="J7" i="2"/>
  <c r="K7" i="2"/>
  <c r="L7" i="2"/>
  <c r="M7" i="2"/>
  <c r="N7" i="2"/>
  <c r="B7" i="2"/>
  <c r="C6" i="2"/>
  <c r="D6" i="2"/>
  <c r="E6" i="2"/>
  <c r="F6" i="2"/>
  <c r="G6" i="2"/>
  <c r="H6" i="2"/>
  <c r="I6" i="2"/>
  <c r="J6" i="2"/>
  <c r="K6" i="2"/>
  <c r="L6" i="2"/>
  <c r="M6" i="2"/>
  <c r="N6" i="2"/>
  <c r="B6" i="2"/>
  <c r="C5" i="2"/>
  <c r="D5" i="2"/>
  <c r="E5" i="2"/>
  <c r="F5" i="2"/>
  <c r="G5" i="2"/>
  <c r="H5" i="2"/>
  <c r="I5" i="2"/>
  <c r="J5" i="2"/>
  <c r="K5" i="2"/>
  <c r="L5" i="2"/>
  <c r="M5" i="2"/>
  <c r="N5" i="2"/>
  <c r="B5" i="2"/>
  <c r="C4" i="2"/>
  <c r="D4" i="2"/>
  <c r="E4" i="2"/>
  <c r="F4" i="2"/>
  <c r="G4" i="2"/>
  <c r="H4" i="2"/>
  <c r="I4" i="2"/>
  <c r="J4" i="2"/>
  <c r="K4" i="2"/>
  <c r="L4" i="2"/>
  <c r="M4" i="2"/>
  <c r="N4" i="2"/>
  <c r="B4" i="2"/>
  <c r="C3" i="2"/>
  <c r="D3" i="2"/>
  <c r="E3" i="2"/>
  <c r="F3" i="2"/>
  <c r="G3" i="2"/>
  <c r="H3" i="2"/>
  <c r="I3" i="2"/>
  <c r="J3" i="2"/>
  <c r="K3" i="2"/>
  <c r="L3" i="2"/>
  <c r="M3" i="2"/>
  <c r="N3" i="2"/>
  <c r="B3" i="2"/>
  <c r="C2" i="2"/>
  <c r="D2" i="2"/>
  <c r="E2" i="2"/>
  <c r="F2" i="2"/>
  <c r="G2" i="2"/>
  <c r="H2" i="2"/>
  <c r="I2" i="2"/>
  <c r="J2" i="2"/>
  <c r="K2" i="2"/>
  <c r="L2" i="2"/>
  <c r="M2" i="2"/>
  <c r="N2" i="2"/>
  <c r="B2" i="2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2" i="20"/>
  <c r="C11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</calcChain>
</file>

<file path=xl/sharedStrings.xml><?xml version="1.0" encoding="utf-8"?>
<sst xmlns="http://schemas.openxmlformats.org/spreadsheetml/2006/main" count="1054" uniqueCount="342">
  <si>
    <t>coal</t>
  </si>
  <si>
    <t>nuclear</t>
  </si>
  <si>
    <t>hydro</t>
  </si>
  <si>
    <t>wind</t>
  </si>
  <si>
    <t>solar pv</t>
  </si>
  <si>
    <t>solar thermal</t>
  </si>
  <si>
    <t>biomass</t>
  </si>
  <si>
    <t>geothermal</t>
  </si>
  <si>
    <t>Year</t>
  </si>
  <si>
    <t>Technology</t>
  </si>
  <si>
    <t>Petroleum Liquids</t>
  </si>
  <si>
    <t>Other Natural Gas</t>
  </si>
  <si>
    <t>Other Gases</t>
  </si>
  <si>
    <t>Nuclear</t>
  </si>
  <si>
    <t>Conventional Steam Coal</t>
  </si>
  <si>
    <t>Natural Gas Fired Combined Cycle</t>
  </si>
  <si>
    <t>Geothermal</t>
  </si>
  <si>
    <t>Conventional Hydroelectric</t>
  </si>
  <si>
    <t>Landfill Gas</t>
  </si>
  <si>
    <t>Natural Gas Fired Combustion Turbine</t>
  </si>
  <si>
    <t>Power Plant Type</t>
  </si>
  <si>
    <t>BC</t>
  </si>
  <si>
    <t>Wood/Wood Waste Biomass</t>
  </si>
  <si>
    <t>Solar Photovoltaic</t>
  </si>
  <si>
    <t>Other Waste Biomass</t>
  </si>
  <si>
    <t>Onshore Wind Turbine</t>
  </si>
  <si>
    <t>All Other</t>
  </si>
  <si>
    <t>Solar Thermal without Energy Storage</t>
  </si>
  <si>
    <t>other</t>
  </si>
  <si>
    <t>Natural Gas Steam Turbine</t>
  </si>
  <si>
    <t>Natural Gas Internal Combustion Engine</t>
  </si>
  <si>
    <t>Notes</t>
  </si>
  <si>
    <t>Sources:</t>
  </si>
  <si>
    <t>BCR BAU Capacity Retirements</t>
  </si>
  <si>
    <t>natural gas nonpeaker</t>
  </si>
  <si>
    <t>petroleum</t>
  </si>
  <si>
    <t>natural gas peaker</t>
  </si>
  <si>
    <t>Plant Categorization</t>
  </si>
  <si>
    <t>natural gas nonpeakers</t>
  </si>
  <si>
    <t>natural gas peakers</t>
  </si>
  <si>
    <t>lignite</t>
  </si>
  <si>
    <t>offshore wind</t>
  </si>
  <si>
    <t>hard coal</t>
  </si>
  <si>
    <t>onshore wind</t>
  </si>
  <si>
    <t>Programa de Desarrollo del Sistema Eléctrico Nacional (PRODESEN) 2017-2031</t>
  </si>
  <si>
    <t>Retiro de Capacidad por Tecnología 2017-2031</t>
  </si>
  <si>
    <t>Gráfico 4.4.4, p. 81</t>
  </si>
  <si>
    <t>http://base.energia.gob.mx/prodesen/PRODESEN2017/PRODESEN-2017-2031.pdf</t>
  </si>
  <si>
    <t>Programa Indicativo para el Retiro de Centrales Eléctricas 2017-2031</t>
  </si>
  <si>
    <t>Capítulo 4, Anexo Tabla 4.4.9</t>
  </si>
  <si>
    <t>https://www.gob.mx/sener/es/acciones-y-programas/programa-de-desarrollo-del-sistema-electrico-nacional-33462</t>
  </si>
  <si>
    <t xml:space="preserve">Renewables are not considered in PRODESEN data, so we use a value zero. </t>
  </si>
  <si>
    <t>Ciclo combinado</t>
  </si>
  <si>
    <t>Ciclo combinado (combined cycle)</t>
  </si>
  <si>
    <t>Turbogas (gas turbine)</t>
  </si>
  <si>
    <t>Termoeléctrica convencional (conventional thermoelectric) y combustión interna (internal combustion)</t>
  </si>
  <si>
    <t>TABLA 4.4.9. PROGRAMA INDICATIVO PARA EL RETIRO DE CENTRALES ELÉCTRICAS  2017-2031</t>
  </si>
  <si>
    <t>No.</t>
  </si>
  <si>
    <t>Central/Unidad</t>
  </si>
  <si>
    <t>Tecnología</t>
  </si>
  <si>
    <t>Municipio</t>
  </si>
  <si>
    <t>Entidad Federativa</t>
  </si>
  <si>
    <t>Región de Transmisión</t>
  </si>
  <si>
    <t>Región de Control</t>
  </si>
  <si>
    <r>
      <t>Año de retiro</t>
    </r>
    <r>
      <rPr>
        <b/>
        <vertAlign val="superscript"/>
        <sz val="8"/>
        <color rgb="FF000000"/>
        <rFont val="Soberana Sans Light"/>
        <family val="3"/>
      </rPr>
      <t>1/</t>
    </r>
  </si>
  <si>
    <t>Capacidad (MW)</t>
  </si>
  <si>
    <t>Los Cabos U1</t>
  </si>
  <si>
    <t>Turbogás</t>
  </si>
  <si>
    <t>008-Los Cabos</t>
  </si>
  <si>
    <t>BCS</t>
  </si>
  <si>
    <t>52-Los Cabos</t>
  </si>
  <si>
    <t>09-Baja California Sur</t>
  </si>
  <si>
    <t>Los Cabos U3</t>
  </si>
  <si>
    <t>Chávez U1</t>
  </si>
  <si>
    <t>009-Francisco I. Madero</t>
  </si>
  <si>
    <t>COAH</t>
  </si>
  <si>
    <t>11-Laguna</t>
  </si>
  <si>
    <t>05-Norte</t>
  </si>
  <si>
    <t>Chávez U2</t>
  </si>
  <si>
    <t>Culiacán</t>
  </si>
  <si>
    <t>006-Culiacán</t>
  </si>
  <si>
    <t>SIN</t>
  </si>
  <si>
    <t>05-Culiacán</t>
  </si>
  <si>
    <t>04-Noroeste</t>
  </si>
  <si>
    <t>Dos Bocas U3</t>
  </si>
  <si>
    <t>105-Medellín de Bravo</t>
  </si>
  <si>
    <t>VER</t>
  </si>
  <si>
    <t>33-Veracruz</t>
  </si>
  <si>
    <t>02-Oriental</t>
  </si>
  <si>
    <t>Dos Bocas U4</t>
  </si>
  <si>
    <t>Dos Bocas U6</t>
  </si>
  <si>
    <t>Fundidora</t>
  </si>
  <si>
    <t>039-Monterrey</t>
  </si>
  <si>
    <t>NL</t>
  </si>
  <si>
    <t>16-Monterrey</t>
  </si>
  <si>
    <t>06-Noreste</t>
  </si>
  <si>
    <t>Guaymas II (Carlos RodrÍguez Rivero) U1</t>
  </si>
  <si>
    <t>Termoeléctrica convencional</t>
  </si>
  <si>
    <t>029-Guaymas</t>
  </si>
  <si>
    <t>SON</t>
  </si>
  <si>
    <t>03-Obregón</t>
  </si>
  <si>
    <t>Guaymas II (Carlos RodrÍguez Rivero) U2</t>
  </si>
  <si>
    <t>Huicot</t>
  </si>
  <si>
    <t>Combustión Interna</t>
  </si>
  <si>
    <t>017-Tepic</t>
  </si>
  <si>
    <t>NAY</t>
  </si>
  <si>
    <t>22-Tepic</t>
  </si>
  <si>
    <t>03-Occidental</t>
  </si>
  <si>
    <t>Industrial Caborca U1</t>
  </si>
  <si>
    <t>017-Caborca</t>
  </si>
  <si>
    <t>01-Hermosillo</t>
  </si>
  <si>
    <t>Industrial Juárez</t>
  </si>
  <si>
    <t>037-Juárez</t>
  </si>
  <si>
    <t>CHIH</t>
  </si>
  <si>
    <t>07-Juárez</t>
  </si>
  <si>
    <t>La Laguna U5</t>
  </si>
  <si>
    <t>007-Gómez Palacio</t>
  </si>
  <si>
    <t>DGO</t>
  </si>
  <si>
    <t>La Laguna U7</t>
  </si>
  <si>
    <t>La Laguna U8</t>
  </si>
  <si>
    <t>Leona U1</t>
  </si>
  <si>
    <t>Leona U2</t>
  </si>
  <si>
    <t>Lerma (Campeche) U2</t>
  </si>
  <si>
    <t>002-Campeche</t>
  </si>
  <si>
    <t>CAMP</t>
  </si>
  <si>
    <t>41-Lerma</t>
  </si>
  <si>
    <t>07-Peninsular</t>
  </si>
  <si>
    <t>Lerma (Campeche) U3</t>
  </si>
  <si>
    <t>Lerma (Campeche) U4</t>
  </si>
  <si>
    <t>Los Humeros U3</t>
  </si>
  <si>
    <t>Geotérmica</t>
  </si>
  <si>
    <t>054-Chignautla</t>
  </si>
  <si>
    <t>PUE</t>
  </si>
  <si>
    <t>34-Puebla</t>
  </si>
  <si>
    <t>Los Humeros U6</t>
  </si>
  <si>
    <t>Los Humeros U8</t>
  </si>
  <si>
    <t>Monclova U1</t>
  </si>
  <si>
    <t>018-Monclova</t>
  </si>
  <si>
    <t>12-Río Escondido</t>
  </si>
  <si>
    <t>Monclova U2</t>
  </si>
  <si>
    <t>Nonoalco U1</t>
  </si>
  <si>
    <t>015-Cuauhtémoc</t>
  </si>
  <si>
    <t>CDMX</t>
  </si>
  <si>
    <t>31-Central</t>
  </si>
  <si>
    <t>01-Central</t>
  </si>
  <si>
    <t>Nonoalco U2</t>
  </si>
  <si>
    <t>Nonoalco U3</t>
  </si>
  <si>
    <t>Parque U2</t>
  </si>
  <si>
    <t>Parque U3</t>
  </si>
  <si>
    <t>Tecnológico</t>
  </si>
  <si>
    <t>Universidad U1</t>
  </si>
  <si>
    <t>Universidad U2</t>
  </si>
  <si>
    <t>Valladolid (Felipe Carrillo Puerto) U1</t>
  </si>
  <si>
    <t>102-Valladolid</t>
  </si>
  <si>
    <t>YUC</t>
  </si>
  <si>
    <t>42-Mérida</t>
  </si>
  <si>
    <t>Valladolid (Felipe Carrillo Puerto) U2</t>
  </si>
  <si>
    <t>Valle de México U2</t>
  </si>
  <si>
    <t>002-Acolman</t>
  </si>
  <si>
    <t>MEX</t>
  </si>
  <si>
    <t>Los Azufres U2</t>
  </si>
  <si>
    <t>034-Hidalgo</t>
  </si>
  <si>
    <t>MICH</t>
  </si>
  <si>
    <t>28-Carapan</t>
  </si>
  <si>
    <t>Los Azufres U6</t>
  </si>
  <si>
    <t>Los Azufres U10</t>
  </si>
  <si>
    <t>Guaymas II (Carlos RodrÍguez Rivero) U3</t>
  </si>
  <si>
    <t>Guaymas II (Carlos RodrÍguez Rivero) U4</t>
  </si>
  <si>
    <t>Santa Rosalía U3</t>
  </si>
  <si>
    <t>002-Mulegé</t>
  </si>
  <si>
    <t>53-Mulegé</t>
  </si>
  <si>
    <t>10-Mulegé</t>
  </si>
  <si>
    <t>Santa Rosalía U4</t>
  </si>
  <si>
    <t>Tuxpan (Adolfo López Mateos) U1</t>
  </si>
  <si>
    <t>189-Tuxpan</t>
  </si>
  <si>
    <t>32-Poza Rica</t>
  </si>
  <si>
    <t>Tuxpan (Adolfo López Mateos) U2</t>
  </si>
  <si>
    <t>Tuxpan (Adolfo López Mateos) U3</t>
  </si>
  <si>
    <t>Samalayuca U1</t>
  </si>
  <si>
    <t>2019</t>
  </si>
  <si>
    <t>Samalayuca U2</t>
  </si>
  <si>
    <t>Huinalá</t>
  </si>
  <si>
    <t>041-Pesquería</t>
  </si>
  <si>
    <t>Industrial Caborca U2</t>
  </si>
  <si>
    <t>La Laguna U6</t>
  </si>
  <si>
    <t>Parque U4</t>
  </si>
  <si>
    <t>Salamanca U3</t>
  </si>
  <si>
    <t>027-Salamanca</t>
  </si>
  <si>
    <t>GTO</t>
  </si>
  <si>
    <t>26-Salamanca</t>
  </si>
  <si>
    <t>Salamanca U4</t>
  </si>
  <si>
    <t>Valle de México U1</t>
  </si>
  <si>
    <t>Valle de México U3</t>
  </si>
  <si>
    <t>Xul - Ha U1</t>
  </si>
  <si>
    <t>004-Othón P. Blanco</t>
  </si>
  <si>
    <t>QR</t>
  </si>
  <si>
    <t>44-Chetumal</t>
  </si>
  <si>
    <t>Xul - Ha U2</t>
  </si>
  <si>
    <t>Francisco Villa U4</t>
  </si>
  <si>
    <t>021-Delicias</t>
  </si>
  <si>
    <t>09-Chihuahua</t>
  </si>
  <si>
    <t>Francisco Villa U5</t>
  </si>
  <si>
    <t>Mazatlán II (José Aceves Pozos) U1</t>
  </si>
  <si>
    <t>012-Mazatlán</t>
  </si>
  <si>
    <t>06-Mazatlán</t>
  </si>
  <si>
    <t>Mexicali U1</t>
  </si>
  <si>
    <t>002-Mexicali</t>
  </si>
  <si>
    <t>48-Mexicali</t>
  </si>
  <si>
    <t>08-Baja California</t>
  </si>
  <si>
    <t>Mexicali U2</t>
  </si>
  <si>
    <t>Mexicali U3</t>
  </si>
  <si>
    <t>Río Bravo (Emilio Portes Gil)</t>
  </si>
  <si>
    <t>033-Río Bravo</t>
  </si>
  <si>
    <t>TAMS</t>
  </si>
  <si>
    <t>14-Reynosa</t>
  </si>
  <si>
    <t>Tijuana U1</t>
  </si>
  <si>
    <t>004-Tijuana</t>
  </si>
  <si>
    <t>46-Tijuana</t>
  </si>
  <si>
    <t>Tijuana U2</t>
  </si>
  <si>
    <t>Tuxpan (Adolfo López Mateos) U4</t>
  </si>
  <si>
    <t>Tuxpan (Adolfo López Mateos) U5</t>
  </si>
  <si>
    <t>Tuxpan (Adolfo López Mateos) U6</t>
  </si>
  <si>
    <t>Cerro Prieto I U5</t>
  </si>
  <si>
    <t>2020</t>
  </si>
  <si>
    <t>Lerdo (Guadalupe Victoria) U1</t>
  </si>
  <si>
    <t>012-Lerdo</t>
  </si>
  <si>
    <t>Lerdo (Guadalupe Victoria) U2</t>
  </si>
  <si>
    <t>Manzanillo (Gral. Manuel Álvarez Moreno) U9</t>
  </si>
  <si>
    <t>007-Manzanillo</t>
  </si>
  <si>
    <t>COL</t>
  </si>
  <si>
    <t>27-Manzanillo</t>
  </si>
  <si>
    <t>Manzanillo (Gral. Manuel Álvarez Moreno) U10</t>
  </si>
  <si>
    <t>Topolobampo II (Juan de Dios Bátiz) U1</t>
  </si>
  <si>
    <t>001-Ahome</t>
  </si>
  <si>
    <t>04-Los Mochis</t>
  </si>
  <si>
    <t>Topolobampo II (Juan de Dios Bátiz) U2</t>
  </si>
  <si>
    <t>Dos Bocas U1</t>
  </si>
  <si>
    <t>Dos Bocas U2</t>
  </si>
  <si>
    <t>Dos Bocas U5</t>
  </si>
  <si>
    <t>Mazatlán II (José Aceves Pozos) U2</t>
  </si>
  <si>
    <t>Altamira U3</t>
  </si>
  <si>
    <t>003-Altamira</t>
  </si>
  <si>
    <t>19-Huasteca</t>
  </si>
  <si>
    <t>Altamira U4</t>
  </si>
  <si>
    <t>Puerto Libertad U1</t>
  </si>
  <si>
    <t>047-Pitiquito</t>
  </si>
  <si>
    <t>Puerto Libertad U2</t>
  </si>
  <si>
    <t>Puerto Libertad U3</t>
  </si>
  <si>
    <t>Puerto Libertad U4</t>
  </si>
  <si>
    <t>Cancún U3</t>
  </si>
  <si>
    <t>005-Benito Juárez</t>
  </si>
  <si>
    <t>43-Cancún</t>
  </si>
  <si>
    <t>2021</t>
  </si>
  <si>
    <t>Cancún U5</t>
  </si>
  <si>
    <t>Chankanaab U4</t>
  </si>
  <si>
    <t>001-Cozumel</t>
  </si>
  <si>
    <t>45-Cozumel</t>
  </si>
  <si>
    <t>Ciprés</t>
  </si>
  <si>
    <t>001-Ensenada</t>
  </si>
  <si>
    <t>47-Ensenada</t>
  </si>
  <si>
    <t>Gómez Palacio U1</t>
  </si>
  <si>
    <t>Gómez Palacio U2</t>
  </si>
  <si>
    <t>Gómez Palacio U3</t>
  </si>
  <si>
    <t>Mérida II</t>
  </si>
  <si>
    <t>050-Mérida</t>
  </si>
  <si>
    <t>Nachi - Cocom</t>
  </si>
  <si>
    <t>Nizuc U1</t>
  </si>
  <si>
    <t>Nizuc U2</t>
  </si>
  <si>
    <t>Presidente Juárez (Rosarito) U5</t>
  </si>
  <si>
    <t>005-Playas de Rosarito</t>
  </si>
  <si>
    <t>Presidente Juárez (Rosarito) U6</t>
  </si>
  <si>
    <t>Cancún U1</t>
  </si>
  <si>
    <t>Cancún U2</t>
  </si>
  <si>
    <t>Chankanaab U1</t>
  </si>
  <si>
    <t>Chankanaab U2</t>
  </si>
  <si>
    <t>Valladolid (Felipe Carrillo Puerto)</t>
  </si>
  <si>
    <t>Ciudad Constitución</t>
  </si>
  <si>
    <t>001-Comondú</t>
  </si>
  <si>
    <t>50-Villa Constitución</t>
  </si>
  <si>
    <t>2022</t>
  </si>
  <si>
    <t>Ciudad del Carmen U1</t>
  </si>
  <si>
    <t>003-Carmen</t>
  </si>
  <si>
    <t>Ciudad del Carmen U2</t>
  </si>
  <si>
    <t>Ciudad del Carmen U3</t>
  </si>
  <si>
    <t>Los Cabos U2</t>
  </si>
  <si>
    <t>CCC Poza Rica</t>
  </si>
  <si>
    <t>175-Tihuatlán</t>
  </si>
  <si>
    <t>Mérida II U1</t>
  </si>
  <si>
    <t>Mérida II U2</t>
  </si>
  <si>
    <t>San Carlos (Agustín Olachea A.) U1</t>
  </si>
  <si>
    <t>Villa de Reyes U1</t>
  </si>
  <si>
    <t>050-Villa de Reyes</t>
  </si>
  <si>
    <t>SLP</t>
  </si>
  <si>
    <t>25-San Luis Potosí</t>
  </si>
  <si>
    <t>Villa de Reyes U2</t>
  </si>
  <si>
    <t>Punta Prieta II U1</t>
  </si>
  <si>
    <t>003-La Paz</t>
  </si>
  <si>
    <t>51-La Paz</t>
  </si>
  <si>
    <t>2023</t>
  </si>
  <si>
    <t>Punta Prieta II U2</t>
  </si>
  <si>
    <t>Punta Prieta II U3</t>
  </si>
  <si>
    <t>Tijuana U3</t>
  </si>
  <si>
    <t>Mazatlán II (José Aceves Pozos) U3</t>
  </si>
  <si>
    <t>La Paz U1</t>
  </si>
  <si>
    <t>La Paz U2</t>
  </si>
  <si>
    <t>Tula (Francisco Pérez Ríos) U3</t>
  </si>
  <si>
    <t>076-Tula de Allende</t>
  </si>
  <si>
    <t>HGO</t>
  </si>
  <si>
    <t>Tula (Francisco Pérez Ríos) U4</t>
  </si>
  <si>
    <t>Tula (Francisco Pérez Ríos) U5</t>
  </si>
  <si>
    <t>2024</t>
  </si>
  <si>
    <t>San Carlos (Agustín Olachea A.) U2</t>
  </si>
  <si>
    <t>Tula (Francisco Pérez Ríos) U1</t>
  </si>
  <si>
    <t>Tula (Francisco Pérez Ríos) U2</t>
  </si>
  <si>
    <t>CT Altamira Unidades 1 y 2 (RM)</t>
  </si>
  <si>
    <t>2027</t>
  </si>
  <si>
    <t>Carbón II U1</t>
  </si>
  <si>
    <t>Carboeléctrica</t>
  </si>
  <si>
    <t>022-Nava</t>
  </si>
  <si>
    <t>2028</t>
  </si>
  <si>
    <t>Carbón II U2</t>
  </si>
  <si>
    <t>Samalayuca II U3-U8</t>
  </si>
  <si>
    <t>Carbón II U3</t>
  </si>
  <si>
    <t>2029</t>
  </si>
  <si>
    <t>Carbón II U4</t>
  </si>
  <si>
    <r>
      <t>Total</t>
    </r>
    <r>
      <rPr>
        <b/>
        <vertAlign val="superscript"/>
        <sz val="8"/>
        <color rgb="FF000000"/>
        <rFont val="Soberana Sans Light"/>
        <family val="3"/>
      </rPr>
      <t>2/</t>
    </r>
  </si>
  <si>
    <r>
      <t xml:space="preserve">Nota: El programa indicativo para el retiro de centrales eléctricas 2017 - 2031 sólo contempla las centrales que pertenecen a la CFE. </t>
    </r>
    <r>
      <rPr>
        <vertAlign val="superscript"/>
        <sz val="7"/>
        <color theme="1"/>
        <rFont val="Soberana Sans"/>
        <family val="3"/>
      </rPr>
      <t>1/</t>
    </r>
    <r>
      <rPr>
        <sz val="7"/>
        <color theme="1"/>
        <rFont val="Soberana Sans"/>
        <family val="3"/>
      </rPr>
      <t xml:space="preserve"> La fecha de retiro puede variar de acuerdo a las condiciones del SEN. </t>
    </r>
    <r>
      <rPr>
        <vertAlign val="superscript"/>
        <sz val="7"/>
        <color theme="1"/>
        <rFont val="Soberana Sans"/>
        <family val="3"/>
      </rPr>
      <t>2/</t>
    </r>
    <r>
      <rPr>
        <sz val="7"/>
        <color theme="1"/>
        <rFont val="Soberana Sans"/>
        <family val="3"/>
      </rPr>
      <t xml:space="preserve"> El Total puede no coincidir por redondeo.</t>
    </r>
  </si>
  <si>
    <t>Fuente: Elaborado por la SENER con información del CENACE.</t>
  </si>
  <si>
    <t>Carboeléctrica (conventional steam coal)</t>
  </si>
  <si>
    <t>Translation</t>
  </si>
  <si>
    <t>N/A</t>
  </si>
  <si>
    <t>Ciclo Combinado</t>
  </si>
  <si>
    <t>Termoeléctrica Convencional</t>
  </si>
  <si>
    <t>petroleum(1)</t>
  </si>
  <si>
    <t>petroleum(2)</t>
  </si>
  <si>
    <t>Estimating Years 2030-2050</t>
  </si>
  <si>
    <t>Hard Coal</t>
  </si>
  <si>
    <t>Across the years 2030-2050, we retire the same total quantity as retired up through 2029.</t>
  </si>
  <si>
    <t>We estimate retirements in these years according to the assumptions on the 2030-2050 Assumptions tab.</t>
  </si>
  <si>
    <t>Natural Gas Nonpeaker</t>
  </si>
  <si>
    <t>All other sources</t>
  </si>
  <si>
    <t>We assume no BAU retirements after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</si>
</sst>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_-* #,##0_-;\-* #,##0_-;_-* &quot;-&quot;??_-;_-@_-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oberana Sans"/>
      <family val="3"/>
    </font>
    <font>
      <b/>
      <sz val="8"/>
      <color rgb="FF000000"/>
      <name val="Soberana Sans Light"/>
      <family val="3"/>
    </font>
    <font>
      <b/>
      <vertAlign val="superscript"/>
      <sz val="8"/>
      <color rgb="FF000000"/>
      <name val="Soberana Sans Light"/>
      <family val="3"/>
    </font>
    <font>
      <sz val="8"/>
      <color rgb="FF000000"/>
      <name val="Soberana Sans Light"/>
      <family val="3"/>
    </font>
    <font>
      <sz val="7"/>
      <color theme="1"/>
      <name val="Soberana Sans"/>
      <family val="3"/>
    </font>
    <font>
      <vertAlign val="superscript"/>
      <sz val="7"/>
      <color theme="1"/>
      <name val="Soberana Sans"/>
      <family val="3"/>
    </font>
  </fonts>
  <fills count="7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7">
    <xf numFmtId="0" fontId="0" fillId="0" borderId="0"/>
    <xf numFmtId="43" fontId="5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11" fillId="0" borderId="2" applyNumberFormat="0" applyProtection="0">
      <alignment wrapText="1"/>
    </xf>
    <xf numFmtId="0" fontId="11" fillId="0" borderId="4" applyNumberFormat="0" applyProtection="0">
      <alignment wrapText="1"/>
    </xf>
    <xf numFmtId="0" fontId="8" fillId="0" borderId="6" applyNumberFormat="0" applyFont="0" applyProtection="0">
      <alignment wrapText="1"/>
    </xf>
    <xf numFmtId="0" fontId="8" fillId="0" borderId="8" applyNumberFormat="0" applyProtection="0">
      <alignment vertical="top" wrapText="1"/>
    </xf>
    <xf numFmtId="0" fontId="12" fillId="0" borderId="0" applyNumberFormat="0" applyFill="0" applyBorder="0" applyAlignment="0" applyProtection="0"/>
    <xf numFmtId="0" fontId="9" fillId="0" borderId="0"/>
    <xf numFmtId="0" fontId="9" fillId="0" borderId="9" applyNumberFormat="0" applyProtection="0">
      <alignment wrapText="1"/>
    </xf>
    <xf numFmtId="0" fontId="10" fillId="0" borderId="5" applyNumberFormat="0" applyProtection="0">
      <alignment wrapText="1"/>
    </xf>
    <xf numFmtId="0" fontId="9" fillId="0" borderId="7" applyNumberFormat="0" applyFont="0" applyProtection="0">
      <alignment wrapText="1"/>
    </xf>
    <xf numFmtId="0" fontId="10" fillId="0" borderId="3" applyNumberFormat="0" applyProtection="0">
      <alignment wrapText="1"/>
    </xf>
    <xf numFmtId="0" fontId="9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164" fontId="13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NumberFormat="1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left"/>
    </xf>
    <xf numFmtId="0" fontId="0" fillId="0" borderId="1" xfId="0" applyBorder="1"/>
    <xf numFmtId="0" fontId="4" fillId="0" borderId="1" xfId="0" applyNumberFormat="1" applyFont="1" applyFill="1" applyBorder="1" applyAlignment="1" applyProtection="1">
      <alignment horizontal="left"/>
    </xf>
    <xf numFmtId="1" fontId="0" fillId="0" borderId="0" xfId="0" applyNumberFormat="1"/>
    <xf numFmtId="0" fontId="1" fillId="0" borderId="0" xfId="0" applyFont="1"/>
    <xf numFmtId="0" fontId="12" fillId="0" borderId="0" xfId="8"/>
    <xf numFmtId="0" fontId="1" fillId="3" borderId="0" xfId="0" applyFont="1" applyFill="1"/>
    <xf numFmtId="1" fontId="1" fillId="0" borderId="0" xfId="0" applyNumberFormat="1" applyFont="1"/>
    <xf numFmtId="166" fontId="0" fillId="0" borderId="0" xfId="0" applyNumberFormat="1"/>
    <xf numFmtId="0" fontId="0" fillId="4" borderId="0" xfId="0" applyFill="1"/>
    <xf numFmtId="0" fontId="14" fillId="4" borderId="0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left" vertical="center" wrapText="1"/>
    </xf>
    <xf numFmtId="165" fontId="17" fillId="6" borderId="10" xfId="0" applyNumberFormat="1" applyFont="1" applyFill="1" applyBorder="1" applyAlignment="1">
      <alignment horizontal="right" vertical="center" wrapText="1"/>
    </xf>
    <xf numFmtId="167" fontId="15" fillId="5" borderId="10" xfId="16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left" vertical="center"/>
    </xf>
    <xf numFmtId="0" fontId="15" fillId="5" borderId="11" xfId="0" applyFont="1" applyFill="1" applyBorder="1" applyAlignment="1">
      <alignment horizontal="right" vertical="center" wrapText="1" indent="1"/>
    </xf>
    <xf numFmtId="0" fontId="15" fillId="5" borderId="12" xfId="0" applyFont="1" applyFill="1" applyBorder="1" applyAlignment="1">
      <alignment horizontal="right" vertical="center" wrapText="1" indent="1"/>
    </xf>
    <xf numFmtId="0" fontId="15" fillId="5" borderId="13" xfId="0" applyFont="1" applyFill="1" applyBorder="1" applyAlignment="1">
      <alignment horizontal="right" vertical="center" wrapText="1" indent="1"/>
    </xf>
    <xf numFmtId="0" fontId="18" fillId="4" borderId="0" xfId="0" applyFont="1" applyFill="1" applyBorder="1" applyAlignment="1">
      <alignment horizontal="left" vertical="center" wrapText="1"/>
    </xf>
    <xf numFmtId="0" fontId="18" fillId="4" borderId="0" xfId="0" applyFont="1" applyFill="1" applyBorder="1" applyAlignment="1">
      <alignment horizontal="left" vertical="center"/>
    </xf>
  </cellXfs>
  <cellStyles count="17">
    <cellStyle name="Body: normal cell" xfId="6"/>
    <cellStyle name="Body: normal cell 2" xfId="12"/>
    <cellStyle name="Comma" xfId="16" builtinId="3"/>
    <cellStyle name="Comma 2" xfId="1"/>
    <cellStyle name="Font: Calibri, 9pt regular" xfId="3"/>
    <cellStyle name="Font: Calibri, 9pt regular 2" xfId="14"/>
    <cellStyle name="Footnotes: top row" xfId="7"/>
    <cellStyle name="Footnotes: top row 2" xfId="10"/>
    <cellStyle name="Header: bottom row" xfId="4"/>
    <cellStyle name="Header: bottom row 2" xfId="13"/>
    <cellStyle name="Hyperlink" xfId="8" builtinId="8"/>
    <cellStyle name="Normal" xfId="0" builtinId="0"/>
    <cellStyle name="Normal 2" xfId="9"/>
    <cellStyle name="Parent row" xfId="5"/>
    <cellStyle name="Parent row 2" xfId="11"/>
    <cellStyle name="Table title" xfId="2"/>
    <cellStyle name="Table title 2" xfId="1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/>
  </sheetViews>
  <sheetFormatPr defaultColWidth="9.1796875" defaultRowHeight="14.5"/>
  <cols>
    <col min="1" max="1" width="20.1796875" customWidth="1"/>
    <col min="2" max="2" width="61" customWidth="1"/>
  </cols>
  <sheetData>
    <row r="1" spans="1:2">
      <c r="A1" s="6" t="s">
        <v>33</v>
      </c>
    </row>
    <row r="3" spans="1:2">
      <c r="A3" s="6" t="s">
        <v>32</v>
      </c>
      <c r="B3" s="8" t="s">
        <v>45</v>
      </c>
    </row>
    <row r="4" spans="1:2">
      <c r="B4" t="s">
        <v>44</v>
      </c>
    </row>
    <row r="5" spans="1:2">
      <c r="B5" s="7" t="s">
        <v>47</v>
      </c>
    </row>
    <row r="6" spans="1:2">
      <c r="B6" t="s">
        <v>46</v>
      </c>
    </row>
    <row r="8" spans="1:2">
      <c r="B8" s="8" t="s">
        <v>48</v>
      </c>
    </row>
    <row r="9" spans="1:2">
      <c r="B9" t="s">
        <v>44</v>
      </c>
    </row>
    <row r="10" spans="1:2">
      <c r="B10" s="7" t="s">
        <v>50</v>
      </c>
    </row>
    <row r="11" spans="1:2">
      <c r="B11" t="s">
        <v>49</v>
      </c>
    </row>
    <row r="13" spans="1:2">
      <c r="A13" s="6" t="s">
        <v>31</v>
      </c>
    </row>
    <row r="14" spans="1:2">
      <c r="A14" t="s">
        <v>51</v>
      </c>
    </row>
    <row r="16" spans="1:2">
      <c r="A16" s="6" t="s">
        <v>37</v>
      </c>
    </row>
    <row r="17" spans="1:2">
      <c r="A17" t="s">
        <v>38</v>
      </c>
      <c r="B17" t="s">
        <v>53</v>
      </c>
    </row>
    <row r="18" spans="1:2">
      <c r="A18" t="s">
        <v>39</v>
      </c>
      <c r="B18" t="s">
        <v>54</v>
      </c>
    </row>
    <row r="19" spans="1:2">
      <c r="A19" t="s">
        <v>35</v>
      </c>
      <c r="B19" t="s">
        <v>55</v>
      </c>
    </row>
    <row r="20" spans="1:2">
      <c r="A20" t="s">
        <v>42</v>
      </c>
      <c r="B20" t="s">
        <v>328</v>
      </c>
    </row>
    <row r="22" spans="1:2">
      <c r="A22" s="6" t="s">
        <v>335</v>
      </c>
    </row>
    <row r="23" spans="1:2">
      <c r="A23" t="s">
        <v>338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4"/>
  <sheetViews>
    <sheetView workbookViewId="0">
      <selection activeCell="B2" sqref="B2:J2"/>
    </sheetView>
  </sheetViews>
  <sheetFormatPr defaultColWidth="11.453125" defaultRowHeight="14.5"/>
  <cols>
    <col min="1" max="1" width="11.453125" style="11"/>
    <col min="2" max="2" width="4.7265625" style="11" bestFit="1" customWidth="1"/>
    <col min="3" max="3" width="34.453125" style="11" customWidth="1"/>
    <col min="4" max="4" width="22.26953125" style="11" customWidth="1"/>
    <col min="5" max="5" width="18.81640625" style="11" bestFit="1" customWidth="1"/>
    <col min="6" max="6" width="16.7265625" style="11" customWidth="1"/>
    <col min="7" max="7" width="16.81640625" style="11" bestFit="1" customWidth="1"/>
    <col min="8" max="8" width="17.1796875" style="11" bestFit="1" customWidth="1"/>
    <col min="9" max="9" width="12.54296875" style="11" bestFit="1" customWidth="1"/>
    <col min="10" max="10" width="14.453125" style="11" bestFit="1" customWidth="1"/>
    <col min="11" max="35" width="11.453125" style="11"/>
    <col min="36" max="36" width="26.81640625" style="11" bestFit="1" customWidth="1"/>
    <col min="37" max="16384" width="11.453125" style="11"/>
  </cols>
  <sheetData>
    <row r="2" spans="2:10">
      <c r="B2" s="18" t="s">
        <v>56</v>
      </c>
      <c r="C2" s="18"/>
      <c r="D2" s="18"/>
      <c r="E2" s="18"/>
      <c r="F2" s="18"/>
      <c r="G2" s="18"/>
      <c r="H2" s="18"/>
      <c r="I2" s="18"/>
      <c r="J2" s="18"/>
    </row>
    <row r="3" spans="2:10" ht="15" thickBot="1">
      <c r="B3" s="12"/>
      <c r="C3" s="12"/>
      <c r="D3" s="12"/>
      <c r="E3" s="12"/>
      <c r="F3" s="12"/>
      <c r="G3" s="12"/>
      <c r="H3" s="12"/>
      <c r="I3" s="12"/>
      <c r="J3" s="12"/>
    </row>
    <row r="4" spans="2:10" ht="25.5" thickBot="1">
      <c r="B4" s="13" t="s">
        <v>57</v>
      </c>
      <c r="C4" s="13" t="s">
        <v>58</v>
      </c>
      <c r="D4" s="13" t="s">
        <v>59</v>
      </c>
      <c r="E4" s="13" t="s">
        <v>60</v>
      </c>
      <c r="F4" s="13" t="s">
        <v>61</v>
      </c>
      <c r="G4" s="13" t="s">
        <v>62</v>
      </c>
      <c r="H4" s="13" t="s">
        <v>63</v>
      </c>
      <c r="I4" s="13" t="s">
        <v>64</v>
      </c>
      <c r="J4" s="13" t="s">
        <v>65</v>
      </c>
    </row>
    <row r="5" spans="2:10" ht="18" customHeight="1" thickBot="1">
      <c r="B5" s="14">
        <v>1</v>
      </c>
      <c r="C5" s="15" t="s">
        <v>66</v>
      </c>
      <c r="D5" s="15" t="s">
        <v>67</v>
      </c>
      <c r="E5" s="15" t="s">
        <v>68</v>
      </c>
      <c r="F5" s="14" t="s">
        <v>69</v>
      </c>
      <c r="G5" s="15" t="s">
        <v>70</v>
      </c>
      <c r="H5" s="15" t="s">
        <v>71</v>
      </c>
      <c r="I5" s="14">
        <v>2017</v>
      </c>
      <c r="J5" s="16">
        <v>30</v>
      </c>
    </row>
    <row r="6" spans="2:10" ht="18" customHeight="1" thickBot="1">
      <c r="B6" s="14">
        <v>2</v>
      </c>
      <c r="C6" s="15" t="s">
        <v>72</v>
      </c>
      <c r="D6" s="15" t="s">
        <v>67</v>
      </c>
      <c r="E6" s="15" t="s">
        <v>68</v>
      </c>
      <c r="F6" s="14" t="s">
        <v>69</v>
      </c>
      <c r="G6" s="15" t="s">
        <v>70</v>
      </c>
      <c r="H6" s="15" t="s">
        <v>71</v>
      </c>
      <c r="I6" s="14">
        <v>2017</v>
      </c>
      <c r="J6" s="16">
        <v>27.3</v>
      </c>
    </row>
    <row r="7" spans="2:10" ht="18" customHeight="1" thickBot="1">
      <c r="B7" s="14">
        <v>3</v>
      </c>
      <c r="C7" s="15" t="s">
        <v>73</v>
      </c>
      <c r="D7" s="15" t="s">
        <v>67</v>
      </c>
      <c r="E7" s="15" t="s">
        <v>74</v>
      </c>
      <c r="F7" s="14" t="s">
        <v>75</v>
      </c>
      <c r="G7" s="15" t="s">
        <v>76</v>
      </c>
      <c r="H7" s="15" t="s">
        <v>77</v>
      </c>
      <c r="I7" s="14">
        <v>2017</v>
      </c>
      <c r="J7" s="16">
        <v>14</v>
      </c>
    </row>
    <row r="8" spans="2:10" ht="18" customHeight="1" thickBot="1">
      <c r="B8" s="14">
        <v>4</v>
      </c>
      <c r="C8" s="15" t="s">
        <v>78</v>
      </c>
      <c r="D8" s="15" t="s">
        <v>67</v>
      </c>
      <c r="E8" s="15" t="s">
        <v>74</v>
      </c>
      <c r="F8" s="14" t="s">
        <v>75</v>
      </c>
      <c r="G8" s="15" t="s">
        <v>76</v>
      </c>
      <c r="H8" s="15" t="s">
        <v>77</v>
      </c>
      <c r="I8" s="14">
        <v>2017</v>
      </c>
      <c r="J8" s="16">
        <v>14</v>
      </c>
    </row>
    <row r="9" spans="2:10" ht="18" customHeight="1" thickBot="1">
      <c r="B9" s="14">
        <v>5</v>
      </c>
      <c r="C9" s="15" t="s">
        <v>79</v>
      </c>
      <c r="D9" s="15" t="s">
        <v>67</v>
      </c>
      <c r="E9" s="15" t="s">
        <v>80</v>
      </c>
      <c r="F9" s="14" t="s">
        <v>81</v>
      </c>
      <c r="G9" s="15" t="s">
        <v>82</v>
      </c>
      <c r="H9" s="15" t="s">
        <v>83</v>
      </c>
      <c r="I9" s="14">
        <v>2017</v>
      </c>
      <c r="J9" s="16">
        <v>30</v>
      </c>
    </row>
    <row r="10" spans="2:10" ht="18" customHeight="1" thickBot="1">
      <c r="B10" s="14">
        <v>6</v>
      </c>
      <c r="C10" s="15" t="s">
        <v>84</v>
      </c>
      <c r="D10" s="15" t="s">
        <v>52</v>
      </c>
      <c r="E10" s="15" t="s">
        <v>85</v>
      </c>
      <c r="F10" s="14" t="s">
        <v>86</v>
      </c>
      <c r="G10" s="15" t="s">
        <v>87</v>
      </c>
      <c r="H10" s="15" t="s">
        <v>88</v>
      </c>
      <c r="I10" s="14">
        <v>2017</v>
      </c>
      <c r="J10" s="16">
        <v>63</v>
      </c>
    </row>
    <row r="11" spans="2:10" ht="18" customHeight="1" thickBot="1">
      <c r="B11" s="14">
        <v>7</v>
      </c>
      <c r="C11" s="15" t="s">
        <v>89</v>
      </c>
      <c r="D11" s="15" t="s">
        <v>52</v>
      </c>
      <c r="E11" s="15" t="s">
        <v>85</v>
      </c>
      <c r="F11" s="14" t="s">
        <v>86</v>
      </c>
      <c r="G11" s="15" t="s">
        <v>87</v>
      </c>
      <c r="H11" s="15" t="s">
        <v>88</v>
      </c>
      <c r="I11" s="14">
        <v>2017</v>
      </c>
      <c r="J11" s="16">
        <v>63</v>
      </c>
    </row>
    <row r="12" spans="2:10" ht="18" customHeight="1" thickBot="1">
      <c r="B12" s="14">
        <v>8</v>
      </c>
      <c r="C12" s="15" t="s">
        <v>90</v>
      </c>
      <c r="D12" s="15" t="s">
        <v>52</v>
      </c>
      <c r="E12" s="15" t="s">
        <v>85</v>
      </c>
      <c r="F12" s="14" t="s">
        <v>86</v>
      </c>
      <c r="G12" s="15" t="s">
        <v>87</v>
      </c>
      <c r="H12" s="15" t="s">
        <v>88</v>
      </c>
      <c r="I12" s="14">
        <v>2017</v>
      </c>
      <c r="J12" s="16">
        <v>100</v>
      </c>
    </row>
    <row r="13" spans="2:10" ht="18" customHeight="1" thickBot="1">
      <c r="B13" s="14">
        <v>9</v>
      </c>
      <c r="C13" s="15" t="s">
        <v>91</v>
      </c>
      <c r="D13" s="15" t="s">
        <v>67</v>
      </c>
      <c r="E13" s="15" t="s">
        <v>92</v>
      </c>
      <c r="F13" s="14" t="s">
        <v>93</v>
      </c>
      <c r="G13" s="15" t="s">
        <v>94</v>
      </c>
      <c r="H13" s="15" t="s">
        <v>95</v>
      </c>
      <c r="I13" s="14">
        <v>2017</v>
      </c>
      <c r="J13" s="16">
        <v>12</v>
      </c>
    </row>
    <row r="14" spans="2:10" ht="18" customHeight="1" thickBot="1">
      <c r="B14" s="14">
        <v>10</v>
      </c>
      <c r="C14" s="15" t="s">
        <v>96</v>
      </c>
      <c r="D14" s="15" t="s">
        <v>97</v>
      </c>
      <c r="E14" s="15" t="s">
        <v>98</v>
      </c>
      <c r="F14" s="14" t="s">
        <v>99</v>
      </c>
      <c r="G14" s="15" t="s">
        <v>100</v>
      </c>
      <c r="H14" s="15" t="s">
        <v>83</v>
      </c>
      <c r="I14" s="14">
        <v>2017</v>
      </c>
      <c r="J14" s="16">
        <v>84</v>
      </c>
    </row>
    <row r="15" spans="2:10" ht="18" customHeight="1" thickBot="1">
      <c r="B15" s="14">
        <v>11</v>
      </c>
      <c r="C15" s="15" t="s">
        <v>101</v>
      </c>
      <c r="D15" s="15" t="s">
        <v>97</v>
      </c>
      <c r="E15" s="15" t="s">
        <v>98</v>
      </c>
      <c r="F15" s="14" t="s">
        <v>99</v>
      </c>
      <c r="G15" s="15" t="s">
        <v>100</v>
      </c>
      <c r="H15" s="15" t="s">
        <v>83</v>
      </c>
      <c r="I15" s="14">
        <v>2017</v>
      </c>
      <c r="J15" s="16">
        <v>84</v>
      </c>
    </row>
    <row r="16" spans="2:10" ht="18" customHeight="1" thickBot="1">
      <c r="B16" s="14">
        <v>12</v>
      </c>
      <c r="C16" s="15" t="s">
        <v>102</v>
      </c>
      <c r="D16" s="15" t="s">
        <v>103</v>
      </c>
      <c r="E16" s="15" t="s">
        <v>104</v>
      </c>
      <c r="F16" s="14" t="s">
        <v>105</v>
      </c>
      <c r="G16" s="15" t="s">
        <v>106</v>
      </c>
      <c r="H16" s="15" t="s">
        <v>107</v>
      </c>
      <c r="I16" s="14">
        <v>2017</v>
      </c>
      <c r="J16" s="16">
        <v>1.18</v>
      </c>
    </row>
    <row r="17" spans="2:10" ht="18" customHeight="1" thickBot="1">
      <c r="B17" s="14">
        <v>13</v>
      </c>
      <c r="C17" s="15" t="s">
        <v>108</v>
      </c>
      <c r="D17" s="15" t="s">
        <v>67</v>
      </c>
      <c r="E17" s="15" t="s">
        <v>109</v>
      </c>
      <c r="F17" s="14" t="s">
        <v>99</v>
      </c>
      <c r="G17" s="15" t="s">
        <v>110</v>
      </c>
      <c r="H17" s="15" t="s">
        <v>83</v>
      </c>
      <c r="I17" s="14">
        <v>2017</v>
      </c>
      <c r="J17" s="16">
        <v>12</v>
      </c>
    </row>
    <row r="18" spans="2:10" ht="18" customHeight="1" thickBot="1">
      <c r="B18" s="14">
        <v>14</v>
      </c>
      <c r="C18" s="15" t="s">
        <v>111</v>
      </c>
      <c r="D18" s="15" t="s">
        <v>67</v>
      </c>
      <c r="E18" s="15" t="s">
        <v>112</v>
      </c>
      <c r="F18" s="14" t="s">
        <v>113</v>
      </c>
      <c r="G18" s="15" t="s">
        <v>114</v>
      </c>
      <c r="H18" s="15" t="s">
        <v>77</v>
      </c>
      <c r="I18" s="14">
        <v>2017</v>
      </c>
      <c r="J18" s="16">
        <v>18</v>
      </c>
    </row>
    <row r="19" spans="2:10" ht="18" customHeight="1" thickBot="1">
      <c r="B19" s="14">
        <v>15</v>
      </c>
      <c r="C19" s="15" t="s">
        <v>115</v>
      </c>
      <c r="D19" s="15" t="s">
        <v>67</v>
      </c>
      <c r="E19" s="15" t="s">
        <v>116</v>
      </c>
      <c r="F19" s="14" t="s">
        <v>117</v>
      </c>
      <c r="G19" s="15" t="s">
        <v>76</v>
      </c>
      <c r="H19" s="15" t="s">
        <v>77</v>
      </c>
      <c r="I19" s="14">
        <v>2017</v>
      </c>
      <c r="J19" s="16">
        <v>14</v>
      </c>
    </row>
    <row r="20" spans="2:10" ht="18" customHeight="1" thickBot="1">
      <c r="B20" s="14">
        <v>16</v>
      </c>
      <c r="C20" s="15" t="s">
        <v>118</v>
      </c>
      <c r="D20" s="15" t="s">
        <v>67</v>
      </c>
      <c r="E20" s="15" t="s">
        <v>116</v>
      </c>
      <c r="F20" s="14" t="s">
        <v>117</v>
      </c>
      <c r="G20" s="15" t="s">
        <v>76</v>
      </c>
      <c r="H20" s="15" t="s">
        <v>77</v>
      </c>
      <c r="I20" s="14">
        <v>2017</v>
      </c>
      <c r="J20" s="16">
        <v>14</v>
      </c>
    </row>
    <row r="21" spans="2:10" ht="18" customHeight="1" thickBot="1">
      <c r="B21" s="14">
        <v>17</v>
      </c>
      <c r="C21" s="15" t="s">
        <v>119</v>
      </c>
      <c r="D21" s="15" t="s">
        <v>67</v>
      </c>
      <c r="E21" s="15" t="s">
        <v>116</v>
      </c>
      <c r="F21" s="14" t="s">
        <v>117</v>
      </c>
      <c r="G21" s="15" t="s">
        <v>76</v>
      </c>
      <c r="H21" s="15" t="s">
        <v>77</v>
      </c>
      <c r="I21" s="14">
        <v>2017</v>
      </c>
      <c r="J21" s="16">
        <v>14</v>
      </c>
    </row>
    <row r="22" spans="2:10" ht="18" customHeight="1" thickBot="1">
      <c r="B22" s="14">
        <v>18</v>
      </c>
      <c r="C22" s="15" t="s">
        <v>120</v>
      </c>
      <c r="D22" s="15" t="s">
        <v>67</v>
      </c>
      <c r="E22" s="15" t="s">
        <v>92</v>
      </c>
      <c r="F22" s="14" t="s">
        <v>93</v>
      </c>
      <c r="G22" s="15" t="s">
        <v>94</v>
      </c>
      <c r="H22" s="15" t="s">
        <v>95</v>
      </c>
      <c r="I22" s="14">
        <v>2017</v>
      </c>
      <c r="J22" s="16">
        <v>12</v>
      </c>
    </row>
    <row r="23" spans="2:10" ht="18" customHeight="1" thickBot="1">
      <c r="B23" s="14">
        <v>19</v>
      </c>
      <c r="C23" s="15" t="s">
        <v>121</v>
      </c>
      <c r="D23" s="15" t="s">
        <v>67</v>
      </c>
      <c r="E23" s="15" t="s">
        <v>92</v>
      </c>
      <c r="F23" s="14" t="s">
        <v>93</v>
      </c>
      <c r="G23" s="15" t="s">
        <v>94</v>
      </c>
      <c r="H23" s="15" t="s">
        <v>95</v>
      </c>
      <c r="I23" s="14">
        <v>2017</v>
      </c>
      <c r="J23" s="16">
        <v>12</v>
      </c>
    </row>
    <row r="24" spans="2:10" ht="18" customHeight="1" thickBot="1">
      <c r="B24" s="14">
        <v>20</v>
      </c>
      <c r="C24" s="15" t="s">
        <v>122</v>
      </c>
      <c r="D24" s="15" t="s">
        <v>97</v>
      </c>
      <c r="E24" s="15" t="s">
        <v>123</v>
      </c>
      <c r="F24" s="14" t="s">
        <v>124</v>
      </c>
      <c r="G24" s="15" t="s">
        <v>125</v>
      </c>
      <c r="H24" s="15" t="s">
        <v>126</v>
      </c>
      <c r="I24" s="14">
        <v>2017</v>
      </c>
      <c r="J24" s="16">
        <v>37.5</v>
      </c>
    </row>
    <row r="25" spans="2:10" ht="18" customHeight="1" thickBot="1">
      <c r="B25" s="14">
        <v>21</v>
      </c>
      <c r="C25" s="15" t="s">
        <v>127</v>
      </c>
      <c r="D25" s="15" t="s">
        <v>97</v>
      </c>
      <c r="E25" s="15" t="s">
        <v>123</v>
      </c>
      <c r="F25" s="14" t="s">
        <v>124</v>
      </c>
      <c r="G25" s="15" t="s">
        <v>125</v>
      </c>
      <c r="H25" s="15" t="s">
        <v>126</v>
      </c>
      <c r="I25" s="14">
        <v>2017</v>
      </c>
      <c r="J25" s="16">
        <v>37.5</v>
      </c>
    </row>
    <row r="26" spans="2:10" ht="18" customHeight="1" thickBot="1">
      <c r="B26" s="14">
        <v>22</v>
      </c>
      <c r="C26" s="15" t="s">
        <v>128</v>
      </c>
      <c r="D26" s="15" t="s">
        <v>97</v>
      </c>
      <c r="E26" s="15" t="s">
        <v>123</v>
      </c>
      <c r="F26" s="14" t="s">
        <v>124</v>
      </c>
      <c r="G26" s="15" t="s">
        <v>125</v>
      </c>
      <c r="H26" s="15" t="s">
        <v>126</v>
      </c>
      <c r="I26" s="14">
        <v>2017</v>
      </c>
      <c r="J26" s="16">
        <v>37.5</v>
      </c>
    </row>
    <row r="27" spans="2:10" ht="18" customHeight="1" thickBot="1">
      <c r="B27" s="14">
        <v>23</v>
      </c>
      <c r="C27" s="15" t="s">
        <v>129</v>
      </c>
      <c r="D27" s="15" t="s">
        <v>130</v>
      </c>
      <c r="E27" s="15" t="s">
        <v>131</v>
      </c>
      <c r="F27" s="14" t="s">
        <v>132</v>
      </c>
      <c r="G27" s="15" t="s">
        <v>133</v>
      </c>
      <c r="H27" s="15" t="s">
        <v>88</v>
      </c>
      <c r="I27" s="14">
        <v>2017</v>
      </c>
      <c r="J27" s="16">
        <v>5</v>
      </c>
    </row>
    <row r="28" spans="2:10" ht="18" customHeight="1" thickBot="1">
      <c r="B28" s="14">
        <v>24</v>
      </c>
      <c r="C28" s="15" t="s">
        <v>134</v>
      </c>
      <c r="D28" s="15" t="s">
        <v>130</v>
      </c>
      <c r="E28" s="15" t="s">
        <v>131</v>
      </c>
      <c r="F28" s="14" t="s">
        <v>132</v>
      </c>
      <c r="G28" s="15" t="s">
        <v>133</v>
      </c>
      <c r="H28" s="15" t="s">
        <v>88</v>
      </c>
      <c r="I28" s="14">
        <v>2017</v>
      </c>
      <c r="J28" s="16">
        <v>5</v>
      </c>
    </row>
    <row r="29" spans="2:10" ht="18" customHeight="1" thickBot="1">
      <c r="B29" s="14">
        <v>25</v>
      </c>
      <c r="C29" s="15" t="s">
        <v>135</v>
      </c>
      <c r="D29" s="15" t="s">
        <v>130</v>
      </c>
      <c r="E29" s="15" t="s">
        <v>131</v>
      </c>
      <c r="F29" s="14" t="s">
        <v>132</v>
      </c>
      <c r="G29" s="15" t="s">
        <v>133</v>
      </c>
      <c r="H29" s="15" t="s">
        <v>88</v>
      </c>
      <c r="I29" s="14">
        <v>2017</v>
      </c>
      <c r="J29" s="16">
        <v>5</v>
      </c>
    </row>
    <row r="30" spans="2:10" ht="18" customHeight="1" thickBot="1">
      <c r="B30" s="14">
        <v>26</v>
      </c>
      <c r="C30" s="15" t="s">
        <v>136</v>
      </c>
      <c r="D30" s="15" t="s">
        <v>67</v>
      </c>
      <c r="E30" s="15" t="s">
        <v>137</v>
      </c>
      <c r="F30" s="14" t="s">
        <v>75</v>
      </c>
      <c r="G30" s="15" t="s">
        <v>138</v>
      </c>
      <c r="H30" s="15" t="s">
        <v>95</v>
      </c>
      <c r="I30" s="14">
        <v>2017</v>
      </c>
      <c r="J30" s="16">
        <v>18</v>
      </c>
    </row>
    <row r="31" spans="2:10" ht="18" customHeight="1" thickBot="1">
      <c r="B31" s="14">
        <v>27</v>
      </c>
      <c r="C31" s="15" t="s">
        <v>139</v>
      </c>
      <c r="D31" s="15" t="s">
        <v>67</v>
      </c>
      <c r="E31" s="15" t="s">
        <v>137</v>
      </c>
      <c r="F31" s="14" t="s">
        <v>75</v>
      </c>
      <c r="G31" s="15" t="s">
        <v>138</v>
      </c>
      <c r="H31" s="15" t="s">
        <v>95</v>
      </c>
      <c r="I31" s="14">
        <v>2017</v>
      </c>
      <c r="J31" s="16">
        <v>30</v>
      </c>
    </row>
    <row r="32" spans="2:10" ht="18" customHeight="1" thickBot="1">
      <c r="B32" s="14">
        <v>28</v>
      </c>
      <c r="C32" s="15" t="s">
        <v>140</v>
      </c>
      <c r="D32" s="15" t="s">
        <v>67</v>
      </c>
      <c r="E32" s="15" t="s">
        <v>141</v>
      </c>
      <c r="F32" s="14" t="s">
        <v>142</v>
      </c>
      <c r="G32" s="15" t="s">
        <v>143</v>
      </c>
      <c r="H32" s="15" t="s">
        <v>144</v>
      </c>
      <c r="I32" s="14">
        <v>2017</v>
      </c>
      <c r="J32" s="16">
        <v>32</v>
      </c>
    </row>
    <row r="33" spans="2:10" ht="18" customHeight="1" thickBot="1">
      <c r="B33" s="14">
        <v>29</v>
      </c>
      <c r="C33" s="15" t="s">
        <v>145</v>
      </c>
      <c r="D33" s="15" t="s">
        <v>67</v>
      </c>
      <c r="E33" s="15" t="s">
        <v>141</v>
      </c>
      <c r="F33" s="14" t="s">
        <v>142</v>
      </c>
      <c r="G33" s="15" t="s">
        <v>143</v>
      </c>
      <c r="H33" s="15" t="s">
        <v>144</v>
      </c>
      <c r="I33" s="14">
        <v>2017</v>
      </c>
      <c r="J33" s="16">
        <v>32</v>
      </c>
    </row>
    <row r="34" spans="2:10" ht="18" customHeight="1" thickBot="1">
      <c r="B34" s="14">
        <v>30</v>
      </c>
      <c r="C34" s="15" t="s">
        <v>146</v>
      </c>
      <c r="D34" s="15" t="s">
        <v>67</v>
      </c>
      <c r="E34" s="15" t="s">
        <v>141</v>
      </c>
      <c r="F34" s="14" t="s">
        <v>142</v>
      </c>
      <c r="G34" s="15" t="s">
        <v>143</v>
      </c>
      <c r="H34" s="15" t="s">
        <v>144</v>
      </c>
      <c r="I34" s="14">
        <v>2017</v>
      </c>
      <c r="J34" s="16">
        <v>42</v>
      </c>
    </row>
    <row r="35" spans="2:10" ht="18" customHeight="1" thickBot="1">
      <c r="B35" s="14">
        <v>31</v>
      </c>
      <c r="C35" s="15" t="s">
        <v>147</v>
      </c>
      <c r="D35" s="15" t="s">
        <v>67</v>
      </c>
      <c r="E35" s="15" t="s">
        <v>112</v>
      </c>
      <c r="F35" s="14" t="s">
        <v>113</v>
      </c>
      <c r="G35" s="15" t="s">
        <v>114</v>
      </c>
      <c r="H35" s="15" t="s">
        <v>77</v>
      </c>
      <c r="I35" s="14">
        <v>2017</v>
      </c>
      <c r="J35" s="16">
        <v>18</v>
      </c>
    </row>
    <row r="36" spans="2:10" ht="18" customHeight="1" thickBot="1">
      <c r="B36" s="14">
        <v>32</v>
      </c>
      <c r="C36" s="15" t="s">
        <v>148</v>
      </c>
      <c r="D36" s="15" t="s">
        <v>67</v>
      </c>
      <c r="E36" s="15" t="s">
        <v>112</v>
      </c>
      <c r="F36" s="14" t="s">
        <v>113</v>
      </c>
      <c r="G36" s="15" t="s">
        <v>114</v>
      </c>
      <c r="H36" s="15" t="s">
        <v>77</v>
      </c>
      <c r="I36" s="14">
        <v>2017</v>
      </c>
      <c r="J36" s="16">
        <v>13</v>
      </c>
    </row>
    <row r="37" spans="2:10" ht="18" customHeight="1" thickBot="1">
      <c r="B37" s="14">
        <v>33</v>
      </c>
      <c r="C37" s="15" t="s">
        <v>149</v>
      </c>
      <c r="D37" s="15" t="s">
        <v>67</v>
      </c>
      <c r="E37" s="15" t="s">
        <v>92</v>
      </c>
      <c r="F37" s="14" t="s">
        <v>93</v>
      </c>
      <c r="G37" s="15" t="s">
        <v>94</v>
      </c>
      <c r="H37" s="15" t="s">
        <v>95</v>
      </c>
      <c r="I37" s="14">
        <v>2017</v>
      </c>
      <c r="J37" s="16">
        <v>26</v>
      </c>
    </row>
    <row r="38" spans="2:10" ht="18" customHeight="1" thickBot="1">
      <c r="B38" s="14">
        <v>34</v>
      </c>
      <c r="C38" s="15" t="s">
        <v>150</v>
      </c>
      <c r="D38" s="15" t="s">
        <v>67</v>
      </c>
      <c r="E38" s="15" t="s">
        <v>92</v>
      </c>
      <c r="F38" s="14" t="s">
        <v>93</v>
      </c>
      <c r="G38" s="15" t="s">
        <v>94</v>
      </c>
      <c r="H38" s="15" t="s">
        <v>95</v>
      </c>
      <c r="I38" s="14">
        <v>2017</v>
      </c>
      <c r="J38" s="16">
        <v>12</v>
      </c>
    </row>
    <row r="39" spans="2:10" ht="18" customHeight="1" thickBot="1">
      <c r="B39" s="14">
        <v>35</v>
      </c>
      <c r="C39" s="15" t="s">
        <v>151</v>
      </c>
      <c r="D39" s="15" t="s">
        <v>67</v>
      </c>
      <c r="E39" s="15" t="s">
        <v>92</v>
      </c>
      <c r="F39" s="14" t="s">
        <v>93</v>
      </c>
      <c r="G39" s="15" t="s">
        <v>94</v>
      </c>
      <c r="H39" s="15" t="s">
        <v>95</v>
      </c>
      <c r="I39" s="14">
        <v>2017</v>
      </c>
      <c r="J39" s="16">
        <v>12</v>
      </c>
    </row>
    <row r="40" spans="2:10" ht="18" customHeight="1" thickBot="1">
      <c r="B40" s="14">
        <v>36</v>
      </c>
      <c r="C40" s="15" t="s">
        <v>152</v>
      </c>
      <c r="D40" s="15" t="s">
        <v>97</v>
      </c>
      <c r="E40" s="15" t="s">
        <v>153</v>
      </c>
      <c r="F40" s="14" t="s">
        <v>154</v>
      </c>
      <c r="G40" s="15" t="s">
        <v>155</v>
      </c>
      <c r="H40" s="15" t="s">
        <v>126</v>
      </c>
      <c r="I40" s="14">
        <v>2017</v>
      </c>
      <c r="J40" s="16">
        <v>37.5</v>
      </c>
    </row>
    <row r="41" spans="2:10" ht="18" customHeight="1" thickBot="1">
      <c r="B41" s="14">
        <v>37</v>
      </c>
      <c r="C41" s="15" t="s">
        <v>156</v>
      </c>
      <c r="D41" s="15" t="s">
        <v>97</v>
      </c>
      <c r="E41" s="15" t="s">
        <v>153</v>
      </c>
      <c r="F41" s="14" t="s">
        <v>154</v>
      </c>
      <c r="G41" s="15" t="s">
        <v>155</v>
      </c>
      <c r="H41" s="15" t="s">
        <v>126</v>
      </c>
      <c r="I41" s="14">
        <v>2017</v>
      </c>
      <c r="J41" s="16">
        <v>37.5</v>
      </c>
    </row>
    <row r="42" spans="2:10" ht="18" customHeight="1" thickBot="1">
      <c r="B42" s="14">
        <v>38</v>
      </c>
      <c r="C42" s="15" t="s">
        <v>157</v>
      </c>
      <c r="D42" s="15" t="s">
        <v>97</v>
      </c>
      <c r="E42" s="15" t="s">
        <v>158</v>
      </c>
      <c r="F42" s="14" t="s">
        <v>159</v>
      </c>
      <c r="G42" s="15" t="s">
        <v>143</v>
      </c>
      <c r="H42" s="15" t="s">
        <v>144</v>
      </c>
      <c r="I42" s="14">
        <v>2017</v>
      </c>
      <c r="J42" s="16">
        <v>150</v>
      </c>
    </row>
    <row r="43" spans="2:10" ht="18" customHeight="1" thickBot="1">
      <c r="B43" s="14">
        <v>39</v>
      </c>
      <c r="C43" s="15" t="s">
        <v>160</v>
      </c>
      <c r="D43" s="15" t="s">
        <v>130</v>
      </c>
      <c r="E43" s="15" t="s">
        <v>161</v>
      </c>
      <c r="F43" s="14" t="s">
        <v>162</v>
      </c>
      <c r="G43" s="15" t="s">
        <v>163</v>
      </c>
      <c r="H43" s="15" t="s">
        <v>107</v>
      </c>
      <c r="I43" s="14">
        <v>2018</v>
      </c>
      <c r="J43" s="16">
        <v>5</v>
      </c>
    </row>
    <row r="44" spans="2:10" ht="18" customHeight="1" thickBot="1">
      <c r="B44" s="14">
        <v>40</v>
      </c>
      <c r="C44" s="15" t="s">
        <v>164</v>
      </c>
      <c r="D44" s="15" t="s">
        <v>130</v>
      </c>
      <c r="E44" s="15" t="s">
        <v>161</v>
      </c>
      <c r="F44" s="14" t="s">
        <v>162</v>
      </c>
      <c r="G44" s="15" t="s">
        <v>163</v>
      </c>
      <c r="H44" s="15" t="s">
        <v>107</v>
      </c>
      <c r="I44" s="14">
        <v>2018</v>
      </c>
      <c r="J44" s="16">
        <v>5</v>
      </c>
    </row>
    <row r="45" spans="2:10" ht="18" customHeight="1" thickBot="1">
      <c r="B45" s="14">
        <v>41</v>
      </c>
      <c r="C45" s="15" t="s">
        <v>165</v>
      </c>
      <c r="D45" s="15" t="s">
        <v>130</v>
      </c>
      <c r="E45" s="15" t="s">
        <v>161</v>
      </c>
      <c r="F45" s="14" t="s">
        <v>162</v>
      </c>
      <c r="G45" s="15" t="s">
        <v>163</v>
      </c>
      <c r="H45" s="15" t="s">
        <v>107</v>
      </c>
      <c r="I45" s="14">
        <v>2018</v>
      </c>
      <c r="J45" s="16">
        <v>5</v>
      </c>
    </row>
    <row r="46" spans="2:10" ht="18" customHeight="1" thickBot="1">
      <c r="B46" s="14">
        <v>42</v>
      </c>
      <c r="C46" s="15" t="s">
        <v>166</v>
      </c>
      <c r="D46" s="15" t="s">
        <v>97</v>
      </c>
      <c r="E46" s="15" t="s">
        <v>98</v>
      </c>
      <c r="F46" s="14" t="s">
        <v>99</v>
      </c>
      <c r="G46" s="15" t="s">
        <v>100</v>
      </c>
      <c r="H46" s="15" t="s">
        <v>83</v>
      </c>
      <c r="I46" s="14">
        <v>2018</v>
      </c>
      <c r="J46" s="16">
        <v>158</v>
      </c>
    </row>
    <row r="47" spans="2:10" ht="18" customHeight="1" thickBot="1">
      <c r="B47" s="14">
        <v>43</v>
      </c>
      <c r="C47" s="15" t="s">
        <v>167</v>
      </c>
      <c r="D47" s="15" t="s">
        <v>97</v>
      </c>
      <c r="E47" s="15" t="s">
        <v>98</v>
      </c>
      <c r="F47" s="14" t="s">
        <v>99</v>
      </c>
      <c r="G47" s="15" t="s">
        <v>100</v>
      </c>
      <c r="H47" s="15" t="s">
        <v>83</v>
      </c>
      <c r="I47" s="14">
        <v>2018</v>
      </c>
      <c r="J47" s="16">
        <v>158</v>
      </c>
    </row>
    <row r="48" spans="2:10" ht="18" customHeight="1" thickBot="1">
      <c r="B48" s="14">
        <v>44</v>
      </c>
      <c r="C48" s="15" t="s">
        <v>168</v>
      </c>
      <c r="D48" s="15" t="s">
        <v>103</v>
      </c>
      <c r="E48" s="15" t="s">
        <v>169</v>
      </c>
      <c r="F48" s="14" t="s">
        <v>69</v>
      </c>
      <c r="G48" s="15" t="s">
        <v>170</v>
      </c>
      <c r="H48" s="15" t="s">
        <v>171</v>
      </c>
      <c r="I48" s="14">
        <v>2018</v>
      </c>
      <c r="J48" s="16">
        <v>1.2</v>
      </c>
    </row>
    <row r="49" spans="2:10" ht="18" customHeight="1" thickBot="1">
      <c r="B49" s="14">
        <v>45</v>
      </c>
      <c r="C49" s="15" t="s">
        <v>172</v>
      </c>
      <c r="D49" s="15" t="s">
        <v>103</v>
      </c>
      <c r="E49" s="15" t="s">
        <v>169</v>
      </c>
      <c r="F49" s="14" t="s">
        <v>69</v>
      </c>
      <c r="G49" s="15" t="s">
        <v>170</v>
      </c>
      <c r="H49" s="15" t="s">
        <v>171</v>
      </c>
      <c r="I49" s="14">
        <v>2018</v>
      </c>
      <c r="J49" s="16">
        <v>1.2</v>
      </c>
    </row>
    <row r="50" spans="2:10" ht="18" customHeight="1" thickBot="1">
      <c r="B50" s="14">
        <v>46</v>
      </c>
      <c r="C50" s="15" t="s">
        <v>173</v>
      </c>
      <c r="D50" s="15" t="s">
        <v>97</v>
      </c>
      <c r="E50" s="15" t="s">
        <v>174</v>
      </c>
      <c r="F50" s="14" t="s">
        <v>86</v>
      </c>
      <c r="G50" s="15" t="s">
        <v>175</v>
      </c>
      <c r="H50" s="15" t="s">
        <v>88</v>
      </c>
      <c r="I50" s="14">
        <v>2018</v>
      </c>
      <c r="J50" s="16">
        <v>350</v>
      </c>
    </row>
    <row r="51" spans="2:10" ht="18" customHeight="1" thickBot="1">
      <c r="B51" s="14">
        <v>47</v>
      </c>
      <c r="C51" s="15" t="s">
        <v>176</v>
      </c>
      <c r="D51" s="15" t="s">
        <v>97</v>
      </c>
      <c r="E51" s="15" t="s">
        <v>174</v>
      </c>
      <c r="F51" s="14" t="s">
        <v>86</v>
      </c>
      <c r="G51" s="15" t="s">
        <v>175</v>
      </c>
      <c r="H51" s="15" t="s">
        <v>88</v>
      </c>
      <c r="I51" s="14">
        <v>2018</v>
      </c>
      <c r="J51" s="16">
        <v>350</v>
      </c>
    </row>
    <row r="52" spans="2:10" ht="18" customHeight="1" thickBot="1">
      <c r="B52" s="14">
        <v>48</v>
      </c>
      <c r="C52" s="15" t="s">
        <v>177</v>
      </c>
      <c r="D52" s="15" t="s">
        <v>97</v>
      </c>
      <c r="E52" s="15" t="s">
        <v>174</v>
      </c>
      <c r="F52" s="14" t="s">
        <v>86</v>
      </c>
      <c r="G52" s="15" t="s">
        <v>175</v>
      </c>
      <c r="H52" s="15" t="s">
        <v>88</v>
      </c>
      <c r="I52" s="14">
        <v>2018</v>
      </c>
      <c r="J52" s="16">
        <v>350</v>
      </c>
    </row>
    <row r="53" spans="2:10" ht="18" customHeight="1" thickBot="1">
      <c r="B53" s="14">
        <v>49</v>
      </c>
      <c r="C53" s="15" t="s">
        <v>178</v>
      </c>
      <c r="D53" s="15" t="s">
        <v>97</v>
      </c>
      <c r="E53" s="15" t="s">
        <v>112</v>
      </c>
      <c r="F53" s="14" t="s">
        <v>113</v>
      </c>
      <c r="G53" s="15" t="s">
        <v>114</v>
      </c>
      <c r="H53" s="15" t="s">
        <v>77</v>
      </c>
      <c r="I53" s="14" t="s">
        <v>179</v>
      </c>
      <c r="J53" s="16">
        <v>158</v>
      </c>
    </row>
    <row r="54" spans="2:10" ht="18" customHeight="1" thickBot="1">
      <c r="B54" s="14">
        <v>50</v>
      </c>
      <c r="C54" s="15" t="s">
        <v>180</v>
      </c>
      <c r="D54" s="15" t="s">
        <v>97</v>
      </c>
      <c r="E54" s="15" t="s">
        <v>112</v>
      </c>
      <c r="F54" s="14" t="s">
        <v>113</v>
      </c>
      <c r="G54" s="15" t="s">
        <v>114</v>
      </c>
      <c r="H54" s="15" t="s">
        <v>77</v>
      </c>
      <c r="I54" s="14" t="s">
        <v>179</v>
      </c>
      <c r="J54" s="16">
        <v>158</v>
      </c>
    </row>
    <row r="55" spans="2:10" ht="18" customHeight="1" thickBot="1">
      <c r="B55" s="14">
        <v>51</v>
      </c>
      <c r="C55" s="15" t="s">
        <v>181</v>
      </c>
      <c r="D55" s="15" t="s">
        <v>52</v>
      </c>
      <c r="E55" s="15" t="s">
        <v>182</v>
      </c>
      <c r="F55" s="14" t="s">
        <v>93</v>
      </c>
      <c r="G55" s="15" t="s">
        <v>94</v>
      </c>
      <c r="H55" s="15" t="s">
        <v>95</v>
      </c>
      <c r="I55" s="14" t="s">
        <v>179</v>
      </c>
      <c r="J55" s="16">
        <v>377.66</v>
      </c>
    </row>
    <row r="56" spans="2:10" ht="18" customHeight="1" thickBot="1">
      <c r="B56" s="14">
        <v>52</v>
      </c>
      <c r="C56" s="15" t="s">
        <v>183</v>
      </c>
      <c r="D56" s="15" t="s">
        <v>67</v>
      </c>
      <c r="E56" s="15" t="s">
        <v>109</v>
      </c>
      <c r="F56" s="14" t="s">
        <v>99</v>
      </c>
      <c r="G56" s="15" t="s">
        <v>110</v>
      </c>
      <c r="H56" s="15" t="s">
        <v>83</v>
      </c>
      <c r="I56" s="14" t="s">
        <v>179</v>
      </c>
      <c r="J56" s="16">
        <v>30</v>
      </c>
    </row>
    <row r="57" spans="2:10" ht="18" customHeight="1" thickBot="1">
      <c r="B57" s="14">
        <v>53</v>
      </c>
      <c r="C57" s="15" t="s">
        <v>184</v>
      </c>
      <c r="D57" s="15" t="s">
        <v>67</v>
      </c>
      <c r="E57" s="15" t="s">
        <v>116</v>
      </c>
      <c r="F57" s="14" t="s">
        <v>117</v>
      </c>
      <c r="G57" s="15" t="s">
        <v>76</v>
      </c>
      <c r="H57" s="15" t="s">
        <v>77</v>
      </c>
      <c r="I57" s="14" t="s">
        <v>179</v>
      </c>
      <c r="J57" s="16">
        <v>14</v>
      </c>
    </row>
    <row r="58" spans="2:10" ht="18" customHeight="1" thickBot="1">
      <c r="B58" s="14">
        <v>54</v>
      </c>
      <c r="C58" s="15" t="s">
        <v>185</v>
      </c>
      <c r="D58" s="15" t="s">
        <v>67</v>
      </c>
      <c r="E58" s="15" t="s">
        <v>112</v>
      </c>
      <c r="F58" s="14" t="s">
        <v>113</v>
      </c>
      <c r="G58" s="15" t="s">
        <v>114</v>
      </c>
      <c r="H58" s="15" t="s">
        <v>77</v>
      </c>
      <c r="I58" s="14" t="s">
        <v>179</v>
      </c>
      <c r="J58" s="16">
        <v>28</v>
      </c>
    </row>
    <row r="59" spans="2:10" ht="18" customHeight="1" thickBot="1">
      <c r="B59" s="14">
        <v>55</v>
      </c>
      <c r="C59" s="15" t="s">
        <v>186</v>
      </c>
      <c r="D59" s="15" t="s">
        <v>97</v>
      </c>
      <c r="E59" s="15" t="s">
        <v>187</v>
      </c>
      <c r="F59" s="14" t="s">
        <v>188</v>
      </c>
      <c r="G59" s="15" t="s">
        <v>189</v>
      </c>
      <c r="H59" s="15" t="s">
        <v>107</v>
      </c>
      <c r="I59" s="14" t="s">
        <v>179</v>
      </c>
      <c r="J59" s="16">
        <v>300</v>
      </c>
    </row>
    <row r="60" spans="2:10" ht="18" customHeight="1" thickBot="1">
      <c r="B60" s="14">
        <v>56</v>
      </c>
      <c r="C60" s="15" t="s">
        <v>190</v>
      </c>
      <c r="D60" s="15" t="s">
        <v>97</v>
      </c>
      <c r="E60" s="15" t="s">
        <v>187</v>
      </c>
      <c r="F60" s="14" t="s">
        <v>188</v>
      </c>
      <c r="G60" s="15" t="s">
        <v>189</v>
      </c>
      <c r="H60" s="15" t="s">
        <v>107</v>
      </c>
      <c r="I60" s="14" t="s">
        <v>179</v>
      </c>
      <c r="J60" s="16">
        <v>250</v>
      </c>
    </row>
    <row r="61" spans="2:10" ht="18" customHeight="1" thickBot="1">
      <c r="B61" s="14">
        <v>57</v>
      </c>
      <c r="C61" s="15" t="s">
        <v>191</v>
      </c>
      <c r="D61" s="15" t="s">
        <v>97</v>
      </c>
      <c r="E61" s="15" t="s">
        <v>158</v>
      </c>
      <c r="F61" s="14" t="s">
        <v>159</v>
      </c>
      <c r="G61" s="15" t="s">
        <v>143</v>
      </c>
      <c r="H61" s="15" t="s">
        <v>144</v>
      </c>
      <c r="I61" s="14" t="s">
        <v>179</v>
      </c>
      <c r="J61" s="16">
        <v>150</v>
      </c>
    </row>
    <row r="62" spans="2:10" ht="18" customHeight="1" thickBot="1">
      <c r="B62" s="14">
        <v>58</v>
      </c>
      <c r="C62" s="15" t="s">
        <v>192</v>
      </c>
      <c r="D62" s="15" t="s">
        <v>97</v>
      </c>
      <c r="E62" s="15" t="s">
        <v>158</v>
      </c>
      <c r="F62" s="14" t="s">
        <v>159</v>
      </c>
      <c r="G62" s="15" t="s">
        <v>143</v>
      </c>
      <c r="H62" s="15" t="s">
        <v>144</v>
      </c>
      <c r="I62" s="14" t="s">
        <v>179</v>
      </c>
      <c r="J62" s="16">
        <v>150</v>
      </c>
    </row>
    <row r="63" spans="2:10" ht="18" customHeight="1" thickBot="1">
      <c r="B63" s="14">
        <v>59</v>
      </c>
      <c r="C63" s="15" t="s">
        <v>193</v>
      </c>
      <c r="D63" s="15" t="s">
        <v>67</v>
      </c>
      <c r="E63" s="15" t="s">
        <v>194</v>
      </c>
      <c r="F63" s="14" t="s">
        <v>195</v>
      </c>
      <c r="G63" s="15" t="s">
        <v>196</v>
      </c>
      <c r="H63" s="15" t="s">
        <v>126</v>
      </c>
      <c r="I63" s="14" t="s">
        <v>179</v>
      </c>
      <c r="J63" s="16">
        <v>14</v>
      </c>
    </row>
    <row r="64" spans="2:10" ht="18" customHeight="1" thickBot="1">
      <c r="B64" s="14">
        <v>60</v>
      </c>
      <c r="C64" s="15" t="s">
        <v>197</v>
      </c>
      <c r="D64" s="15" t="s">
        <v>67</v>
      </c>
      <c r="E64" s="15" t="s">
        <v>194</v>
      </c>
      <c r="F64" s="14" t="s">
        <v>195</v>
      </c>
      <c r="G64" s="15" t="s">
        <v>196</v>
      </c>
      <c r="H64" s="15" t="s">
        <v>126</v>
      </c>
      <c r="I64" s="14" t="s">
        <v>179</v>
      </c>
      <c r="J64" s="16">
        <v>25.7</v>
      </c>
    </row>
    <row r="65" spans="2:10" ht="18" customHeight="1" thickBot="1">
      <c r="B65" s="14">
        <v>61</v>
      </c>
      <c r="C65" s="15" t="s">
        <v>198</v>
      </c>
      <c r="D65" s="15" t="s">
        <v>97</v>
      </c>
      <c r="E65" s="15" t="s">
        <v>199</v>
      </c>
      <c r="F65" s="14" t="s">
        <v>113</v>
      </c>
      <c r="G65" s="15" t="s">
        <v>200</v>
      </c>
      <c r="H65" s="15" t="s">
        <v>77</v>
      </c>
      <c r="I65" s="14" t="s">
        <v>179</v>
      </c>
      <c r="J65" s="16">
        <v>150</v>
      </c>
    </row>
    <row r="66" spans="2:10" ht="18" customHeight="1" thickBot="1">
      <c r="B66" s="14">
        <v>62</v>
      </c>
      <c r="C66" s="15" t="s">
        <v>201</v>
      </c>
      <c r="D66" s="15" t="s">
        <v>97</v>
      </c>
      <c r="E66" s="15" t="s">
        <v>199</v>
      </c>
      <c r="F66" s="14" t="s">
        <v>113</v>
      </c>
      <c r="G66" s="15" t="s">
        <v>200</v>
      </c>
      <c r="H66" s="15" t="s">
        <v>77</v>
      </c>
      <c r="I66" s="14" t="s">
        <v>179</v>
      </c>
      <c r="J66" s="16">
        <v>150</v>
      </c>
    </row>
    <row r="67" spans="2:10" ht="18" customHeight="1" thickBot="1">
      <c r="B67" s="14">
        <v>63</v>
      </c>
      <c r="C67" s="15" t="s">
        <v>202</v>
      </c>
      <c r="D67" s="15" t="s">
        <v>97</v>
      </c>
      <c r="E67" s="15" t="s">
        <v>203</v>
      </c>
      <c r="F67" s="14" t="s">
        <v>81</v>
      </c>
      <c r="G67" s="15" t="s">
        <v>204</v>
      </c>
      <c r="H67" s="15" t="s">
        <v>83</v>
      </c>
      <c r="I67" s="14" t="s">
        <v>179</v>
      </c>
      <c r="J67" s="16">
        <v>158</v>
      </c>
    </row>
    <row r="68" spans="2:10" ht="18" customHeight="1" thickBot="1">
      <c r="B68" s="14">
        <v>64</v>
      </c>
      <c r="C68" s="15" t="s">
        <v>205</v>
      </c>
      <c r="D68" s="15" t="s">
        <v>67</v>
      </c>
      <c r="E68" s="15" t="s">
        <v>206</v>
      </c>
      <c r="F68" s="14" t="s">
        <v>21</v>
      </c>
      <c r="G68" s="15" t="s">
        <v>207</v>
      </c>
      <c r="H68" s="15" t="s">
        <v>208</v>
      </c>
      <c r="I68" s="14" t="s">
        <v>179</v>
      </c>
      <c r="J68" s="16">
        <v>26</v>
      </c>
    </row>
    <row r="69" spans="2:10" ht="18" customHeight="1" thickBot="1">
      <c r="B69" s="14">
        <v>65</v>
      </c>
      <c r="C69" s="15" t="s">
        <v>209</v>
      </c>
      <c r="D69" s="15" t="s">
        <v>67</v>
      </c>
      <c r="E69" s="15" t="s">
        <v>206</v>
      </c>
      <c r="F69" s="14" t="s">
        <v>21</v>
      </c>
      <c r="G69" s="15" t="s">
        <v>207</v>
      </c>
      <c r="H69" s="15" t="s">
        <v>208</v>
      </c>
      <c r="I69" s="14" t="s">
        <v>179</v>
      </c>
      <c r="J69" s="16">
        <v>18</v>
      </c>
    </row>
    <row r="70" spans="2:10" ht="18" customHeight="1" thickBot="1">
      <c r="B70" s="14">
        <v>66</v>
      </c>
      <c r="C70" s="15" t="s">
        <v>210</v>
      </c>
      <c r="D70" s="15" t="s">
        <v>67</v>
      </c>
      <c r="E70" s="15" t="s">
        <v>206</v>
      </c>
      <c r="F70" s="14" t="s">
        <v>21</v>
      </c>
      <c r="G70" s="15" t="s">
        <v>207</v>
      </c>
      <c r="H70" s="15" t="s">
        <v>208</v>
      </c>
      <c r="I70" s="14" t="s">
        <v>179</v>
      </c>
      <c r="J70" s="16">
        <v>18</v>
      </c>
    </row>
    <row r="71" spans="2:10" ht="18" customHeight="1" thickBot="1">
      <c r="B71" s="14">
        <v>67</v>
      </c>
      <c r="C71" s="15" t="s">
        <v>211</v>
      </c>
      <c r="D71" s="15" t="s">
        <v>97</v>
      </c>
      <c r="E71" s="15" t="s">
        <v>212</v>
      </c>
      <c r="F71" s="14" t="s">
        <v>213</v>
      </c>
      <c r="G71" s="15" t="s">
        <v>214</v>
      </c>
      <c r="H71" s="15" t="s">
        <v>95</v>
      </c>
      <c r="I71" s="14" t="s">
        <v>179</v>
      </c>
      <c r="J71" s="16">
        <v>300</v>
      </c>
    </row>
    <row r="72" spans="2:10" ht="18" customHeight="1" thickBot="1">
      <c r="B72" s="14">
        <v>68</v>
      </c>
      <c r="C72" s="15" t="s">
        <v>215</v>
      </c>
      <c r="D72" s="15" t="s">
        <v>67</v>
      </c>
      <c r="E72" s="15" t="s">
        <v>216</v>
      </c>
      <c r="F72" s="14" t="s">
        <v>21</v>
      </c>
      <c r="G72" s="15" t="s">
        <v>217</v>
      </c>
      <c r="H72" s="15" t="s">
        <v>208</v>
      </c>
      <c r="I72" s="14" t="s">
        <v>179</v>
      </c>
      <c r="J72" s="16">
        <v>30</v>
      </c>
    </row>
    <row r="73" spans="2:10" ht="18" customHeight="1" thickBot="1">
      <c r="B73" s="14">
        <v>69</v>
      </c>
      <c r="C73" s="15" t="s">
        <v>218</v>
      </c>
      <c r="D73" s="15" t="s">
        <v>67</v>
      </c>
      <c r="E73" s="15" t="s">
        <v>216</v>
      </c>
      <c r="F73" s="14" t="s">
        <v>21</v>
      </c>
      <c r="G73" s="15" t="s">
        <v>217</v>
      </c>
      <c r="H73" s="15" t="s">
        <v>208</v>
      </c>
      <c r="I73" s="14" t="s">
        <v>179</v>
      </c>
      <c r="J73" s="16">
        <v>30</v>
      </c>
    </row>
    <row r="74" spans="2:10" ht="18" customHeight="1" thickBot="1">
      <c r="B74" s="14">
        <v>70</v>
      </c>
      <c r="C74" s="15" t="s">
        <v>219</v>
      </c>
      <c r="D74" s="15" t="s">
        <v>97</v>
      </c>
      <c r="E74" s="15" t="s">
        <v>174</v>
      </c>
      <c r="F74" s="14" t="s">
        <v>86</v>
      </c>
      <c r="G74" s="15" t="s">
        <v>175</v>
      </c>
      <c r="H74" s="15" t="s">
        <v>88</v>
      </c>
      <c r="I74" s="14" t="s">
        <v>179</v>
      </c>
      <c r="J74" s="16">
        <v>350</v>
      </c>
    </row>
    <row r="75" spans="2:10" ht="18" customHeight="1" thickBot="1">
      <c r="B75" s="14">
        <v>71</v>
      </c>
      <c r="C75" s="15" t="s">
        <v>220</v>
      </c>
      <c r="D75" s="15" t="s">
        <v>97</v>
      </c>
      <c r="E75" s="15" t="s">
        <v>174</v>
      </c>
      <c r="F75" s="14" t="s">
        <v>86</v>
      </c>
      <c r="G75" s="15" t="s">
        <v>175</v>
      </c>
      <c r="H75" s="15" t="s">
        <v>88</v>
      </c>
      <c r="I75" s="14" t="s">
        <v>179</v>
      </c>
      <c r="J75" s="16">
        <v>350</v>
      </c>
    </row>
    <row r="76" spans="2:10" ht="18" customHeight="1" thickBot="1">
      <c r="B76" s="14">
        <v>72</v>
      </c>
      <c r="C76" s="15" t="s">
        <v>221</v>
      </c>
      <c r="D76" s="15" t="s">
        <v>97</v>
      </c>
      <c r="E76" s="15" t="s">
        <v>174</v>
      </c>
      <c r="F76" s="14" t="s">
        <v>86</v>
      </c>
      <c r="G76" s="15" t="s">
        <v>175</v>
      </c>
      <c r="H76" s="15" t="s">
        <v>88</v>
      </c>
      <c r="I76" s="14" t="s">
        <v>179</v>
      </c>
      <c r="J76" s="16">
        <v>350</v>
      </c>
    </row>
    <row r="77" spans="2:10" ht="18" customHeight="1" thickBot="1">
      <c r="B77" s="14">
        <v>73</v>
      </c>
      <c r="C77" s="15" t="s">
        <v>222</v>
      </c>
      <c r="D77" s="15" t="s">
        <v>130</v>
      </c>
      <c r="E77" s="15" t="s">
        <v>206</v>
      </c>
      <c r="F77" s="14" t="s">
        <v>21</v>
      </c>
      <c r="G77" s="15" t="s">
        <v>207</v>
      </c>
      <c r="H77" s="15" t="s">
        <v>208</v>
      </c>
      <c r="I77" s="14" t="s">
        <v>223</v>
      </c>
      <c r="J77" s="16">
        <v>30</v>
      </c>
    </row>
    <row r="78" spans="2:10" ht="18" customHeight="1" thickBot="1">
      <c r="B78" s="14">
        <v>74</v>
      </c>
      <c r="C78" s="15" t="s">
        <v>224</v>
      </c>
      <c r="D78" s="15" t="s">
        <v>97</v>
      </c>
      <c r="E78" s="15" t="s">
        <v>225</v>
      </c>
      <c r="F78" s="14" t="s">
        <v>117</v>
      </c>
      <c r="G78" s="15" t="s">
        <v>76</v>
      </c>
      <c r="H78" s="15" t="s">
        <v>77</v>
      </c>
      <c r="I78" s="14" t="s">
        <v>223</v>
      </c>
      <c r="J78" s="16">
        <v>160</v>
      </c>
    </row>
    <row r="79" spans="2:10" ht="18" customHeight="1" thickBot="1">
      <c r="B79" s="14">
        <v>75</v>
      </c>
      <c r="C79" s="15" t="s">
        <v>226</v>
      </c>
      <c r="D79" s="15" t="s">
        <v>97</v>
      </c>
      <c r="E79" s="15" t="s">
        <v>225</v>
      </c>
      <c r="F79" s="14" t="s">
        <v>117</v>
      </c>
      <c r="G79" s="15" t="s">
        <v>76</v>
      </c>
      <c r="H79" s="15" t="s">
        <v>77</v>
      </c>
      <c r="I79" s="14" t="s">
        <v>223</v>
      </c>
      <c r="J79" s="16">
        <v>160</v>
      </c>
    </row>
    <row r="80" spans="2:10" ht="18" customHeight="1" thickBot="1">
      <c r="B80" s="14">
        <v>76</v>
      </c>
      <c r="C80" s="15" t="s">
        <v>227</v>
      </c>
      <c r="D80" s="15" t="s">
        <v>97</v>
      </c>
      <c r="E80" s="15" t="s">
        <v>228</v>
      </c>
      <c r="F80" s="14" t="s">
        <v>229</v>
      </c>
      <c r="G80" s="15" t="s">
        <v>230</v>
      </c>
      <c r="H80" s="15" t="s">
        <v>107</v>
      </c>
      <c r="I80" s="14" t="s">
        <v>223</v>
      </c>
      <c r="J80" s="16">
        <v>300</v>
      </c>
    </row>
    <row r="81" spans="2:10" ht="18" customHeight="1" thickBot="1">
      <c r="B81" s="14">
        <v>77</v>
      </c>
      <c r="C81" s="15" t="s">
        <v>231</v>
      </c>
      <c r="D81" s="15" t="s">
        <v>97</v>
      </c>
      <c r="E81" s="15" t="s">
        <v>228</v>
      </c>
      <c r="F81" s="14" t="s">
        <v>229</v>
      </c>
      <c r="G81" s="15" t="s">
        <v>230</v>
      </c>
      <c r="H81" s="15" t="s">
        <v>107</v>
      </c>
      <c r="I81" s="14" t="s">
        <v>223</v>
      </c>
      <c r="J81" s="16">
        <v>300</v>
      </c>
    </row>
    <row r="82" spans="2:10" ht="18" customHeight="1" thickBot="1">
      <c r="B82" s="14">
        <v>78</v>
      </c>
      <c r="C82" s="15" t="s">
        <v>232</v>
      </c>
      <c r="D82" s="15" t="s">
        <v>97</v>
      </c>
      <c r="E82" s="15" t="s">
        <v>233</v>
      </c>
      <c r="F82" s="14" t="s">
        <v>81</v>
      </c>
      <c r="G82" s="15" t="s">
        <v>234</v>
      </c>
      <c r="H82" s="15" t="s">
        <v>83</v>
      </c>
      <c r="I82" s="14" t="s">
        <v>223</v>
      </c>
      <c r="J82" s="16">
        <v>160</v>
      </c>
    </row>
    <row r="83" spans="2:10" ht="18" customHeight="1" thickBot="1">
      <c r="B83" s="14">
        <v>79</v>
      </c>
      <c r="C83" s="15" t="s">
        <v>235</v>
      </c>
      <c r="D83" s="15" t="s">
        <v>97</v>
      </c>
      <c r="E83" s="15" t="s">
        <v>233</v>
      </c>
      <c r="F83" s="14" t="s">
        <v>81</v>
      </c>
      <c r="G83" s="15" t="s">
        <v>234</v>
      </c>
      <c r="H83" s="15" t="s">
        <v>83</v>
      </c>
      <c r="I83" s="14" t="s">
        <v>223</v>
      </c>
      <c r="J83" s="16">
        <v>160</v>
      </c>
    </row>
    <row r="84" spans="2:10" ht="18" customHeight="1" thickBot="1">
      <c r="B84" s="14">
        <v>80</v>
      </c>
      <c r="C84" s="15" t="s">
        <v>236</v>
      </c>
      <c r="D84" s="15" t="s">
        <v>52</v>
      </c>
      <c r="E84" s="15" t="s">
        <v>85</v>
      </c>
      <c r="F84" s="14" t="s">
        <v>86</v>
      </c>
      <c r="G84" s="15" t="s">
        <v>87</v>
      </c>
      <c r="H84" s="15" t="s">
        <v>88</v>
      </c>
      <c r="I84" s="14" t="s">
        <v>223</v>
      </c>
      <c r="J84" s="16">
        <v>63</v>
      </c>
    </row>
    <row r="85" spans="2:10" ht="18" customHeight="1" thickBot="1">
      <c r="B85" s="14">
        <v>81</v>
      </c>
      <c r="C85" s="15" t="s">
        <v>237</v>
      </c>
      <c r="D85" s="15" t="s">
        <v>52</v>
      </c>
      <c r="E85" s="15" t="s">
        <v>85</v>
      </c>
      <c r="F85" s="14" t="s">
        <v>86</v>
      </c>
      <c r="G85" s="15" t="s">
        <v>87</v>
      </c>
      <c r="H85" s="15" t="s">
        <v>88</v>
      </c>
      <c r="I85" s="14" t="s">
        <v>223</v>
      </c>
      <c r="J85" s="16">
        <v>63</v>
      </c>
    </row>
    <row r="86" spans="2:10" ht="18" customHeight="1" thickBot="1">
      <c r="B86" s="14">
        <v>82</v>
      </c>
      <c r="C86" s="15" t="s">
        <v>238</v>
      </c>
      <c r="D86" s="15" t="s">
        <v>52</v>
      </c>
      <c r="E86" s="15" t="s">
        <v>85</v>
      </c>
      <c r="F86" s="14" t="s">
        <v>86</v>
      </c>
      <c r="G86" s="15" t="s">
        <v>87</v>
      </c>
      <c r="H86" s="15" t="s">
        <v>88</v>
      </c>
      <c r="I86" s="14" t="s">
        <v>223</v>
      </c>
      <c r="J86" s="16">
        <v>100</v>
      </c>
    </row>
    <row r="87" spans="2:10" ht="18" customHeight="1" thickBot="1">
      <c r="B87" s="14">
        <v>83</v>
      </c>
      <c r="C87" s="15" t="s">
        <v>239</v>
      </c>
      <c r="D87" s="15" t="s">
        <v>97</v>
      </c>
      <c r="E87" s="15" t="s">
        <v>203</v>
      </c>
      <c r="F87" s="14" t="s">
        <v>81</v>
      </c>
      <c r="G87" s="15" t="s">
        <v>204</v>
      </c>
      <c r="H87" s="15" t="s">
        <v>83</v>
      </c>
      <c r="I87" s="14" t="s">
        <v>223</v>
      </c>
      <c r="J87" s="16">
        <v>158</v>
      </c>
    </row>
    <row r="88" spans="2:10" ht="18" customHeight="1" thickBot="1">
      <c r="B88" s="14">
        <v>84</v>
      </c>
      <c r="C88" s="15" t="s">
        <v>240</v>
      </c>
      <c r="D88" s="15" t="s">
        <v>97</v>
      </c>
      <c r="E88" s="15" t="s">
        <v>241</v>
      </c>
      <c r="F88" s="14" t="s">
        <v>213</v>
      </c>
      <c r="G88" s="15" t="s">
        <v>242</v>
      </c>
      <c r="H88" s="15" t="s">
        <v>95</v>
      </c>
      <c r="I88" s="14" t="s">
        <v>223</v>
      </c>
      <c r="J88" s="16">
        <v>250</v>
      </c>
    </row>
    <row r="89" spans="2:10" ht="18" customHeight="1" thickBot="1">
      <c r="B89" s="14">
        <v>85</v>
      </c>
      <c r="C89" s="15" t="s">
        <v>243</v>
      </c>
      <c r="D89" s="15" t="s">
        <v>97</v>
      </c>
      <c r="E89" s="15" t="s">
        <v>241</v>
      </c>
      <c r="F89" s="14" t="s">
        <v>213</v>
      </c>
      <c r="G89" s="15" t="s">
        <v>242</v>
      </c>
      <c r="H89" s="15" t="s">
        <v>95</v>
      </c>
      <c r="I89" s="14" t="s">
        <v>223</v>
      </c>
      <c r="J89" s="16">
        <v>250</v>
      </c>
    </row>
    <row r="90" spans="2:10" ht="18" customHeight="1" thickBot="1">
      <c r="B90" s="14">
        <v>86</v>
      </c>
      <c r="C90" s="15" t="s">
        <v>244</v>
      </c>
      <c r="D90" s="15" t="s">
        <v>97</v>
      </c>
      <c r="E90" s="15" t="s">
        <v>245</v>
      </c>
      <c r="F90" s="14" t="s">
        <v>99</v>
      </c>
      <c r="G90" s="15" t="s">
        <v>110</v>
      </c>
      <c r="H90" s="15" t="s">
        <v>83</v>
      </c>
      <c r="I90" s="14" t="s">
        <v>223</v>
      </c>
      <c r="J90" s="16">
        <v>158</v>
      </c>
    </row>
    <row r="91" spans="2:10" ht="18" customHeight="1" thickBot="1">
      <c r="B91" s="14">
        <v>87</v>
      </c>
      <c r="C91" s="15" t="s">
        <v>246</v>
      </c>
      <c r="D91" s="15" t="s">
        <v>97</v>
      </c>
      <c r="E91" s="15" t="s">
        <v>245</v>
      </c>
      <c r="F91" s="14" t="s">
        <v>99</v>
      </c>
      <c r="G91" s="15" t="s">
        <v>110</v>
      </c>
      <c r="H91" s="15" t="s">
        <v>83</v>
      </c>
      <c r="I91" s="14" t="s">
        <v>223</v>
      </c>
      <c r="J91" s="16">
        <v>158</v>
      </c>
    </row>
    <row r="92" spans="2:10" ht="18" customHeight="1" thickBot="1">
      <c r="B92" s="14">
        <v>88</v>
      </c>
      <c r="C92" s="15" t="s">
        <v>247</v>
      </c>
      <c r="D92" s="15" t="s">
        <v>97</v>
      </c>
      <c r="E92" s="15" t="s">
        <v>245</v>
      </c>
      <c r="F92" s="14" t="s">
        <v>99</v>
      </c>
      <c r="G92" s="15" t="s">
        <v>110</v>
      </c>
      <c r="H92" s="15" t="s">
        <v>83</v>
      </c>
      <c r="I92" s="14" t="s">
        <v>223</v>
      </c>
      <c r="J92" s="16">
        <v>158</v>
      </c>
    </row>
    <row r="93" spans="2:10" ht="18" customHeight="1" thickBot="1">
      <c r="B93" s="14">
        <v>89</v>
      </c>
      <c r="C93" s="15" t="s">
        <v>248</v>
      </c>
      <c r="D93" s="15" t="s">
        <v>97</v>
      </c>
      <c r="E93" s="15" t="s">
        <v>245</v>
      </c>
      <c r="F93" s="14" t="s">
        <v>99</v>
      </c>
      <c r="G93" s="15" t="s">
        <v>110</v>
      </c>
      <c r="H93" s="15" t="s">
        <v>83</v>
      </c>
      <c r="I93" s="14" t="s">
        <v>223</v>
      </c>
      <c r="J93" s="16">
        <v>158</v>
      </c>
    </row>
    <row r="94" spans="2:10" ht="18" customHeight="1" thickBot="1">
      <c r="B94" s="14">
        <v>90</v>
      </c>
      <c r="C94" s="15" t="s">
        <v>249</v>
      </c>
      <c r="D94" s="15" t="s">
        <v>67</v>
      </c>
      <c r="E94" s="15" t="s">
        <v>250</v>
      </c>
      <c r="F94" s="14" t="s">
        <v>195</v>
      </c>
      <c r="G94" s="15" t="s">
        <v>251</v>
      </c>
      <c r="H94" s="15" t="s">
        <v>126</v>
      </c>
      <c r="I94" s="14" t="s">
        <v>252</v>
      </c>
      <c r="J94" s="16">
        <v>30</v>
      </c>
    </row>
    <row r="95" spans="2:10" ht="18" customHeight="1" thickBot="1">
      <c r="B95" s="14">
        <v>91</v>
      </c>
      <c r="C95" s="15" t="s">
        <v>253</v>
      </c>
      <c r="D95" s="15" t="s">
        <v>67</v>
      </c>
      <c r="E95" s="15" t="s">
        <v>250</v>
      </c>
      <c r="F95" s="14" t="s">
        <v>195</v>
      </c>
      <c r="G95" s="15" t="s">
        <v>251</v>
      </c>
      <c r="H95" s="15" t="s">
        <v>126</v>
      </c>
      <c r="I95" s="14" t="s">
        <v>252</v>
      </c>
      <c r="J95" s="16">
        <v>44</v>
      </c>
    </row>
    <row r="96" spans="2:10" ht="18" customHeight="1" thickBot="1">
      <c r="B96" s="14">
        <v>92</v>
      </c>
      <c r="C96" s="15" t="s">
        <v>254</v>
      </c>
      <c r="D96" s="15" t="s">
        <v>67</v>
      </c>
      <c r="E96" s="15" t="s">
        <v>255</v>
      </c>
      <c r="F96" s="14" t="s">
        <v>195</v>
      </c>
      <c r="G96" s="15" t="s">
        <v>256</v>
      </c>
      <c r="H96" s="15" t="s">
        <v>126</v>
      </c>
      <c r="I96" s="14" t="s">
        <v>252</v>
      </c>
      <c r="J96" s="16">
        <v>25</v>
      </c>
    </row>
    <row r="97" spans="2:10" ht="18" customHeight="1" thickBot="1">
      <c r="B97" s="14">
        <v>93</v>
      </c>
      <c r="C97" s="15" t="s">
        <v>257</v>
      </c>
      <c r="D97" s="15" t="s">
        <v>67</v>
      </c>
      <c r="E97" s="15" t="s">
        <v>258</v>
      </c>
      <c r="F97" s="14" t="s">
        <v>21</v>
      </c>
      <c r="G97" s="15" t="s">
        <v>259</v>
      </c>
      <c r="H97" s="15" t="s">
        <v>208</v>
      </c>
      <c r="I97" s="14" t="s">
        <v>252</v>
      </c>
      <c r="J97" s="16">
        <v>27.43</v>
      </c>
    </row>
    <row r="98" spans="2:10" ht="18" customHeight="1" thickBot="1">
      <c r="B98" s="14">
        <v>94</v>
      </c>
      <c r="C98" s="15" t="s">
        <v>260</v>
      </c>
      <c r="D98" s="15" t="s">
        <v>52</v>
      </c>
      <c r="E98" s="15" t="s">
        <v>116</v>
      </c>
      <c r="F98" s="14" t="s">
        <v>117</v>
      </c>
      <c r="G98" s="15" t="s">
        <v>76</v>
      </c>
      <c r="H98" s="15" t="s">
        <v>77</v>
      </c>
      <c r="I98" s="14" t="s">
        <v>252</v>
      </c>
      <c r="J98" s="16">
        <v>73.400000000000006</v>
      </c>
    </row>
    <row r="99" spans="2:10" ht="18" customHeight="1" thickBot="1">
      <c r="B99" s="14">
        <v>95</v>
      </c>
      <c r="C99" s="15" t="s">
        <v>261</v>
      </c>
      <c r="D99" s="15" t="s">
        <v>52</v>
      </c>
      <c r="E99" s="15" t="s">
        <v>116</v>
      </c>
      <c r="F99" s="14" t="s">
        <v>117</v>
      </c>
      <c r="G99" s="15" t="s">
        <v>76</v>
      </c>
      <c r="H99" s="15" t="s">
        <v>77</v>
      </c>
      <c r="I99" s="14" t="s">
        <v>252</v>
      </c>
      <c r="J99" s="16">
        <v>73.400000000000006</v>
      </c>
    </row>
    <row r="100" spans="2:10" ht="18" customHeight="1" thickBot="1">
      <c r="B100" s="14">
        <v>96</v>
      </c>
      <c r="C100" s="15" t="s">
        <v>262</v>
      </c>
      <c r="D100" s="15" t="s">
        <v>52</v>
      </c>
      <c r="E100" s="15" t="s">
        <v>116</v>
      </c>
      <c r="F100" s="14" t="s">
        <v>117</v>
      </c>
      <c r="G100" s="15" t="s">
        <v>76</v>
      </c>
      <c r="H100" s="15" t="s">
        <v>77</v>
      </c>
      <c r="I100" s="14" t="s">
        <v>252</v>
      </c>
      <c r="J100" s="16">
        <v>93</v>
      </c>
    </row>
    <row r="101" spans="2:10" ht="18" customHeight="1" thickBot="1">
      <c r="B101" s="14">
        <v>97</v>
      </c>
      <c r="C101" s="15" t="s">
        <v>263</v>
      </c>
      <c r="D101" s="15" t="s">
        <v>67</v>
      </c>
      <c r="E101" s="15" t="s">
        <v>264</v>
      </c>
      <c r="F101" s="14" t="s">
        <v>154</v>
      </c>
      <c r="G101" s="15" t="s">
        <v>155</v>
      </c>
      <c r="H101" s="15" t="s">
        <v>126</v>
      </c>
      <c r="I101" s="14" t="s">
        <v>252</v>
      </c>
      <c r="J101" s="16">
        <v>30</v>
      </c>
    </row>
    <row r="102" spans="2:10" ht="18" customHeight="1" thickBot="1">
      <c r="B102" s="14">
        <v>98</v>
      </c>
      <c r="C102" s="15" t="s">
        <v>265</v>
      </c>
      <c r="D102" s="15" t="s">
        <v>67</v>
      </c>
      <c r="E102" s="15" t="s">
        <v>264</v>
      </c>
      <c r="F102" s="14" t="s">
        <v>154</v>
      </c>
      <c r="G102" s="15" t="s">
        <v>155</v>
      </c>
      <c r="H102" s="15" t="s">
        <v>126</v>
      </c>
      <c r="I102" s="14" t="s">
        <v>252</v>
      </c>
      <c r="J102" s="16">
        <v>30</v>
      </c>
    </row>
    <row r="103" spans="2:10" ht="18" customHeight="1" thickBot="1">
      <c r="B103" s="14">
        <v>99</v>
      </c>
      <c r="C103" s="15" t="s">
        <v>266</v>
      </c>
      <c r="D103" s="15" t="s">
        <v>67</v>
      </c>
      <c r="E103" s="15" t="s">
        <v>250</v>
      </c>
      <c r="F103" s="14" t="s">
        <v>195</v>
      </c>
      <c r="G103" s="15" t="s">
        <v>251</v>
      </c>
      <c r="H103" s="15" t="s">
        <v>126</v>
      </c>
      <c r="I103" s="14" t="s">
        <v>252</v>
      </c>
      <c r="J103" s="16">
        <v>44</v>
      </c>
    </row>
    <row r="104" spans="2:10" ht="18" customHeight="1" thickBot="1">
      <c r="B104" s="14">
        <v>100</v>
      </c>
      <c r="C104" s="15" t="s">
        <v>267</v>
      </c>
      <c r="D104" s="15" t="s">
        <v>67</v>
      </c>
      <c r="E104" s="15" t="s">
        <v>250</v>
      </c>
      <c r="F104" s="14" t="s">
        <v>195</v>
      </c>
      <c r="G104" s="15" t="s">
        <v>251</v>
      </c>
      <c r="H104" s="15" t="s">
        <v>126</v>
      </c>
      <c r="I104" s="14" t="s">
        <v>252</v>
      </c>
      <c r="J104" s="16">
        <v>44</v>
      </c>
    </row>
    <row r="105" spans="2:10" ht="18" customHeight="1" thickBot="1">
      <c r="B105" s="14">
        <v>101</v>
      </c>
      <c r="C105" s="15" t="s">
        <v>268</v>
      </c>
      <c r="D105" s="15" t="s">
        <v>97</v>
      </c>
      <c r="E105" s="15" t="s">
        <v>269</v>
      </c>
      <c r="F105" s="14" t="s">
        <v>21</v>
      </c>
      <c r="G105" s="15" t="s">
        <v>217</v>
      </c>
      <c r="H105" s="15" t="s">
        <v>208</v>
      </c>
      <c r="I105" s="14" t="s">
        <v>252</v>
      </c>
      <c r="J105" s="16">
        <v>160</v>
      </c>
    </row>
    <row r="106" spans="2:10" ht="18" customHeight="1" thickBot="1">
      <c r="B106" s="14">
        <v>102</v>
      </c>
      <c r="C106" s="15" t="s">
        <v>270</v>
      </c>
      <c r="D106" s="15" t="s">
        <v>97</v>
      </c>
      <c r="E106" s="15" t="s">
        <v>269</v>
      </c>
      <c r="F106" s="14" t="s">
        <v>21</v>
      </c>
      <c r="G106" s="15" t="s">
        <v>217</v>
      </c>
      <c r="H106" s="15" t="s">
        <v>208</v>
      </c>
      <c r="I106" s="14" t="s">
        <v>252</v>
      </c>
      <c r="J106" s="16">
        <v>160</v>
      </c>
    </row>
    <row r="107" spans="2:10" ht="18" customHeight="1" thickBot="1">
      <c r="B107" s="14">
        <v>103</v>
      </c>
      <c r="C107" s="15" t="s">
        <v>271</v>
      </c>
      <c r="D107" s="15" t="s">
        <v>67</v>
      </c>
      <c r="E107" s="15" t="s">
        <v>250</v>
      </c>
      <c r="F107" s="14" t="s">
        <v>195</v>
      </c>
      <c r="G107" s="15" t="s">
        <v>251</v>
      </c>
      <c r="H107" s="15" t="s">
        <v>126</v>
      </c>
      <c r="I107" s="14" t="s">
        <v>252</v>
      </c>
      <c r="J107" s="16">
        <v>14</v>
      </c>
    </row>
    <row r="108" spans="2:10" ht="18" customHeight="1" thickBot="1">
      <c r="B108" s="14">
        <v>104</v>
      </c>
      <c r="C108" s="15" t="s">
        <v>272</v>
      </c>
      <c r="D108" s="15" t="s">
        <v>67</v>
      </c>
      <c r="E108" s="15" t="s">
        <v>250</v>
      </c>
      <c r="F108" s="14" t="s">
        <v>195</v>
      </c>
      <c r="G108" s="15" t="s">
        <v>251</v>
      </c>
      <c r="H108" s="15" t="s">
        <v>126</v>
      </c>
      <c r="I108" s="14" t="s">
        <v>252</v>
      </c>
      <c r="J108" s="16">
        <v>14</v>
      </c>
    </row>
    <row r="109" spans="2:10" ht="18" customHeight="1" thickBot="1">
      <c r="B109" s="14">
        <v>105</v>
      </c>
      <c r="C109" s="15" t="s">
        <v>273</v>
      </c>
      <c r="D109" s="15" t="s">
        <v>67</v>
      </c>
      <c r="E109" s="15" t="s">
        <v>255</v>
      </c>
      <c r="F109" s="14" t="s">
        <v>195</v>
      </c>
      <c r="G109" s="15" t="s">
        <v>256</v>
      </c>
      <c r="H109" s="15" t="s">
        <v>126</v>
      </c>
      <c r="I109" s="14" t="s">
        <v>252</v>
      </c>
      <c r="J109" s="16">
        <v>14</v>
      </c>
    </row>
    <row r="110" spans="2:10" ht="18" customHeight="1" thickBot="1">
      <c r="B110" s="14">
        <v>106</v>
      </c>
      <c r="C110" s="15" t="s">
        <v>274</v>
      </c>
      <c r="D110" s="15" t="s">
        <v>67</v>
      </c>
      <c r="E110" s="15" t="s">
        <v>255</v>
      </c>
      <c r="F110" s="14" t="s">
        <v>195</v>
      </c>
      <c r="G110" s="15" t="s">
        <v>256</v>
      </c>
      <c r="H110" s="15" t="s">
        <v>126</v>
      </c>
      <c r="I110" s="14" t="s">
        <v>252</v>
      </c>
      <c r="J110" s="16">
        <v>14</v>
      </c>
    </row>
    <row r="111" spans="2:10" ht="18" customHeight="1" thickBot="1">
      <c r="B111" s="14">
        <v>107</v>
      </c>
      <c r="C111" s="15" t="s">
        <v>275</v>
      </c>
      <c r="D111" s="15" t="s">
        <v>52</v>
      </c>
      <c r="E111" s="15" t="s">
        <v>153</v>
      </c>
      <c r="F111" s="14" t="s">
        <v>154</v>
      </c>
      <c r="G111" s="15" t="s">
        <v>155</v>
      </c>
      <c r="H111" s="15" t="s">
        <v>126</v>
      </c>
      <c r="I111" s="14" t="s">
        <v>252</v>
      </c>
      <c r="J111" s="16">
        <v>220</v>
      </c>
    </row>
    <row r="112" spans="2:10" ht="18" customHeight="1" thickBot="1">
      <c r="B112" s="14">
        <v>108</v>
      </c>
      <c r="C112" s="15" t="s">
        <v>276</v>
      </c>
      <c r="D112" s="15" t="s">
        <v>67</v>
      </c>
      <c r="E112" s="15" t="s">
        <v>277</v>
      </c>
      <c r="F112" s="14" t="s">
        <v>69</v>
      </c>
      <c r="G112" s="15" t="s">
        <v>278</v>
      </c>
      <c r="H112" s="15" t="s">
        <v>71</v>
      </c>
      <c r="I112" s="14" t="s">
        <v>279</v>
      </c>
      <c r="J112" s="16">
        <v>33.22</v>
      </c>
    </row>
    <row r="113" spans="2:10" ht="18" customHeight="1" thickBot="1">
      <c r="B113" s="14">
        <v>109</v>
      </c>
      <c r="C113" s="15" t="s">
        <v>280</v>
      </c>
      <c r="D113" s="15" t="s">
        <v>67</v>
      </c>
      <c r="E113" s="15" t="s">
        <v>281</v>
      </c>
      <c r="F113" s="14" t="s">
        <v>124</v>
      </c>
      <c r="G113" s="15" t="s">
        <v>125</v>
      </c>
      <c r="H113" s="15" t="s">
        <v>126</v>
      </c>
      <c r="I113" s="14" t="s">
        <v>279</v>
      </c>
      <c r="J113" s="16">
        <v>14</v>
      </c>
    </row>
    <row r="114" spans="2:10" ht="18" customHeight="1" thickBot="1">
      <c r="B114" s="14">
        <v>110</v>
      </c>
      <c r="C114" s="15" t="s">
        <v>282</v>
      </c>
      <c r="D114" s="15" t="s">
        <v>67</v>
      </c>
      <c r="E114" s="15" t="s">
        <v>281</v>
      </c>
      <c r="F114" s="14" t="s">
        <v>124</v>
      </c>
      <c r="G114" s="15" t="s">
        <v>125</v>
      </c>
      <c r="H114" s="15" t="s">
        <v>126</v>
      </c>
      <c r="I114" s="14" t="s">
        <v>279</v>
      </c>
      <c r="J114" s="16">
        <v>16</v>
      </c>
    </row>
    <row r="115" spans="2:10" ht="18" customHeight="1" thickBot="1">
      <c r="B115" s="14">
        <v>111</v>
      </c>
      <c r="C115" s="15" t="s">
        <v>283</v>
      </c>
      <c r="D115" s="15" t="s">
        <v>67</v>
      </c>
      <c r="E115" s="15" t="s">
        <v>281</v>
      </c>
      <c r="F115" s="14" t="s">
        <v>124</v>
      </c>
      <c r="G115" s="15" t="s">
        <v>125</v>
      </c>
      <c r="H115" s="15" t="s">
        <v>126</v>
      </c>
      <c r="I115" s="14" t="s">
        <v>279</v>
      </c>
      <c r="J115" s="16">
        <v>17</v>
      </c>
    </row>
    <row r="116" spans="2:10" ht="18" customHeight="1" thickBot="1">
      <c r="B116" s="14">
        <v>112</v>
      </c>
      <c r="C116" s="15" t="s">
        <v>284</v>
      </c>
      <c r="D116" s="15" t="s">
        <v>67</v>
      </c>
      <c r="E116" s="15" t="s">
        <v>68</v>
      </c>
      <c r="F116" s="14" t="s">
        <v>69</v>
      </c>
      <c r="G116" s="15" t="s">
        <v>70</v>
      </c>
      <c r="H116" s="15" t="s">
        <v>71</v>
      </c>
      <c r="I116" s="14" t="s">
        <v>279</v>
      </c>
      <c r="J116" s="16">
        <v>27.43</v>
      </c>
    </row>
    <row r="117" spans="2:10" ht="18" customHeight="1" thickBot="1">
      <c r="B117" s="14">
        <v>113</v>
      </c>
      <c r="C117" s="15" t="s">
        <v>285</v>
      </c>
      <c r="D117" s="15" t="s">
        <v>52</v>
      </c>
      <c r="E117" s="15" t="s">
        <v>286</v>
      </c>
      <c r="F117" s="14" t="s">
        <v>86</v>
      </c>
      <c r="G117" s="15" t="s">
        <v>175</v>
      </c>
      <c r="H117" s="15" t="s">
        <v>88</v>
      </c>
      <c r="I117" s="14" t="s">
        <v>279</v>
      </c>
      <c r="J117" s="16">
        <v>231.8</v>
      </c>
    </row>
    <row r="118" spans="2:10" ht="18" customHeight="1" thickBot="1">
      <c r="B118" s="14">
        <v>114</v>
      </c>
      <c r="C118" s="15" t="s">
        <v>287</v>
      </c>
      <c r="D118" s="15" t="s">
        <v>97</v>
      </c>
      <c r="E118" s="15" t="s">
        <v>264</v>
      </c>
      <c r="F118" s="14" t="s">
        <v>154</v>
      </c>
      <c r="G118" s="15" t="s">
        <v>155</v>
      </c>
      <c r="H118" s="15" t="s">
        <v>126</v>
      </c>
      <c r="I118" s="14" t="s">
        <v>279</v>
      </c>
      <c r="J118" s="16">
        <v>84</v>
      </c>
    </row>
    <row r="119" spans="2:10" ht="18" customHeight="1" thickBot="1">
      <c r="B119" s="14">
        <v>115</v>
      </c>
      <c r="C119" s="15" t="s">
        <v>288</v>
      </c>
      <c r="D119" s="15" t="s">
        <v>97</v>
      </c>
      <c r="E119" s="15" t="s">
        <v>264</v>
      </c>
      <c r="F119" s="14" t="s">
        <v>154</v>
      </c>
      <c r="G119" s="15" t="s">
        <v>155</v>
      </c>
      <c r="H119" s="15" t="s">
        <v>126</v>
      </c>
      <c r="I119" s="14" t="s">
        <v>279</v>
      </c>
      <c r="J119" s="16">
        <v>84</v>
      </c>
    </row>
    <row r="120" spans="2:10" ht="18" customHeight="1" thickBot="1">
      <c r="B120" s="14">
        <v>116</v>
      </c>
      <c r="C120" s="15" t="s">
        <v>289</v>
      </c>
      <c r="D120" s="15" t="s">
        <v>103</v>
      </c>
      <c r="E120" s="15" t="s">
        <v>277</v>
      </c>
      <c r="F120" s="14" t="s">
        <v>69</v>
      </c>
      <c r="G120" s="15" t="s">
        <v>278</v>
      </c>
      <c r="H120" s="15" t="s">
        <v>71</v>
      </c>
      <c r="I120" s="14" t="s">
        <v>279</v>
      </c>
      <c r="J120" s="16">
        <v>31.5</v>
      </c>
    </row>
    <row r="121" spans="2:10" ht="18" customHeight="1" thickBot="1">
      <c r="B121" s="14">
        <v>117</v>
      </c>
      <c r="C121" s="15" t="s">
        <v>290</v>
      </c>
      <c r="D121" s="15" t="s">
        <v>97</v>
      </c>
      <c r="E121" s="15" t="s">
        <v>291</v>
      </c>
      <c r="F121" s="14" t="s">
        <v>292</v>
      </c>
      <c r="G121" s="15" t="s">
        <v>293</v>
      </c>
      <c r="H121" s="15" t="s">
        <v>107</v>
      </c>
      <c r="I121" s="14" t="s">
        <v>279</v>
      </c>
      <c r="J121" s="16">
        <v>350</v>
      </c>
    </row>
    <row r="122" spans="2:10" ht="18" customHeight="1" thickBot="1">
      <c r="B122" s="14">
        <v>118</v>
      </c>
      <c r="C122" s="15" t="s">
        <v>294</v>
      </c>
      <c r="D122" s="15" t="s">
        <v>97</v>
      </c>
      <c r="E122" s="15" t="s">
        <v>291</v>
      </c>
      <c r="F122" s="14" t="s">
        <v>292</v>
      </c>
      <c r="G122" s="15" t="s">
        <v>293</v>
      </c>
      <c r="H122" s="15" t="s">
        <v>107</v>
      </c>
      <c r="I122" s="14" t="s">
        <v>279</v>
      </c>
      <c r="J122" s="16">
        <v>350</v>
      </c>
    </row>
    <row r="123" spans="2:10" ht="18" customHeight="1" thickBot="1">
      <c r="B123" s="14">
        <v>119</v>
      </c>
      <c r="C123" s="15" t="s">
        <v>295</v>
      </c>
      <c r="D123" s="15" t="s">
        <v>97</v>
      </c>
      <c r="E123" s="15" t="s">
        <v>296</v>
      </c>
      <c r="F123" s="14" t="s">
        <v>69</v>
      </c>
      <c r="G123" s="15" t="s">
        <v>297</v>
      </c>
      <c r="H123" s="15" t="s">
        <v>71</v>
      </c>
      <c r="I123" s="14" t="s">
        <v>298</v>
      </c>
      <c r="J123" s="16">
        <v>37.5</v>
      </c>
    </row>
    <row r="124" spans="2:10" ht="18" customHeight="1" thickBot="1">
      <c r="B124" s="14">
        <v>120</v>
      </c>
      <c r="C124" s="15" t="s">
        <v>299</v>
      </c>
      <c r="D124" s="15" t="s">
        <v>97</v>
      </c>
      <c r="E124" s="15" t="s">
        <v>296</v>
      </c>
      <c r="F124" s="14" t="s">
        <v>69</v>
      </c>
      <c r="G124" s="15" t="s">
        <v>297</v>
      </c>
      <c r="H124" s="15" t="s">
        <v>71</v>
      </c>
      <c r="I124" s="14" t="s">
        <v>298</v>
      </c>
      <c r="J124" s="16">
        <v>37.5</v>
      </c>
    </row>
    <row r="125" spans="2:10" ht="18" customHeight="1" thickBot="1">
      <c r="B125" s="14">
        <v>121</v>
      </c>
      <c r="C125" s="15" t="s">
        <v>300</v>
      </c>
      <c r="D125" s="15" t="s">
        <v>97</v>
      </c>
      <c r="E125" s="15" t="s">
        <v>296</v>
      </c>
      <c r="F125" s="14" t="s">
        <v>69</v>
      </c>
      <c r="G125" s="15" t="s">
        <v>297</v>
      </c>
      <c r="H125" s="15" t="s">
        <v>71</v>
      </c>
      <c r="I125" s="14" t="s">
        <v>298</v>
      </c>
      <c r="J125" s="16">
        <v>37.5</v>
      </c>
    </row>
    <row r="126" spans="2:10" ht="18" customHeight="1" thickBot="1">
      <c r="B126" s="14">
        <v>122</v>
      </c>
      <c r="C126" s="15" t="s">
        <v>301</v>
      </c>
      <c r="D126" s="15" t="s">
        <v>67</v>
      </c>
      <c r="E126" s="15" t="s">
        <v>216</v>
      </c>
      <c r="F126" s="14" t="s">
        <v>21</v>
      </c>
      <c r="G126" s="15" t="s">
        <v>217</v>
      </c>
      <c r="H126" s="15" t="s">
        <v>208</v>
      </c>
      <c r="I126" s="14" t="s">
        <v>298</v>
      </c>
      <c r="J126" s="16">
        <v>150</v>
      </c>
    </row>
    <row r="127" spans="2:10" ht="18" customHeight="1" thickBot="1">
      <c r="B127" s="14">
        <v>123</v>
      </c>
      <c r="C127" s="15" t="s">
        <v>302</v>
      </c>
      <c r="D127" s="15" t="s">
        <v>97</v>
      </c>
      <c r="E127" s="15" t="s">
        <v>203</v>
      </c>
      <c r="F127" s="14" t="s">
        <v>81</v>
      </c>
      <c r="G127" s="15" t="s">
        <v>204</v>
      </c>
      <c r="H127" s="15" t="s">
        <v>83</v>
      </c>
      <c r="I127" s="14" t="s">
        <v>298</v>
      </c>
      <c r="J127" s="16">
        <v>300</v>
      </c>
    </row>
    <row r="128" spans="2:10" ht="18" customHeight="1" thickBot="1">
      <c r="B128" s="14">
        <v>124</v>
      </c>
      <c r="C128" s="15" t="s">
        <v>303</v>
      </c>
      <c r="D128" s="15" t="s">
        <v>67</v>
      </c>
      <c r="E128" s="15" t="s">
        <v>296</v>
      </c>
      <c r="F128" s="14" t="s">
        <v>69</v>
      </c>
      <c r="G128" s="15" t="s">
        <v>297</v>
      </c>
      <c r="H128" s="15" t="s">
        <v>71</v>
      </c>
      <c r="I128" s="14" t="s">
        <v>298</v>
      </c>
      <c r="J128" s="16">
        <v>18</v>
      </c>
    </row>
    <row r="129" spans="2:10" ht="18" customHeight="1" thickBot="1">
      <c r="B129" s="14">
        <v>125</v>
      </c>
      <c r="C129" s="15" t="s">
        <v>304</v>
      </c>
      <c r="D129" s="15" t="s">
        <v>67</v>
      </c>
      <c r="E129" s="15" t="s">
        <v>296</v>
      </c>
      <c r="F129" s="14" t="s">
        <v>69</v>
      </c>
      <c r="G129" s="15" t="s">
        <v>297</v>
      </c>
      <c r="H129" s="15" t="s">
        <v>71</v>
      </c>
      <c r="I129" s="14" t="s">
        <v>298</v>
      </c>
      <c r="J129" s="16">
        <v>25</v>
      </c>
    </row>
    <row r="130" spans="2:10" ht="18" customHeight="1" thickBot="1">
      <c r="B130" s="14">
        <v>126</v>
      </c>
      <c r="C130" s="15" t="s">
        <v>305</v>
      </c>
      <c r="D130" s="15" t="s">
        <v>97</v>
      </c>
      <c r="E130" s="15" t="s">
        <v>306</v>
      </c>
      <c r="F130" s="14" t="s">
        <v>307</v>
      </c>
      <c r="G130" s="15" t="s">
        <v>143</v>
      </c>
      <c r="H130" s="15" t="s">
        <v>144</v>
      </c>
      <c r="I130" s="14" t="s">
        <v>298</v>
      </c>
      <c r="J130" s="16">
        <v>322.8</v>
      </c>
    </row>
    <row r="131" spans="2:10" ht="18" customHeight="1" thickBot="1">
      <c r="B131" s="14">
        <v>127</v>
      </c>
      <c r="C131" s="15" t="s">
        <v>308</v>
      </c>
      <c r="D131" s="15" t="s">
        <v>97</v>
      </c>
      <c r="E131" s="15" t="s">
        <v>306</v>
      </c>
      <c r="F131" s="14" t="s">
        <v>307</v>
      </c>
      <c r="G131" s="15" t="s">
        <v>143</v>
      </c>
      <c r="H131" s="15" t="s">
        <v>144</v>
      </c>
      <c r="I131" s="14" t="s">
        <v>298</v>
      </c>
      <c r="J131" s="16">
        <v>322.8</v>
      </c>
    </row>
    <row r="132" spans="2:10" ht="18" customHeight="1" thickBot="1">
      <c r="B132" s="14">
        <v>128</v>
      </c>
      <c r="C132" s="15" t="s">
        <v>309</v>
      </c>
      <c r="D132" s="15" t="s">
        <v>97</v>
      </c>
      <c r="E132" s="15" t="s">
        <v>306</v>
      </c>
      <c r="F132" s="14" t="s">
        <v>307</v>
      </c>
      <c r="G132" s="15" t="s">
        <v>143</v>
      </c>
      <c r="H132" s="15" t="s">
        <v>144</v>
      </c>
      <c r="I132" s="14" t="s">
        <v>310</v>
      </c>
      <c r="J132" s="16">
        <v>300</v>
      </c>
    </row>
    <row r="133" spans="2:10" ht="18" customHeight="1" thickBot="1">
      <c r="B133" s="14">
        <v>129</v>
      </c>
      <c r="C133" s="15" t="s">
        <v>311</v>
      </c>
      <c r="D133" s="15" t="s">
        <v>103</v>
      </c>
      <c r="E133" s="15" t="s">
        <v>277</v>
      </c>
      <c r="F133" s="14" t="s">
        <v>69</v>
      </c>
      <c r="G133" s="15" t="s">
        <v>278</v>
      </c>
      <c r="H133" s="15" t="s">
        <v>71</v>
      </c>
      <c r="I133" s="14" t="s">
        <v>310</v>
      </c>
      <c r="J133" s="16">
        <v>31.5</v>
      </c>
    </row>
    <row r="134" spans="2:10" ht="18" customHeight="1" thickBot="1">
      <c r="B134" s="14">
        <v>130</v>
      </c>
      <c r="C134" s="15" t="s">
        <v>312</v>
      </c>
      <c r="D134" s="15" t="s">
        <v>97</v>
      </c>
      <c r="E134" s="15" t="s">
        <v>306</v>
      </c>
      <c r="F134" s="14" t="s">
        <v>307</v>
      </c>
      <c r="G134" s="15" t="s">
        <v>143</v>
      </c>
      <c r="H134" s="15" t="s">
        <v>144</v>
      </c>
      <c r="I134" s="14" t="s">
        <v>310</v>
      </c>
      <c r="J134" s="16">
        <v>330</v>
      </c>
    </row>
    <row r="135" spans="2:10" ht="18" customHeight="1" thickBot="1">
      <c r="B135" s="14">
        <v>131</v>
      </c>
      <c r="C135" s="15" t="s">
        <v>313</v>
      </c>
      <c r="D135" s="15" t="s">
        <v>97</v>
      </c>
      <c r="E135" s="15" t="s">
        <v>306</v>
      </c>
      <c r="F135" s="14" t="s">
        <v>307</v>
      </c>
      <c r="G135" s="15" t="s">
        <v>143</v>
      </c>
      <c r="H135" s="15" t="s">
        <v>144</v>
      </c>
      <c r="I135" s="14" t="s">
        <v>310</v>
      </c>
      <c r="J135" s="16">
        <v>330</v>
      </c>
    </row>
    <row r="136" spans="2:10" ht="18" customHeight="1" thickBot="1">
      <c r="B136" s="14">
        <v>132</v>
      </c>
      <c r="C136" s="15" t="s">
        <v>314</v>
      </c>
      <c r="D136" s="15" t="s">
        <v>97</v>
      </c>
      <c r="E136" s="15" t="s">
        <v>241</v>
      </c>
      <c r="F136" s="14" t="s">
        <v>213</v>
      </c>
      <c r="G136" s="15" t="s">
        <v>242</v>
      </c>
      <c r="H136" s="15" t="s">
        <v>95</v>
      </c>
      <c r="I136" s="14" t="s">
        <v>315</v>
      </c>
      <c r="J136" s="16">
        <v>340</v>
      </c>
    </row>
    <row r="137" spans="2:10" ht="18" customHeight="1" thickBot="1">
      <c r="B137" s="14">
        <v>133</v>
      </c>
      <c r="C137" s="15" t="s">
        <v>316</v>
      </c>
      <c r="D137" s="15" t="s">
        <v>317</v>
      </c>
      <c r="E137" s="15" t="s">
        <v>318</v>
      </c>
      <c r="F137" s="14" t="s">
        <v>75</v>
      </c>
      <c r="G137" s="15" t="s">
        <v>138</v>
      </c>
      <c r="H137" s="15" t="s">
        <v>95</v>
      </c>
      <c r="I137" s="14" t="s">
        <v>319</v>
      </c>
      <c r="J137" s="16">
        <v>350</v>
      </c>
    </row>
    <row r="138" spans="2:10" ht="18" customHeight="1" thickBot="1">
      <c r="B138" s="14">
        <v>134</v>
      </c>
      <c r="C138" s="15" t="s">
        <v>320</v>
      </c>
      <c r="D138" s="15" t="s">
        <v>317</v>
      </c>
      <c r="E138" s="15" t="s">
        <v>318</v>
      </c>
      <c r="F138" s="14" t="s">
        <v>75</v>
      </c>
      <c r="G138" s="15" t="s">
        <v>138</v>
      </c>
      <c r="H138" s="15" t="s">
        <v>95</v>
      </c>
      <c r="I138" s="14" t="s">
        <v>319</v>
      </c>
      <c r="J138" s="16">
        <v>350</v>
      </c>
    </row>
    <row r="139" spans="2:10" ht="18" customHeight="1" thickBot="1">
      <c r="B139" s="14">
        <v>135</v>
      </c>
      <c r="C139" s="15" t="s">
        <v>321</v>
      </c>
      <c r="D139" s="15" t="s">
        <v>52</v>
      </c>
      <c r="E139" s="15" t="s">
        <v>112</v>
      </c>
      <c r="F139" s="14" t="s">
        <v>113</v>
      </c>
      <c r="G139" s="15" t="s">
        <v>114</v>
      </c>
      <c r="H139" s="15" t="s">
        <v>77</v>
      </c>
      <c r="I139" s="14" t="s">
        <v>319</v>
      </c>
      <c r="J139" s="16">
        <v>521.76</v>
      </c>
    </row>
    <row r="140" spans="2:10" ht="18" customHeight="1" thickBot="1">
      <c r="B140" s="14">
        <v>136</v>
      </c>
      <c r="C140" s="15" t="s">
        <v>322</v>
      </c>
      <c r="D140" s="15" t="s">
        <v>317</v>
      </c>
      <c r="E140" s="15" t="s">
        <v>318</v>
      </c>
      <c r="F140" s="14" t="s">
        <v>75</v>
      </c>
      <c r="G140" s="15" t="s">
        <v>138</v>
      </c>
      <c r="H140" s="15" t="s">
        <v>95</v>
      </c>
      <c r="I140" s="14" t="s">
        <v>323</v>
      </c>
      <c r="J140" s="16">
        <v>350</v>
      </c>
    </row>
    <row r="141" spans="2:10" ht="18" customHeight="1" thickBot="1">
      <c r="B141" s="14">
        <v>137</v>
      </c>
      <c r="C141" s="15" t="s">
        <v>324</v>
      </c>
      <c r="D141" s="15" t="s">
        <v>317</v>
      </c>
      <c r="E141" s="15" t="s">
        <v>318</v>
      </c>
      <c r="F141" s="14" t="s">
        <v>75</v>
      </c>
      <c r="G141" s="15" t="s">
        <v>138</v>
      </c>
      <c r="H141" s="15" t="s">
        <v>95</v>
      </c>
      <c r="I141" s="14" t="s">
        <v>323</v>
      </c>
      <c r="J141" s="16">
        <v>350</v>
      </c>
    </row>
    <row r="142" spans="2:10" ht="18" customHeight="1" thickBot="1">
      <c r="B142" s="19" t="s">
        <v>325</v>
      </c>
      <c r="C142" s="20"/>
      <c r="D142" s="20"/>
      <c r="E142" s="20"/>
      <c r="F142" s="20"/>
      <c r="G142" s="20"/>
      <c r="H142" s="20"/>
      <c r="I142" s="21"/>
      <c r="J142" s="17">
        <v>15814.279999999997</v>
      </c>
    </row>
    <row r="143" spans="2:10" ht="15" customHeight="1">
      <c r="B143" s="22" t="s">
        <v>326</v>
      </c>
      <c r="C143" s="23"/>
      <c r="D143" s="23"/>
      <c r="E143" s="23"/>
      <c r="F143" s="23"/>
      <c r="G143" s="23"/>
      <c r="H143" s="23"/>
      <c r="I143" s="23"/>
      <c r="J143" s="23"/>
    </row>
    <row r="144" spans="2:10" ht="15" customHeight="1">
      <c r="B144" s="22" t="s">
        <v>327</v>
      </c>
      <c r="C144" s="23"/>
      <c r="D144" s="23"/>
      <c r="E144" s="23"/>
      <c r="F144" s="23"/>
      <c r="G144" s="23"/>
      <c r="H144" s="23"/>
      <c r="I144" s="23"/>
      <c r="J144" s="23"/>
    </row>
  </sheetData>
  <mergeCells count="4">
    <mergeCell ref="B2:J2"/>
    <mergeCell ref="B142:I142"/>
    <mergeCell ref="B143:J143"/>
    <mergeCell ref="B144:J144"/>
  </mergeCells>
  <conditionalFormatting sqref="B142">
    <cfRule type="duplicateValues" dxfId="10" priority="11"/>
  </conditionalFormatting>
  <conditionalFormatting sqref="J142">
    <cfRule type="duplicateValues" dxfId="9" priority="10"/>
  </conditionalFormatting>
  <conditionalFormatting sqref="H4">
    <cfRule type="duplicateValues" dxfId="8" priority="9"/>
  </conditionalFormatting>
  <conditionalFormatting sqref="G4">
    <cfRule type="duplicateValues" dxfId="7" priority="8"/>
  </conditionalFormatting>
  <conditionalFormatting sqref="C4">
    <cfRule type="duplicateValues" dxfId="6" priority="7"/>
  </conditionalFormatting>
  <conditionalFormatting sqref="D4">
    <cfRule type="duplicateValues" dxfId="5" priority="6"/>
  </conditionalFormatting>
  <conditionalFormatting sqref="J4">
    <cfRule type="duplicateValues" dxfId="4" priority="5"/>
  </conditionalFormatting>
  <conditionalFormatting sqref="B4">
    <cfRule type="duplicateValues" dxfId="3" priority="4"/>
  </conditionalFormatting>
  <conditionalFormatting sqref="E4">
    <cfRule type="duplicateValues" dxfId="2" priority="3"/>
  </conditionalFormatting>
  <conditionalFormatting sqref="F4">
    <cfRule type="duplicateValues" dxfId="1" priority="2"/>
  </conditionalFormatting>
  <conditionalFormatting sqref="I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0" sqref="B20"/>
    </sheetView>
  </sheetViews>
  <sheetFormatPr defaultColWidth="10.90625" defaultRowHeight="14.5"/>
  <cols>
    <col min="1" max="1" width="34.7265625" bestFit="1" customWidth="1"/>
    <col min="2" max="2" width="28.7265625" customWidth="1"/>
    <col min="3" max="3" width="19.453125" bestFit="1" customWidth="1"/>
  </cols>
  <sheetData>
    <row r="1" spans="1:3">
      <c r="A1" s="1" t="s">
        <v>9</v>
      </c>
      <c r="B1" s="1" t="s">
        <v>329</v>
      </c>
      <c r="C1" s="1" t="s">
        <v>20</v>
      </c>
    </row>
    <row r="2" spans="1:3">
      <c r="A2" s="2" t="s">
        <v>26</v>
      </c>
      <c r="B2" s="2" t="s">
        <v>330</v>
      </c>
      <c r="C2" s="3" t="s">
        <v>28</v>
      </c>
    </row>
    <row r="3" spans="1:3">
      <c r="A3" s="2" t="s">
        <v>17</v>
      </c>
      <c r="B3" s="2" t="s">
        <v>330</v>
      </c>
      <c r="C3" s="2" t="s">
        <v>2</v>
      </c>
    </row>
    <row r="4" spans="1:3">
      <c r="A4" s="2" t="s">
        <v>14</v>
      </c>
      <c r="B4" s="2" t="s">
        <v>317</v>
      </c>
      <c r="C4" s="2" t="s">
        <v>0</v>
      </c>
    </row>
    <row r="5" spans="1:3">
      <c r="A5" s="2" t="s">
        <v>16</v>
      </c>
      <c r="B5" s="2" t="s">
        <v>130</v>
      </c>
      <c r="C5" s="2" t="s">
        <v>7</v>
      </c>
    </row>
    <row r="6" spans="1:3">
      <c r="A6" s="2" t="s">
        <v>18</v>
      </c>
      <c r="B6" s="2" t="s">
        <v>330</v>
      </c>
      <c r="C6" s="2" t="s">
        <v>36</v>
      </c>
    </row>
    <row r="7" spans="1:3">
      <c r="A7" s="2" t="s">
        <v>15</v>
      </c>
      <c r="B7" s="2" t="s">
        <v>331</v>
      </c>
      <c r="C7" s="2" t="s">
        <v>34</v>
      </c>
    </row>
    <row r="8" spans="1:3">
      <c r="A8" s="2" t="s">
        <v>19</v>
      </c>
      <c r="B8" s="2" t="s">
        <v>330</v>
      </c>
      <c r="C8" s="2" t="s">
        <v>36</v>
      </c>
    </row>
    <row r="9" spans="1:3">
      <c r="A9" s="4" t="s">
        <v>30</v>
      </c>
      <c r="B9" s="2" t="s">
        <v>103</v>
      </c>
      <c r="C9" s="2" t="s">
        <v>35</v>
      </c>
    </row>
    <row r="10" spans="1:3">
      <c r="A10" s="4" t="s">
        <v>29</v>
      </c>
      <c r="B10" s="2" t="s">
        <v>67</v>
      </c>
      <c r="C10" s="2" t="s">
        <v>36</v>
      </c>
    </row>
    <row r="11" spans="1:3">
      <c r="A11" s="2" t="s">
        <v>13</v>
      </c>
      <c r="B11" s="2" t="s">
        <v>330</v>
      </c>
      <c r="C11" s="2" t="s">
        <v>1</v>
      </c>
    </row>
    <row r="12" spans="1:3">
      <c r="A12" s="2" t="s">
        <v>25</v>
      </c>
      <c r="B12" s="2" t="s">
        <v>330</v>
      </c>
      <c r="C12" s="2" t="s">
        <v>3</v>
      </c>
    </row>
    <row r="13" spans="1:3">
      <c r="A13" s="2" t="s">
        <v>12</v>
      </c>
      <c r="B13" s="2" t="s">
        <v>330</v>
      </c>
      <c r="C13" s="2" t="s">
        <v>28</v>
      </c>
    </row>
    <row r="14" spans="1:3">
      <c r="A14" s="2" t="s">
        <v>11</v>
      </c>
      <c r="B14" s="2" t="s">
        <v>330</v>
      </c>
      <c r="C14" s="2" t="s">
        <v>36</v>
      </c>
    </row>
    <row r="15" spans="1:3">
      <c r="A15" s="2" t="s">
        <v>24</v>
      </c>
      <c r="B15" s="2" t="s">
        <v>330</v>
      </c>
      <c r="C15" s="2" t="s">
        <v>6</v>
      </c>
    </row>
    <row r="16" spans="1:3">
      <c r="A16" s="2" t="s">
        <v>10</v>
      </c>
      <c r="B16" s="2" t="s">
        <v>332</v>
      </c>
      <c r="C16" s="2" t="s">
        <v>35</v>
      </c>
    </row>
    <row r="17" spans="1:3">
      <c r="A17" s="2" t="s">
        <v>23</v>
      </c>
      <c r="B17" s="2" t="s">
        <v>330</v>
      </c>
      <c r="C17" s="2" t="s">
        <v>4</v>
      </c>
    </row>
    <row r="18" spans="1:3">
      <c r="A18" s="2" t="s">
        <v>27</v>
      </c>
      <c r="B18" s="2" t="s">
        <v>330</v>
      </c>
      <c r="C18" s="2" t="s">
        <v>5</v>
      </c>
    </row>
    <row r="19" spans="1:3">
      <c r="A19" s="2" t="s">
        <v>22</v>
      </c>
      <c r="B19" s="2" t="s">
        <v>330</v>
      </c>
      <c r="C19" s="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>
      <selection activeCell="S20" sqref="S20"/>
    </sheetView>
  </sheetViews>
  <sheetFormatPr defaultColWidth="10.90625" defaultRowHeight="14.5"/>
  <cols>
    <col min="1" max="1" width="26.81640625" bestFit="1" customWidth="1"/>
    <col min="2" max="2" width="20.7265625" bestFit="1" customWidth="1"/>
    <col min="3" max="3" width="11.81640625" bestFit="1" customWidth="1"/>
  </cols>
  <sheetData>
    <row r="1" spans="1:36">
      <c r="A1" t="s">
        <v>9</v>
      </c>
      <c r="B1" s="9" t="s">
        <v>8</v>
      </c>
      <c r="C1" s="6">
        <v>2017</v>
      </c>
      <c r="D1" s="6">
        <v>2018</v>
      </c>
      <c r="E1" s="6">
        <v>2019</v>
      </c>
      <c r="F1" s="6">
        <v>2020</v>
      </c>
      <c r="G1" s="6">
        <v>2021</v>
      </c>
      <c r="H1" s="6">
        <v>2022</v>
      </c>
      <c r="I1" s="6">
        <v>2023</v>
      </c>
      <c r="J1" s="6">
        <v>2024</v>
      </c>
      <c r="K1" s="6">
        <v>2025</v>
      </c>
      <c r="L1" s="6">
        <v>2026</v>
      </c>
      <c r="M1" s="6">
        <v>2027</v>
      </c>
      <c r="N1" s="6">
        <v>2028</v>
      </c>
      <c r="O1" s="6">
        <v>2029</v>
      </c>
      <c r="P1" s="6">
        <v>2030</v>
      </c>
      <c r="Q1" s="6">
        <v>2031</v>
      </c>
      <c r="R1" s="6">
        <v>2032</v>
      </c>
      <c r="S1" s="6">
        <v>2033</v>
      </c>
      <c r="T1" s="6">
        <v>2034</v>
      </c>
      <c r="U1" s="6">
        <v>2035</v>
      </c>
      <c r="V1" s="6">
        <v>2036</v>
      </c>
      <c r="W1" s="6">
        <v>2037</v>
      </c>
      <c r="X1" s="6">
        <v>2038</v>
      </c>
      <c r="Y1" s="6">
        <v>2039</v>
      </c>
      <c r="Z1" s="6">
        <v>2040</v>
      </c>
      <c r="AA1" s="6">
        <v>2041</v>
      </c>
      <c r="AB1" s="6">
        <v>2042</v>
      </c>
      <c r="AC1" s="6">
        <v>2043</v>
      </c>
      <c r="AD1" s="6">
        <v>2044</v>
      </c>
      <c r="AE1" s="6">
        <v>2045</v>
      </c>
      <c r="AF1" s="6">
        <v>2046</v>
      </c>
      <c r="AG1" s="6">
        <v>2047</v>
      </c>
      <c r="AH1" s="6">
        <v>2048</v>
      </c>
      <c r="AI1" s="6">
        <v>2049</v>
      </c>
      <c r="AJ1" s="6">
        <v>2050</v>
      </c>
    </row>
    <row r="2" spans="1:36">
      <c r="A2" t="s">
        <v>317</v>
      </c>
      <c r="B2" s="9" t="s">
        <v>42</v>
      </c>
      <c r="C2">
        <f>SUMIFS('2017-2029 Retirements'!$J$5:$J$141,'2017-2029 Retirements'!$D$5:$D$141,"Carboeléctrica",'2017-2029 Retirements'!$I$5:$I$141,"2017")</f>
        <v>0</v>
      </c>
      <c r="D2">
        <f>SUMIFS('2017-2029 Retirements'!$J$5:$J$141,'2017-2029 Retirements'!$D$5:$D$141,"Carboeléctrica",'2017-2029 Retirements'!$I$5:$I$141,"2018")</f>
        <v>0</v>
      </c>
      <c r="E2">
        <f>SUMIFS('2017-2029 Retirements'!$J$5:$J$141,'2017-2029 Retirements'!$D$5:$D$141,"Carboeléctrica",'2017-2029 Retirements'!$I$5:$I$141,"2019")</f>
        <v>0</v>
      </c>
      <c r="F2">
        <f>SUMIFS('2017-2029 Retirements'!$J$5:$J$141,'2017-2029 Retirements'!$D$5:$D$141,"Carboeléctrica",'2017-2029 Retirements'!$I$5:$I$141,"2020")</f>
        <v>0</v>
      </c>
      <c r="G2">
        <f>SUMIFS('2017-2029 Retirements'!$J$5:$J$141,'2017-2029 Retirements'!$D$5:$D$141,"Carboeléctrica",'2017-2029 Retirements'!$I$5:$I$141,"2021")</f>
        <v>0</v>
      </c>
      <c r="H2">
        <f>SUMIFS('2017-2029 Retirements'!$J$5:$J$141,'2017-2029 Retirements'!$D$5:$D$141,"Carboeléctrica",'2017-2029 Retirements'!$I$5:$I$141,"2022")</f>
        <v>0</v>
      </c>
      <c r="I2">
        <f>SUMIFS('2017-2029 Retirements'!$J$5:$J$141,'2017-2029 Retirements'!$D$5:$D$141,"Carboeléctrica",'2017-2029 Retirements'!$I$5:$I$141,"2023")</f>
        <v>0</v>
      </c>
      <c r="J2">
        <f>SUMIFS('2017-2029 Retirements'!$J$5:$J$141,'2017-2029 Retirements'!$D$5:$D$141,"Carboeléctrica",'2017-2029 Retirements'!$I$5:$I$141,"2024")</f>
        <v>0</v>
      </c>
      <c r="K2">
        <f>SUMIFS('2017-2029 Retirements'!$J$5:$J$141,'2017-2029 Retirements'!$D$5:$D$141,"Carboeléctrica",'2017-2029 Retirements'!$I$5:$I$141,"2025")</f>
        <v>0</v>
      </c>
      <c r="L2">
        <f>SUMIFS('2017-2029 Retirements'!$J$5:$J$141,'2017-2029 Retirements'!$D$5:$D$141,"Carboeléctrica",'2017-2029 Retirements'!$I$5:$I$141,"2026")</f>
        <v>0</v>
      </c>
      <c r="M2">
        <f>SUMIFS('2017-2029 Retirements'!$J$5:$J$141,'2017-2029 Retirements'!$D$5:$D$141,"Carboeléctrica",'2017-2029 Retirements'!$I$5:$I$141,"2027")</f>
        <v>0</v>
      </c>
      <c r="N2">
        <f>SUMIFS('2017-2029 Retirements'!$J$5:$J$141,'2017-2029 Retirements'!$D$5:$D$141,"Carboeléctrica",'2017-2029 Retirements'!$I$5:$I$141,"2028")</f>
        <v>700</v>
      </c>
      <c r="O2">
        <f>SUMIFS('2017-2029 Retirements'!$J$5:$J$141,'2017-2029 Retirements'!$D$5:$D$141,"Carboeléctrica",'2017-2029 Retirements'!$I$5:$I$141,"2029")</f>
        <v>700</v>
      </c>
    </row>
    <row r="3" spans="1:36">
      <c r="A3" t="s">
        <v>52</v>
      </c>
      <c r="B3" s="9" t="s">
        <v>34</v>
      </c>
      <c r="C3">
        <f>SUMIFS('2017-2029 Retirements'!$J$5:$J$141,'2017-2029 Retirements'!$D$5:$D$141,"Ciclo Combinado",'2017-2029 Retirements'!$I$5:$I$141,"2017")</f>
        <v>226</v>
      </c>
      <c r="D3">
        <f>SUMIFS('2017-2029 Retirements'!$J$5:$J$141,'2017-2029 Retirements'!$D$5:$D$141,"Ciclo combinado",'2017-2029 Retirements'!$I$5:$I$141,"2018")</f>
        <v>0</v>
      </c>
      <c r="E3">
        <f>SUMIFS('2017-2029 Retirements'!$J$5:$J$141,'2017-2029 Retirements'!$D$5:$D$141,"Ciclo combinado",'2017-2029 Retirements'!$I$5:$I$141,"2019")</f>
        <v>377.66</v>
      </c>
      <c r="F3">
        <f>SUMIFS('2017-2029 Retirements'!$J$5:$J$141,'2017-2029 Retirements'!$D$5:$D$141,"Ciclo combinado",'2017-2029 Retirements'!$I$5:$I$141,"2020")</f>
        <v>226</v>
      </c>
      <c r="G3">
        <f>SUMIFS('2017-2029 Retirements'!$J$5:$J$141,'2017-2029 Retirements'!$D$5:$D$141,"Ciclo combinado",'2017-2029 Retirements'!$I$5:$I$141,"2021")</f>
        <v>459.8</v>
      </c>
      <c r="H3">
        <f>SUMIFS('2017-2029 Retirements'!$J$5:$J$141,'2017-2029 Retirements'!$D$5:$D$141,"Ciclo combinado",'2017-2029 Retirements'!$I$5:$I$141,"2022")</f>
        <v>231.8</v>
      </c>
      <c r="I3">
        <f>SUMIFS('2017-2029 Retirements'!$J$5:$J$141,'2017-2029 Retirements'!$D$5:$D$141,"Ciclo combinado",'2017-2029 Retirements'!$I$5:$I$141,"2023")</f>
        <v>0</v>
      </c>
      <c r="J3">
        <f>SUMIFS('2017-2029 Retirements'!$J$5:$J$141,'2017-2029 Retirements'!$D$5:$D$141,"Ciclo combinado",'2017-2029 Retirements'!$I$5:$I$141,"2024")</f>
        <v>0</v>
      </c>
      <c r="K3">
        <f>SUMIFS('2017-2029 Retirements'!$J$5:$J$141,'2017-2029 Retirements'!$D$5:$D$141,"Ciclo combinado",'2017-2029 Retirements'!$I$5:$I$141,"2025")</f>
        <v>0</v>
      </c>
      <c r="L3">
        <f>SUMIFS('2017-2029 Retirements'!$J$5:$J$141,'2017-2029 Retirements'!$D$5:$D$141,"Ciclo combinado",'2017-2029 Retirements'!$I$5:$I$141,"2026")</f>
        <v>0</v>
      </c>
      <c r="M3">
        <f>SUMIFS('2017-2029 Retirements'!$J$5:$J$141,'2017-2029 Retirements'!$D$5:$D$141,"Ciclo combinado",'2017-2029 Retirements'!$I$5:$I$141,"2027")</f>
        <v>0</v>
      </c>
      <c r="N3">
        <f>SUMIFS('2017-2029 Retirements'!$J$5:$J$141,'2017-2029 Retirements'!$D$5:$D$141,"Ciclo combinado",'2017-2029 Retirements'!$I$5:$I$141,"2028")</f>
        <v>521.76</v>
      </c>
      <c r="O3">
        <f>SUMIFS('2017-2029 Retirements'!$J$5:$J$141,'2017-2029 Retirements'!$D$5:$D$141,"Ciclo combinado",'2017-2029 Retirements'!$I$5:$I$141,"2029")</f>
        <v>0</v>
      </c>
    </row>
    <row r="4" spans="1:36">
      <c r="A4" t="s">
        <v>330</v>
      </c>
      <c r="B4" s="9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36">
      <c r="A5" t="s">
        <v>330</v>
      </c>
      <c r="B5" s="9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36">
      <c r="A6" t="s">
        <v>330</v>
      </c>
      <c r="B6" s="9" t="s">
        <v>43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36">
      <c r="A7" t="s">
        <v>330</v>
      </c>
      <c r="B7" s="9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36">
      <c r="A8" t="s">
        <v>330</v>
      </c>
      <c r="B8" s="9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36">
      <c r="A9" t="s">
        <v>330</v>
      </c>
      <c r="B9" s="9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36">
      <c r="A10" t="s">
        <v>130</v>
      </c>
      <c r="B10" s="9" t="s">
        <v>7</v>
      </c>
      <c r="C10">
        <f>SUMIFS('2017-2029 Retirements'!$J$5:$J$141,'2017-2029 Retirements'!$D$5:$D$141,"Geotérmica",'2017-2029 Retirements'!$I$5:$I$141,"2017")</f>
        <v>15</v>
      </c>
      <c r="D10">
        <f>SUMIFS('2017-2029 Retirements'!$J$5:$J$141,'2017-2029 Retirements'!$D$5:$D$141,"Geotérmica",'2017-2029 Retirements'!$I$5:$I$141,"2018")</f>
        <v>15</v>
      </c>
      <c r="E10">
        <f>SUMIFS('2017-2029 Retirements'!$J$5:$J$141,'2017-2029 Retirements'!$D$5:$D$141,"Geotérmica",'2017-2029 Retirements'!$I$5:$I$141,"2019")</f>
        <v>0</v>
      </c>
      <c r="F10">
        <f>SUMIFS('2017-2029 Retirements'!$J$5:$J$141,'2017-2029 Retirements'!$D$5:$D$141,"Geotérmica",'2017-2029 Retirements'!$I$5:$I$141,"2020")</f>
        <v>30</v>
      </c>
      <c r="G10">
        <f>SUMIFS('2017-2029 Retirements'!$J$5:$J$141,'2017-2029 Retirements'!$D$5:$D$141,"Geotérmica",'2017-2029 Retirements'!$I$5:$I$141,"2021")</f>
        <v>0</v>
      </c>
      <c r="H10">
        <f>SUMIFS('2017-2029 Retirements'!$J$5:$J$141,'2017-2029 Retirements'!$D$5:$D$141,"Geotérmica",'2017-2029 Retirements'!$I$5:$I$141,"2022")</f>
        <v>0</v>
      </c>
      <c r="I10">
        <f>SUMIFS('2017-2029 Retirements'!$J$5:$J$141,'2017-2029 Retirements'!$D$5:$D$141,"Geotérmica",'2017-2029 Retirements'!$I$5:$I$141,"2023")</f>
        <v>0</v>
      </c>
      <c r="J10">
        <f>SUMIFS('2017-2029 Retirements'!$J$5:$J$141,'2017-2029 Retirements'!$D$5:$D$141,"Geotérmica",'2017-2029 Retirements'!$I$5:$I$141,"2024")</f>
        <v>0</v>
      </c>
      <c r="K10">
        <f>SUMIFS('2017-2029 Retirements'!$J$5:$J$141,'2017-2029 Retirements'!$D$5:$D$141,"Geotérmica",'2017-2029 Retirements'!$I$5:$I$141,"2025")</f>
        <v>0</v>
      </c>
      <c r="L10">
        <f>SUMIFS('2017-2029 Retirements'!$J$5:$J$141,'2017-2029 Retirements'!$D$5:$D$141,"Geotérmica",'2017-2029 Retirements'!$I$5:$I$141,"2026")</f>
        <v>0</v>
      </c>
      <c r="M10">
        <f>SUMIFS('2017-2029 Retirements'!$J$5:$J$141,'2017-2029 Retirements'!$D$5:$D$141,"Geotérmica",'2017-2029 Retirements'!$I$5:$I$141,"2027")</f>
        <v>0</v>
      </c>
      <c r="N10">
        <f>SUMIFS('2017-2029 Retirements'!$J$5:$J$141,'2017-2029 Retirements'!$D$5:$D$141,"Geotérmica",'2017-2029 Retirements'!$I$5:$I$141,"2028")</f>
        <v>0</v>
      </c>
      <c r="O10">
        <f>SUMIFS('2017-2029 Retirements'!$J$5:$J$141,'2017-2029 Retirements'!$D$5:$D$141,"Geotérmica",'2017-2029 Retirements'!$I$5:$I$141,"2029")</f>
        <v>0</v>
      </c>
    </row>
    <row r="11" spans="1:36">
      <c r="A11" t="s">
        <v>97</v>
      </c>
      <c r="B11" s="9" t="s">
        <v>333</v>
      </c>
      <c r="C11">
        <f>SUMIFS('2017-2029 Retirements'!$J$5:$J$141,'2017-2029 Retirements'!$D$5:$D$141,"Termoeléctrica convencional",'2017-2029 Retirements'!$I$5:$I$141,"2017")</f>
        <v>505.5</v>
      </c>
      <c r="D11">
        <f>SUMIFS('2017-2029 Retirements'!$J$5:$J$141,'2017-2029 Retirements'!$D$5:$D$141,"Termoeléctrica convencional",'2017-2029 Retirements'!$I$5:$I$141,"2018")</f>
        <v>1366</v>
      </c>
      <c r="E11">
        <f>SUMIFS('2017-2029 Retirements'!$J$5:$J$141,'2017-2029 Retirements'!$D$5:$D$141,"Termoeléctrica convencional",'2017-2029 Retirements'!$I$5:$I$141,"2019")</f>
        <v>2974</v>
      </c>
      <c r="F11">
        <f>SUMIFS('2017-2029 Retirements'!$J$5:$J$141,'2017-2029 Retirements'!$D$5:$D$141,"Termoeléctrica convencional",'2017-2029 Retirements'!$I$5:$I$141,"2020")</f>
        <v>2530</v>
      </c>
      <c r="G11">
        <f>SUMIFS('2017-2029 Retirements'!$J$5:$J$141,'2017-2029 Retirements'!$D$5:$D$141,"Termoeléctrica convencional",'2017-2029 Retirements'!$I$5:$I$141,"2021")</f>
        <v>320</v>
      </c>
      <c r="H11">
        <f>SUMIFS('2017-2029 Retirements'!$J$5:$J$141,'2017-2029 Retirements'!$D$5:$D$141,"Termoeléctrica convencional",'2017-2029 Retirements'!$I$5:$I$141,"2022")</f>
        <v>868</v>
      </c>
      <c r="I11">
        <f>SUMIFS('2017-2029 Retirements'!$J$5:$J$141,'2017-2029 Retirements'!$D$5:$D$141,"Termoeléctrica convencional",'2017-2029 Retirements'!$I$5:$I$141,"2023")</f>
        <v>1058.0999999999999</v>
      </c>
      <c r="J11">
        <f>SUMIFS('2017-2029 Retirements'!$J$5:$J$141,'2017-2029 Retirements'!$D$5:$D$141,"Termoeléctrica convencional",'2017-2029 Retirements'!$I$5:$I$141,"2024")</f>
        <v>960</v>
      </c>
      <c r="K11">
        <f>SUMIFS('2017-2029 Retirements'!$J$5:$J$141,'2017-2029 Retirements'!$D$5:$D$141,"Termoeléctrica convencional",'2017-2029 Retirements'!$I$5:$I$141,"2025")</f>
        <v>0</v>
      </c>
      <c r="L11">
        <f>SUMIFS('2017-2029 Retirements'!$J$5:$J$141,'2017-2029 Retirements'!$D$5:$D$141,"Termoeléctrica convencional",'2017-2029 Retirements'!$I$5:$I$141,"2026")</f>
        <v>0</v>
      </c>
      <c r="M11">
        <f>SUMIFS('2017-2029 Retirements'!$J$5:$J$141,'2017-2029 Retirements'!$D$5:$D$141,"Termoeléctrica convencional",'2017-2029 Retirements'!$I$5:$I$141,"2027")</f>
        <v>340</v>
      </c>
      <c r="N11">
        <f>SUMIFS('2017-2029 Retirements'!$J$5:$J$141,'2017-2029 Retirements'!$D$5:$D$141,"Termoeléctrica convencional",'2017-2029 Retirements'!$I$5:$I$141,"2028")</f>
        <v>0</v>
      </c>
      <c r="O11">
        <f>SUMIFS('2017-2029 Retirements'!$J$5:$J$141,'2017-2029 Retirements'!$D$5:$D$141,"Termoeléctrica convencional",'2017-2029 Retirements'!$I$5:$I$141,"2029")</f>
        <v>0</v>
      </c>
    </row>
    <row r="12" spans="1:36">
      <c r="A12" t="s">
        <v>103</v>
      </c>
      <c r="B12" s="9" t="s">
        <v>334</v>
      </c>
      <c r="C12">
        <f>SUMIFS('2017-2029 Retirements'!$J$5:$J$141,'2017-2029 Retirements'!$D$5:$D$141,"Combustión Interna",'2017-2029 Retirements'!$I$5:$I$141,"2017")</f>
        <v>1.18</v>
      </c>
      <c r="D12">
        <f>SUMIFS('2017-2029 Retirements'!$J$5:$J$141,'2017-2029 Retirements'!$D$5:$D$141,"Combustión Interna",'2017-2029 Retirements'!$I$5:$I$141,"2018")</f>
        <v>2.4</v>
      </c>
      <c r="E12">
        <f>SUMIFS('2017-2029 Retirements'!$J$5:$J$141,'2017-2029 Retirements'!$D$5:$D$141,"Combustión Interna",'2017-2029 Retirements'!$I$5:$I$141,"2019")</f>
        <v>0</v>
      </c>
      <c r="F12">
        <f>SUMIFS('2017-2029 Retirements'!$J$5:$J$141,'2017-2029 Retirements'!$D$5:$D$141,"Combustión Interna",'2017-2029 Retirements'!$I$5:$I$141,"2020")</f>
        <v>0</v>
      </c>
      <c r="G12">
        <f>SUMIFS('2017-2029 Retirements'!$J$5:$J$141,'2017-2029 Retirements'!$D$5:$D$141,"Combustión Interna",'2017-2029 Retirements'!$I$5:$I$141,"2021")</f>
        <v>0</v>
      </c>
      <c r="H12">
        <f>SUMIFS('2017-2029 Retirements'!$J$5:$J$141,'2017-2029 Retirements'!$D$5:$D$141,"Combustión Interna",'2017-2029 Retirements'!$I$5:$I$141,"2022")</f>
        <v>31.5</v>
      </c>
      <c r="I12">
        <f>SUMIFS('2017-2029 Retirements'!$J$5:$J$141,'2017-2029 Retirements'!$D$5:$D$141,"Combustión Interna",'2017-2029 Retirements'!$I$5:$I$141,"2023")</f>
        <v>0</v>
      </c>
      <c r="J12">
        <f>SUMIFS('2017-2029 Retirements'!$J$5:$J$141,'2017-2029 Retirements'!$D$5:$D$141,"Combustión Interna",'2017-2029 Retirements'!$I$5:$I$141,"2024")</f>
        <v>31.5</v>
      </c>
      <c r="K12">
        <f>SUMIFS('2017-2029 Retirements'!$J$5:$J$141,'2017-2029 Retirements'!$D$5:$D$141,"Combustión Interna",'2017-2029 Retirements'!$I$5:$I$141,"2025")</f>
        <v>0</v>
      </c>
      <c r="L12">
        <f>SUMIFS('2017-2029 Retirements'!$J$5:$J$141,'2017-2029 Retirements'!$D$5:$D$141,"Combustión Interna",'2017-2029 Retirements'!$I$5:$I$141,"2026")</f>
        <v>0</v>
      </c>
      <c r="M12">
        <f>SUMIFS('2017-2029 Retirements'!$J$5:$J$141,'2017-2029 Retirements'!$D$5:$D$141,"Combustión Interna",'2017-2029 Retirements'!$I$5:$I$141,"2027")</f>
        <v>0</v>
      </c>
      <c r="N12">
        <f>SUMIFS('2017-2029 Retirements'!$J$5:$J$141,'2017-2029 Retirements'!$D$5:$D$141,"Combustión Interna",'2017-2029 Retirements'!$I$5:$I$141,"2028")</f>
        <v>0</v>
      </c>
      <c r="O12">
        <f>SUMIFS('2017-2029 Retirements'!$J$5:$J$141,'2017-2029 Retirements'!$D$5:$D$141,"Combustión Interna",'2017-2029 Retirements'!$I$5:$I$141,"2029")</f>
        <v>0</v>
      </c>
    </row>
    <row r="13" spans="1:36">
      <c r="A13" t="s">
        <v>67</v>
      </c>
      <c r="B13" s="9" t="s">
        <v>36</v>
      </c>
      <c r="C13">
        <f>SUMIFS('2017-2029 Retirements'!$J$5:$J$141,'2017-2029 Retirements'!$D$5:$D$141,"Turbogás",'2017-2029 Retirements'!$I$5:$I$141,"2017")</f>
        <v>458.3</v>
      </c>
      <c r="D13">
        <f>SUMIFS('2017-2029 Retirements'!$J$5:$J$141,'2017-2029 Retirements'!$D$5:$D$141,"Turbogás",'2017-2029 Retirements'!$I$5:$I$141,"2018")</f>
        <v>0</v>
      </c>
      <c r="E13">
        <f>SUMIFS('2017-2029 Retirements'!$J$5:$J$141,'2017-2029 Retirements'!$D$5:$D$141,"Turbogás",'2017-2029 Retirements'!$I$5:$I$141,"2019")</f>
        <v>233.7</v>
      </c>
      <c r="F13">
        <f>SUMIFS('2017-2029 Retirements'!$J$5:$J$141,'2017-2029 Retirements'!$D$5:$D$141,"Turbogás",'2017-2029 Retirements'!$I$5:$I$141,"2020")</f>
        <v>0</v>
      </c>
      <c r="G13">
        <f>SUMIFS('2017-2029 Retirements'!$J$5:$J$141,'2017-2029 Retirements'!$D$5:$D$141,"Turbogás",'2017-2029 Retirements'!$I$5:$I$141,"2021")</f>
        <v>330.43</v>
      </c>
      <c r="H13">
        <f>SUMIFS('2017-2029 Retirements'!$J$5:$J$141,'2017-2029 Retirements'!$D$5:$D$141,"Turbogás",'2017-2029 Retirements'!$I$5:$I$141,"2022")</f>
        <v>107.65</v>
      </c>
      <c r="I13">
        <f>SUMIFS('2017-2029 Retirements'!$J$5:$J$141,'2017-2029 Retirements'!$D$5:$D$141,"Turbogás",'2017-2029 Retirements'!$I$5:$I$141,"2023")</f>
        <v>193</v>
      </c>
      <c r="J13">
        <f>SUMIFS('2017-2029 Retirements'!$J$5:$J$141,'2017-2029 Retirements'!$D$5:$D$141,"Turbogás",'2017-2029 Retirements'!$I$5:$I$141,"2024")</f>
        <v>0</v>
      </c>
      <c r="K13">
        <f>SUMIFS('2017-2029 Retirements'!$J$5:$J$141,'2017-2029 Retirements'!$D$5:$D$141,"Turbogás",'2017-2029 Retirements'!$I$5:$I$141,"2025")</f>
        <v>0</v>
      </c>
      <c r="L13">
        <f>SUMIFS('2017-2029 Retirements'!$J$5:$J$141,'2017-2029 Retirements'!$D$5:$D$141,"Turbogás",'2017-2029 Retirements'!$I$5:$I$141,"2026")</f>
        <v>0</v>
      </c>
      <c r="M13">
        <f>SUMIFS('2017-2029 Retirements'!$J$5:$J$141,'2017-2029 Retirements'!$D$5:$D$141,"Turbogás",'2017-2029 Retirements'!$I$5:$I$141,"2027")</f>
        <v>0</v>
      </c>
      <c r="N13">
        <f>SUMIFS('2017-2029 Retirements'!$J$5:$J$141,'2017-2029 Retirements'!$D$5:$D$141,"Turbogás",'2017-2029 Retirements'!$I$5:$I$141,"2028")</f>
        <v>0</v>
      </c>
      <c r="O13">
        <f>SUMIFS('2017-2029 Retirements'!$J$5:$J$141,'2017-2029 Retirements'!$D$5:$D$141,"Turbogás",'2017-2029 Retirements'!$I$5:$I$141,"2029")</f>
        <v>0</v>
      </c>
    </row>
    <row r="14" spans="1:36">
      <c r="A14" t="s">
        <v>330</v>
      </c>
      <c r="B14" s="9" t="s">
        <v>40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36">
      <c r="A15" t="s">
        <v>330</v>
      </c>
      <c r="B15" s="9" t="s">
        <v>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4.5"/>
  <cols>
    <col min="1" max="1" width="24.36328125" customWidth="1"/>
  </cols>
  <sheetData>
    <row r="1" spans="1:2">
      <c r="A1" t="s">
        <v>336</v>
      </c>
      <c r="B1" t="s">
        <v>337</v>
      </c>
    </row>
    <row r="2" spans="1:2">
      <c r="A2" t="s">
        <v>339</v>
      </c>
      <c r="B2" t="s">
        <v>337</v>
      </c>
    </row>
    <row r="4" spans="1:2">
      <c r="A4" t="s">
        <v>340</v>
      </c>
      <c r="B4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I14"/>
  <sheetViews>
    <sheetView workbookViewId="0"/>
  </sheetViews>
  <sheetFormatPr defaultColWidth="9.1796875" defaultRowHeight="14.5"/>
  <cols>
    <col min="1" max="1" width="25.54296875" customWidth="1"/>
    <col min="2" max="25" width="9.26953125" bestFit="1" customWidth="1"/>
  </cols>
  <sheetData>
    <row r="1" spans="1:35" s="6" customFormat="1">
      <c r="A1" s="9" t="s">
        <v>8</v>
      </c>
      <c r="B1" s="9">
        <v>2017</v>
      </c>
      <c r="C1" s="9">
        <v>2018</v>
      </c>
      <c r="D1" s="9">
        <v>2019</v>
      </c>
      <c r="E1" s="9">
        <v>2020</v>
      </c>
      <c r="F1" s="9">
        <v>2021</v>
      </c>
      <c r="G1" s="9">
        <v>2022</v>
      </c>
      <c r="H1" s="9">
        <v>2023</v>
      </c>
      <c r="I1" s="9">
        <v>2024</v>
      </c>
      <c r="J1" s="9">
        <v>2025</v>
      </c>
      <c r="K1" s="9">
        <v>2026</v>
      </c>
      <c r="L1" s="9">
        <v>2027</v>
      </c>
      <c r="M1" s="9">
        <v>2028</v>
      </c>
      <c r="N1" s="9">
        <v>2029</v>
      </c>
      <c r="O1" s="9">
        <v>2030</v>
      </c>
      <c r="P1" s="9">
        <v>2031</v>
      </c>
      <c r="Q1" s="9">
        <v>2032</v>
      </c>
      <c r="R1" s="9">
        <v>2033</v>
      </c>
      <c r="S1" s="9">
        <v>2034</v>
      </c>
      <c r="T1" s="9">
        <v>2035</v>
      </c>
      <c r="U1" s="9">
        <v>2036</v>
      </c>
      <c r="V1" s="9">
        <v>2037</v>
      </c>
      <c r="W1" s="9">
        <v>2038</v>
      </c>
      <c r="X1" s="9">
        <v>2039</v>
      </c>
      <c r="Y1" s="9">
        <v>2040</v>
      </c>
      <c r="Z1" s="9">
        <v>2041</v>
      </c>
      <c r="AA1" s="9">
        <v>2042</v>
      </c>
      <c r="AB1" s="9">
        <v>2043</v>
      </c>
      <c r="AC1" s="9">
        <v>2044</v>
      </c>
      <c r="AD1" s="9">
        <v>2045</v>
      </c>
      <c r="AE1" s="9">
        <v>2046</v>
      </c>
      <c r="AF1" s="9">
        <v>2047</v>
      </c>
      <c r="AG1" s="9">
        <v>2048</v>
      </c>
      <c r="AH1" s="9">
        <v>2049</v>
      </c>
      <c r="AI1" s="9">
        <v>2050</v>
      </c>
    </row>
    <row r="2" spans="1:35">
      <c r="A2" s="9" t="s">
        <v>42</v>
      </c>
      <c r="B2" s="5">
        <f>Calculations!C2</f>
        <v>0</v>
      </c>
      <c r="C2" s="5">
        <f>Calculations!D2</f>
        <v>0</v>
      </c>
      <c r="D2" s="5">
        <f>Calculations!E2</f>
        <v>0</v>
      </c>
      <c r="E2" s="5">
        <f>Calculations!F2</f>
        <v>0</v>
      </c>
      <c r="F2" s="5">
        <f>Calculations!G2</f>
        <v>0</v>
      </c>
      <c r="G2" s="5">
        <f>Calculations!H2</f>
        <v>0</v>
      </c>
      <c r="H2" s="5">
        <f>Calculations!I2</f>
        <v>0</v>
      </c>
      <c r="I2" s="5">
        <f>Calculations!J2</f>
        <v>0</v>
      </c>
      <c r="J2" s="5">
        <f>Calculations!K2</f>
        <v>0</v>
      </c>
      <c r="K2" s="5">
        <f>Calculations!L2</f>
        <v>0</v>
      </c>
      <c r="L2" s="5">
        <f>Calculations!M2</f>
        <v>0</v>
      </c>
      <c r="M2" s="5">
        <f>Calculations!N2</f>
        <v>700</v>
      </c>
      <c r="N2" s="5">
        <f>Calculations!O2</f>
        <v>700</v>
      </c>
      <c r="O2" s="5">
        <f>SUM($B2:$N2)/COUNT($O$1:$AI$1)</f>
        <v>66.666666666666671</v>
      </c>
      <c r="P2" s="5">
        <f t="shared" ref="P2:AI3" si="0">SUM($B2:$N2)/COUNT($O$1:$AI$1)</f>
        <v>66.666666666666671</v>
      </c>
      <c r="Q2" s="5">
        <f t="shared" si="0"/>
        <v>66.666666666666671</v>
      </c>
      <c r="R2" s="5">
        <f t="shared" si="0"/>
        <v>66.666666666666671</v>
      </c>
      <c r="S2" s="5">
        <f t="shared" si="0"/>
        <v>66.666666666666671</v>
      </c>
      <c r="T2" s="5">
        <f t="shared" si="0"/>
        <v>66.666666666666671</v>
      </c>
      <c r="U2" s="5">
        <f t="shared" si="0"/>
        <v>66.666666666666671</v>
      </c>
      <c r="V2" s="5">
        <f t="shared" si="0"/>
        <v>66.666666666666671</v>
      </c>
      <c r="W2" s="5">
        <f t="shared" si="0"/>
        <v>66.666666666666671</v>
      </c>
      <c r="X2" s="5">
        <f t="shared" si="0"/>
        <v>66.666666666666671</v>
      </c>
      <c r="Y2" s="5">
        <f t="shared" si="0"/>
        <v>66.666666666666671</v>
      </c>
      <c r="Z2" s="5">
        <f t="shared" si="0"/>
        <v>66.666666666666671</v>
      </c>
      <c r="AA2" s="5">
        <f t="shared" si="0"/>
        <v>66.666666666666671</v>
      </c>
      <c r="AB2" s="5">
        <f t="shared" si="0"/>
        <v>66.666666666666671</v>
      </c>
      <c r="AC2" s="5">
        <f t="shared" si="0"/>
        <v>66.666666666666671</v>
      </c>
      <c r="AD2" s="5">
        <f t="shared" si="0"/>
        <v>66.666666666666671</v>
      </c>
      <c r="AE2" s="5">
        <f t="shared" si="0"/>
        <v>66.666666666666671</v>
      </c>
      <c r="AF2" s="5">
        <f t="shared" si="0"/>
        <v>66.666666666666671</v>
      </c>
      <c r="AG2" s="5">
        <f t="shared" si="0"/>
        <v>66.666666666666671</v>
      </c>
      <c r="AH2" s="5">
        <f t="shared" si="0"/>
        <v>66.666666666666671</v>
      </c>
      <c r="AI2" s="5">
        <f t="shared" si="0"/>
        <v>66.666666666666671</v>
      </c>
    </row>
    <row r="3" spans="1:35">
      <c r="A3" s="9" t="s">
        <v>34</v>
      </c>
      <c r="B3" s="5">
        <f>Calculations!C3</f>
        <v>226</v>
      </c>
      <c r="C3" s="5">
        <f>Calculations!D3</f>
        <v>0</v>
      </c>
      <c r="D3" s="5">
        <f>Calculations!E3</f>
        <v>377.66</v>
      </c>
      <c r="E3" s="5">
        <f>Calculations!F3</f>
        <v>226</v>
      </c>
      <c r="F3" s="5">
        <f>Calculations!G3</f>
        <v>459.8</v>
      </c>
      <c r="G3" s="5">
        <f>Calculations!H3</f>
        <v>231.8</v>
      </c>
      <c r="H3" s="5">
        <f>Calculations!I3</f>
        <v>0</v>
      </c>
      <c r="I3" s="5">
        <f>Calculations!J3</f>
        <v>0</v>
      </c>
      <c r="J3" s="5">
        <f>Calculations!K3</f>
        <v>0</v>
      </c>
      <c r="K3" s="5">
        <f>Calculations!L3</f>
        <v>0</v>
      </c>
      <c r="L3" s="5">
        <f>Calculations!M3</f>
        <v>0</v>
      </c>
      <c r="M3" s="5">
        <f>Calculations!N3</f>
        <v>521.76</v>
      </c>
      <c r="N3" s="5">
        <f>Calculations!O3</f>
        <v>0</v>
      </c>
      <c r="O3" s="5">
        <f>SUM($B3:$N3)/COUNT($O$1:$AI$1)</f>
        <v>97.286666666666662</v>
      </c>
      <c r="P3" s="5">
        <f t="shared" si="0"/>
        <v>97.286666666666662</v>
      </c>
      <c r="Q3" s="5">
        <f t="shared" si="0"/>
        <v>97.286666666666662</v>
      </c>
      <c r="R3" s="5">
        <f t="shared" si="0"/>
        <v>97.286666666666662</v>
      </c>
      <c r="S3" s="5">
        <f t="shared" si="0"/>
        <v>97.286666666666662</v>
      </c>
      <c r="T3" s="5">
        <f t="shared" si="0"/>
        <v>97.286666666666662</v>
      </c>
      <c r="U3" s="5">
        <f t="shared" si="0"/>
        <v>97.286666666666662</v>
      </c>
      <c r="V3" s="5">
        <f t="shared" si="0"/>
        <v>97.286666666666662</v>
      </c>
      <c r="W3" s="5">
        <f t="shared" si="0"/>
        <v>97.286666666666662</v>
      </c>
      <c r="X3" s="5">
        <f t="shared" si="0"/>
        <v>97.286666666666662</v>
      </c>
      <c r="Y3" s="5">
        <f t="shared" si="0"/>
        <v>97.286666666666662</v>
      </c>
      <c r="Z3" s="5">
        <f t="shared" si="0"/>
        <v>97.286666666666662</v>
      </c>
      <c r="AA3" s="5">
        <f t="shared" si="0"/>
        <v>97.286666666666662</v>
      </c>
      <c r="AB3" s="5">
        <f t="shared" si="0"/>
        <v>97.286666666666662</v>
      </c>
      <c r="AC3" s="5">
        <f t="shared" si="0"/>
        <v>97.286666666666662</v>
      </c>
      <c r="AD3" s="5">
        <f t="shared" si="0"/>
        <v>97.286666666666662</v>
      </c>
      <c r="AE3" s="5">
        <f t="shared" si="0"/>
        <v>97.286666666666662</v>
      </c>
      <c r="AF3" s="5">
        <f t="shared" si="0"/>
        <v>97.286666666666662</v>
      </c>
      <c r="AG3" s="5">
        <f t="shared" si="0"/>
        <v>97.286666666666662</v>
      </c>
      <c r="AH3" s="5">
        <f t="shared" si="0"/>
        <v>97.286666666666662</v>
      </c>
      <c r="AI3" s="5">
        <f t="shared" si="0"/>
        <v>97.286666666666662</v>
      </c>
    </row>
    <row r="4" spans="1:35">
      <c r="A4" s="9" t="s">
        <v>1</v>
      </c>
      <c r="B4" s="5">
        <f>Calculations!C4</f>
        <v>0</v>
      </c>
      <c r="C4" s="5">
        <f>Calculations!D4</f>
        <v>0</v>
      </c>
      <c r="D4" s="5">
        <f>Calculations!E4</f>
        <v>0</v>
      </c>
      <c r="E4" s="5">
        <f>Calculations!F4</f>
        <v>0</v>
      </c>
      <c r="F4" s="5">
        <f>Calculations!G4</f>
        <v>0</v>
      </c>
      <c r="G4" s="5">
        <f>Calculations!H4</f>
        <v>0</v>
      </c>
      <c r="H4" s="5">
        <f>Calculations!I4</f>
        <v>0</v>
      </c>
      <c r="I4" s="5">
        <f>Calculations!J4</f>
        <v>0</v>
      </c>
      <c r="J4" s="5">
        <f>Calculations!K4</f>
        <v>0</v>
      </c>
      <c r="K4" s="5">
        <f>Calculations!L4</f>
        <v>0</v>
      </c>
      <c r="L4" s="5">
        <f>Calculations!M4</f>
        <v>0</v>
      </c>
      <c r="M4" s="5">
        <f>Calculations!N4</f>
        <v>0</v>
      </c>
      <c r="N4" s="5">
        <f>Calculations!O4</f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</row>
    <row r="5" spans="1:35">
      <c r="A5" s="9" t="s">
        <v>2</v>
      </c>
      <c r="B5" s="5">
        <f>Calculations!C5</f>
        <v>0</v>
      </c>
      <c r="C5" s="5">
        <f>Calculations!D5</f>
        <v>0</v>
      </c>
      <c r="D5" s="5">
        <f>Calculations!E5</f>
        <v>0</v>
      </c>
      <c r="E5" s="5">
        <f>Calculations!F5</f>
        <v>0</v>
      </c>
      <c r="F5" s="5">
        <f>Calculations!G5</f>
        <v>0</v>
      </c>
      <c r="G5" s="5">
        <f>Calculations!H5</f>
        <v>0</v>
      </c>
      <c r="H5" s="5">
        <f>Calculations!I5</f>
        <v>0</v>
      </c>
      <c r="I5" s="5">
        <f>Calculations!J5</f>
        <v>0</v>
      </c>
      <c r="J5" s="5">
        <f>Calculations!K5</f>
        <v>0</v>
      </c>
      <c r="K5" s="5">
        <f>Calculations!L5</f>
        <v>0</v>
      </c>
      <c r="L5" s="5">
        <f>Calculations!M5</f>
        <v>0</v>
      </c>
      <c r="M5" s="5">
        <f>Calculations!N5</f>
        <v>0</v>
      </c>
      <c r="N5" s="5">
        <f>Calculations!O5</f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</row>
    <row r="6" spans="1:35">
      <c r="A6" s="9" t="s">
        <v>43</v>
      </c>
      <c r="B6" s="5">
        <f>Calculations!C6</f>
        <v>0</v>
      </c>
      <c r="C6" s="5">
        <f>Calculations!D6</f>
        <v>0</v>
      </c>
      <c r="D6" s="5">
        <f>Calculations!E6</f>
        <v>0</v>
      </c>
      <c r="E6" s="5">
        <f>Calculations!F6</f>
        <v>0</v>
      </c>
      <c r="F6" s="5">
        <f>Calculations!G6</f>
        <v>0</v>
      </c>
      <c r="G6" s="5">
        <f>Calculations!H6</f>
        <v>0</v>
      </c>
      <c r="H6" s="5">
        <f>Calculations!I6</f>
        <v>0</v>
      </c>
      <c r="I6" s="5">
        <f>Calculations!J6</f>
        <v>0</v>
      </c>
      <c r="J6" s="5">
        <f>Calculations!K6</f>
        <v>0</v>
      </c>
      <c r="K6" s="5">
        <f>Calculations!L6</f>
        <v>0</v>
      </c>
      <c r="L6" s="5">
        <f>Calculations!M6</f>
        <v>0</v>
      </c>
      <c r="M6" s="5">
        <f>Calculations!N6</f>
        <v>0</v>
      </c>
      <c r="N6" s="5">
        <f>Calculations!O6</f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>
      <c r="A7" s="9" t="s">
        <v>4</v>
      </c>
      <c r="B7" s="5">
        <f>Calculations!C7</f>
        <v>0</v>
      </c>
      <c r="C7" s="5">
        <f>Calculations!D7</f>
        <v>0</v>
      </c>
      <c r="D7" s="5">
        <f>Calculations!E7</f>
        <v>0</v>
      </c>
      <c r="E7" s="5">
        <f>Calculations!F7</f>
        <v>0</v>
      </c>
      <c r="F7" s="5">
        <f>Calculations!G7</f>
        <v>0</v>
      </c>
      <c r="G7" s="5">
        <f>Calculations!H7</f>
        <v>0</v>
      </c>
      <c r="H7" s="5">
        <f>Calculations!I7</f>
        <v>0</v>
      </c>
      <c r="I7" s="5">
        <f>Calculations!J7</f>
        <v>0</v>
      </c>
      <c r="J7" s="5">
        <f>Calculations!K7</f>
        <v>0</v>
      </c>
      <c r="K7" s="5">
        <f>Calculations!L7</f>
        <v>0</v>
      </c>
      <c r="L7" s="5">
        <f>Calculations!M7</f>
        <v>0</v>
      </c>
      <c r="M7" s="5">
        <f>Calculations!N7</f>
        <v>0</v>
      </c>
      <c r="N7" s="5">
        <f>Calculations!O7</f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>
      <c r="A8" s="9" t="s">
        <v>5</v>
      </c>
      <c r="B8" s="5">
        <f>Calculations!C8</f>
        <v>0</v>
      </c>
      <c r="C8" s="5">
        <f>Calculations!D8</f>
        <v>0</v>
      </c>
      <c r="D8" s="5">
        <f>Calculations!E8</f>
        <v>0</v>
      </c>
      <c r="E8" s="5">
        <f>Calculations!F8</f>
        <v>0</v>
      </c>
      <c r="F8" s="5">
        <f>Calculations!G8</f>
        <v>0</v>
      </c>
      <c r="G8" s="5">
        <f>Calculations!H8</f>
        <v>0</v>
      </c>
      <c r="H8" s="5">
        <f>Calculations!I8</f>
        <v>0</v>
      </c>
      <c r="I8" s="5">
        <f>Calculations!J8</f>
        <v>0</v>
      </c>
      <c r="J8" s="5">
        <f>Calculations!K8</f>
        <v>0</v>
      </c>
      <c r="K8" s="5">
        <f>Calculations!L8</f>
        <v>0</v>
      </c>
      <c r="L8" s="5">
        <f>Calculations!M8</f>
        <v>0</v>
      </c>
      <c r="M8" s="5">
        <f>Calculations!N8</f>
        <v>0</v>
      </c>
      <c r="N8" s="5">
        <f>Calculations!O8</f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>
      <c r="A9" s="9" t="s">
        <v>6</v>
      </c>
      <c r="B9" s="5">
        <f>Calculations!C9</f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</row>
    <row r="10" spans="1:35">
      <c r="A10" s="9" t="s">
        <v>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</row>
    <row r="11" spans="1:35">
      <c r="A11" s="9" t="s">
        <v>35</v>
      </c>
      <c r="B11" s="10">
        <f>Calculations!C11+Calculations!C12</f>
        <v>506.68</v>
      </c>
      <c r="C11" s="10">
        <f>Calculations!D11+Calculations!D12</f>
        <v>1368.4</v>
      </c>
      <c r="D11" s="10">
        <f>Calculations!E11+Calculations!E12</f>
        <v>2974</v>
      </c>
      <c r="E11" s="10">
        <f>Calculations!F11+Calculations!F12</f>
        <v>2530</v>
      </c>
      <c r="F11" s="10">
        <f>Calculations!G11+Calculations!G12</f>
        <v>320</v>
      </c>
      <c r="G11" s="10">
        <f>Calculations!H11+Calculations!H12</f>
        <v>899.5</v>
      </c>
      <c r="H11" s="10">
        <f>Calculations!I11+Calculations!I12</f>
        <v>1058.0999999999999</v>
      </c>
      <c r="I11" s="10">
        <f>Calculations!J11+Calculations!J12</f>
        <v>991.5</v>
      </c>
      <c r="J11" s="10">
        <f>Calculations!K11+Calculations!K12</f>
        <v>0</v>
      </c>
      <c r="K11" s="10">
        <f>Calculations!L11+Calculations!L12</f>
        <v>0</v>
      </c>
      <c r="L11" s="10">
        <f>Calculations!M11+Calculations!M12</f>
        <v>340</v>
      </c>
      <c r="M11" s="10">
        <f>Calculations!N11+Calculations!N12</f>
        <v>0</v>
      </c>
      <c r="N11" s="10">
        <f>Calculations!O11+Calculations!O12</f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</row>
    <row r="12" spans="1:35">
      <c r="A12" s="9" t="s">
        <v>36</v>
      </c>
      <c r="B12" s="5">
        <f>Calculations!C13</f>
        <v>458.3</v>
      </c>
      <c r="C12" s="5">
        <f>Calculations!D13</f>
        <v>0</v>
      </c>
      <c r="D12" s="5">
        <f>Calculations!E13</f>
        <v>233.7</v>
      </c>
      <c r="E12" s="5">
        <f>Calculations!F13</f>
        <v>0</v>
      </c>
      <c r="F12" s="5">
        <f>Calculations!G13</f>
        <v>330.43</v>
      </c>
      <c r="G12" s="5">
        <f>Calculations!H13</f>
        <v>107.65</v>
      </c>
      <c r="H12" s="5">
        <f>Calculations!I13</f>
        <v>193</v>
      </c>
      <c r="I12" s="5">
        <f>Calculations!J13</f>
        <v>0</v>
      </c>
      <c r="J12" s="5">
        <f>Calculations!K13</f>
        <v>0</v>
      </c>
      <c r="K12" s="5">
        <f>Calculations!L13</f>
        <v>0</v>
      </c>
      <c r="L12" s="5">
        <f>Calculations!M13</f>
        <v>0</v>
      </c>
      <c r="M12" s="5">
        <f>Calculations!N13</f>
        <v>0</v>
      </c>
      <c r="N12" s="5">
        <f>Calculations!O13</f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</row>
    <row r="13" spans="1:35">
      <c r="A13" s="9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</row>
    <row r="14" spans="1:35">
      <c r="A14" s="9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2017-2029 Retirements</vt:lpstr>
      <vt:lpstr>Technology Types</vt:lpstr>
      <vt:lpstr>Calculations</vt:lpstr>
      <vt:lpstr>2030-2050 Assumptions</vt:lpstr>
      <vt:lpstr>BCR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2015-12-15T21:40:01Z</dcterms:created>
  <dcterms:modified xsi:type="dcterms:W3CDTF">2018-06-04T16:02:12Z</dcterms:modified>
</cp:coreProperties>
</file>