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4360" windowHeight="1102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Anexo Tabla 4.2.10." sheetId="16" r:id="rId6"/>
    <sheet name="Anexo Tabla 4.2.11." sheetId="17" r:id="rId7"/>
    <sheet name="Anexo Tabla 4.2.12." sheetId="18" r:id="rId8"/>
    <sheet name="FIixed O&amp;M - US" sheetId="20" r:id="rId9"/>
    <sheet name="Variable O&amp;M - US" sheetId="21" r:id="rId10"/>
    <sheet name="Capital Costs - US" sheetId="22" r:id="rId11"/>
    <sheet name="CCaMC-AFOaMCpUC" sheetId="7" r:id="rId12"/>
    <sheet name="CCaMC-VOaMCpUC" sheetId="8" r:id="rId13"/>
    <sheet name="CCaMC-BCCpUC" sheetId="6" r:id="rId14"/>
  </sheets>
  <externalReferences>
    <externalReference r:id="rId15"/>
  </externalReferences>
  <definedNames>
    <definedName name="_Order1" hidden="1">255</definedName>
    <definedName name="Anexo">'[1]Pod Calorif:Fuentes'!$A$2:$T$78</definedName>
    <definedName name="ANEXOS">'[1]FleteCarbón import. Bolivar Alt:Fuentes'!$A$1:$T$78</definedName>
  </definedNames>
  <calcPr calcId="162913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2" i="6"/>
  <c r="G2" i="6"/>
  <c r="F2" i="6"/>
  <c r="L35" i="6" l="1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L3" i="6"/>
  <c r="K3" i="6"/>
  <c r="J3" i="6"/>
  <c r="L2" i="6"/>
  <c r="K2" i="6"/>
  <c r="J2" i="6"/>
  <c r="E35" i="6"/>
  <c r="D35" i="6"/>
  <c r="C35" i="6"/>
  <c r="B35" i="6"/>
  <c r="M35" i="6" s="1"/>
  <c r="E34" i="6"/>
  <c r="D34" i="6"/>
  <c r="C34" i="6"/>
  <c r="B34" i="6"/>
  <c r="M34" i="6" s="1"/>
  <c r="E33" i="6"/>
  <c r="D33" i="6"/>
  <c r="C33" i="6"/>
  <c r="B33" i="6"/>
  <c r="M33" i="6" s="1"/>
  <c r="E32" i="6"/>
  <c r="D32" i="6"/>
  <c r="C32" i="6"/>
  <c r="B32" i="6"/>
  <c r="M32" i="6" s="1"/>
  <c r="E31" i="6"/>
  <c r="D31" i="6"/>
  <c r="C31" i="6"/>
  <c r="B31" i="6"/>
  <c r="M31" i="6" s="1"/>
  <c r="E30" i="6"/>
  <c r="D30" i="6"/>
  <c r="C30" i="6"/>
  <c r="B30" i="6"/>
  <c r="M30" i="6" s="1"/>
  <c r="E29" i="6"/>
  <c r="D29" i="6"/>
  <c r="C29" i="6"/>
  <c r="B29" i="6"/>
  <c r="M29" i="6" s="1"/>
  <c r="E28" i="6"/>
  <c r="D28" i="6"/>
  <c r="C28" i="6"/>
  <c r="B28" i="6"/>
  <c r="M28" i="6" s="1"/>
  <c r="E27" i="6"/>
  <c r="D27" i="6"/>
  <c r="C27" i="6"/>
  <c r="B27" i="6"/>
  <c r="M27" i="6" s="1"/>
  <c r="E26" i="6"/>
  <c r="D26" i="6"/>
  <c r="C26" i="6"/>
  <c r="B26" i="6"/>
  <c r="M26" i="6" s="1"/>
  <c r="E25" i="6"/>
  <c r="D25" i="6"/>
  <c r="C25" i="6"/>
  <c r="B25" i="6"/>
  <c r="M25" i="6" s="1"/>
  <c r="E24" i="6"/>
  <c r="D24" i="6"/>
  <c r="C24" i="6"/>
  <c r="B24" i="6"/>
  <c r="M24" i="6" s="1"/>
  <c r="E23" i="6"/>
  <c r="D23" i="6"/>
  <c r="C23" i="6"/>
  <c r="B23" i="6"/>
  <c r="M23" i="6" s="1"/>
  <c r="E22" i="6"/>
  <c r="D22" i="6"/>
  <c r="C22" i="6"/>
  <c r="B22" i="6"/>
  <c r="M22" i="6" s="1"/>
  <c r="E21" i="6"/>
  <c r="D21" i="6"/>
  <c r="C21" i="6"/>
  <c r="B21" i="6"/>
  <c r="M21" i="6" s="1"/>
  <c r="E20" i="6"/>
  <c r="D20" i="6"/>
  <c r="C20" i="6"/>
  <c r="B20" i="6"/>
  <c r="M20" i="6" s="1"/>
  <c r="E19" i="6"/>
  <c r="D19" i="6"/>
  <c r="C19" i="6"/>
  <c r="B19" i="6"/>
  <c r="M19" i="6" s="1"/>
  <c r="E18" i="6"/>
  <c r="D18" i="6"/>
  <c r="C18" i="6"/>
  <c r="B18" i="6"/>
  <c r="M18" i="6" s="1"/>
  <c r="E17" i="6"/>
  <c r="D17" i="6"/>
  <c r="C17" i="6"/>
  <c r="B17" i="6"/>
  <c r="M17" i="6" s="1"/>
  <c r="E16" i="6"/>
  <c r="D16" i="6"/>
  <c r="C16" i="6"/>
  <c r="B16" i="6"/>
  <c r="M16" i="6" s="1"/>
  <c r="E15" i="6"/>
  <c r="D15" i="6"/>
  <c r="C15" i="6"/>
  <c r="B15" i="6"/>
  <c r="M15" i="6" s="1"/>
  <c r="E14" i="6"/>
  <c r="D14" i="6"/>
  <c r="C14" i="6"/>
  <c r="B14" i="6"/>
  <c r="M14" i="6" s="1"/>
  <c r="E13" i="6"/>
  <c r="D13" i="6"/>
  <c r="C13" i="6"/>
  <c r="B13" i="6"/>
  <c r="M13" i="6" s="1"/>
  <c r="E12" i="6"/>
  <c r="D12" i="6"/>
  <c r="C12" i="6"/>
  <c r="B12" i="6"/>
  <c r="M12" i="6" s="1"/>
  <c r="E11" i="6"/>
  <c r="D11" i="6"/>
  <c r="C11" i="6"/>
  <c r="B11" i="6"/>
  <c r="M11" i="6" s="1"/>
  <c r="E10" i="6"/>
  <c r="D10" i="6"/>
  <c r="C10" i="6"/>
  <c r="B10" i="6"/>
  <c r="M10" i="6" s="1"/>
  <c r="E9" i="6"/>
  <c r="D9" i="6"/>
  <c r="C9" i="6"/>
  <c r="B9" i="6"/>
  <c r="M9" i="6" s="1"/>
  <c r="E8" i="6"/>
  <c r="D8" i="6"/>
  <c r="C8" i="6"/>
  <c r="B8" i="6"/>
  <c r="M8" i="6" s="1"/>
  <c r="E7" i="6"/>
  <c r="D7" i="6"/>
  <c r="C7" i="6"/>
  <c r="B7" i="6"/>
  <c r="M7" i="6" s="1"/>
  <c r="E6" i="6"/>
  <c r="D6" i="6"/>
  <c r="C6" i="6"/>
  <c r="B6" i="6"/>
  <c r="M6" i="6" s="1"/>
  <c r="E5" i="6"/>
  <c r="D5" i="6"/>
  <c r="C5" i="6"/>
  <c r="B5" i="6"/>
  <c r="M5" i="6" s="1"/>
  <c r="E4" i="6"/>
  <c r="D4" i="6"/>
  <c r="C4" i="6"/>
  <c r="B4" i="6"/>
  <c r="M4" i="6" s="1"/>
  <c r="E3" i="6"/>
  <c r="D3" i="6"/>
  <c r="C3" i="6"/>
  <c r="B3" i="6"/>
  <c r="M3" i="6" s="1"/>
  <c r="E2" i="6"/>
  <c r="D2" i="6"/>
  <c r="C2" i="6"/>
  <c r="B2" i="6"/>
  <c r="M2" i="6" s="1"/>
  <c r="B12" i="8"/>
  <c r="D12" i="8" s="1"/>
  <c r="B11" i="8"/>
  <c r="D11" i="8" s="1"/>
  <c r="B10" i="8"/>
  <c r="B5" i="8"/>
  <c r="B4" i="8"/>
  <c r="D4" i="8" s="1"/>
  <c r="B3" i="8"/>
  <c r="B2" i="8"/>
  <c r="B13" i="8" s="1"/>
  <c r="D13" i="8" s="1"/>
  <c r="B12" i="7"/>
  <c r="B11" i="7"/>
  <c r="D11" i="7" s="1"/>
  <c r="B10" i="7"/>
  <c r="D10" i="7" s="1"/>
  <c r="B8" i="7"/>
  <c r="B7" i="7"/>
  <c r="B6" i="7"/>
  <c r="D6" i="7" s="1"/>
  <c r="B5" i="7"/>
  <c r="D5" i="7" s="1"/>
  <c r="B4" i="7"/>
  <c r="D4" i="7" s="1"/>
  <c r="B3" i="7"/>
  <c r="B2" i="7"/>
  <c r="B13" i="7" s="1"/>
  <c r="D13" i="7" s="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2" i="22"/>
  <c r="G2" i="22"/>
  <c r="F2" i="22"/>
  <c r="D3" i="8"/>
  <c r="D5" i="8"/>
  <c r="D9" i="8"/>
  <c r="D3" i="7"/>
  <c r="D7" i="7"/>
  <c r="D8" i="7"/>
  <c r="D12" i="7"/>
  <c r="D14" i="7"/>
  <c r="D2" i="7"/>
  <c r="L35" i="22"/>
  <c r="K35" i="22"/>
  <c r="J35" i="22"/>
  <c r="I35" i="22"/>
  <c r="E35" i="22"/>
  <c r="D35" i="22"/>
  <c r="C35" i="22"/>
  <c r="B35" i="22"/>
  <c r="M35" i="22" s="1"/>
  <c r="L34" i="22"/>
  <c r="K34" i="22"/>
  <c r="J34" i="22"/>
  <c r="I34" i="22"/>
  <c r="E34" i="22"/>
  <c r="D34" i="22"/>
  <c r="C34" i="22"/>
  <c r="B34" i="22"/>
  <c r="M34" i="22" s="1"/>
  <c r="L33" i="22"/>
  <c r="K33" i="22"/>
  <c r="J33" i="22"/>
  <c r="I33" i="22"/>
  <c r="E33" i="22"/>
  <c r="D33" i="22"/>
  <c r="C33" i="22"/>
  <c r="B33" i="22"/>
  <c r="M33" i="22" s="1"/>
  <c r="L32" i="22"/>
  <c r="K32" i="22"/>
  <c r="J32" i="22"/>
  <c r="I32" i="22"/>
  <c r="E32" i="22"/>
  <c r="D32" i="22"/>
  <c r="C32" i="22"/>
  <c r="B32" i="22"/>
  <c r="M32" i="22" s="1"/>
  <c r="L31" i="22"/>
  <c r="K31" i="22"/>
  <c r="J31" i="22"/>
  <c r="I31" i="22"/>
  <c r="E31" i="22"/>
  <c r="D31" i="22"/>
  <c r="C31" i="22"/>
  <c r="B31" i="22"/>
  <c r="M31" i="22" s="1"/>
  <c r="L30" i="22"/>
  <c r="K30" i="22"/>
  <c r="J30" i="22"/>
  <c r="I30" i="22"/>
  <c r="E30" i="22"/>
  <c r="D30" i="22"/>
  <c r="C30" i="22"/>
  <c r="B30" i="22"/>
  <c r="M30" i="22" s="1"/>
  <c r="L29" i="22"/>
  <c r="K29" i="22"/>
  <c r="J29" i="22"/>
  <c r="I29" i="22"/>
  <c r="E29" i="22"/>
  <c r="D29" i="22"/>
  <c r="C29" i="22"/>
  <c r="B29" i="22"/>
  <c r="M29" i="22" s="1"/>
  <c r="L28" i="22"/>
  <c r="K28" i="22"/>
  <c r="J28" i="22"/>
  <c r="I28" i="22"/>
  <c r="E28" i="22"/>
  <c r="D28" i="22"/>
  <c r="C28" i="22"/>
  <c r="B28" i="22"/>
  <c r="M28" i="22" s="1"/>
  <c r="L27" i="22"/>
  <c r="K27" i="22"/>
  <c r="J27" i="22"/>
  <c r="I27" i="22"/>
  <c r="E27" i="22"/>
  <c r="D27" i="22"/>
  <c r="C27" i="22"/>
  <c r="B27" i="22"/>
  <c r="M27" i="22" s="1"/>
  <c r="L26" i="22"/>
  <c r="K26" i="22"/>
  <c r="J26" i="22"/>
  <c r="I26" i="22"/>
  <c r="E26" i="22"/>
  <c r="D26" i="22"/>
  <c r="C26" i="22"/>
  <c r="B26" i="22"/>
  <c r="M26" i="22" s="1"/>
  <c r="L25" i="22"/>
  <c r="K25" i="22"/>
  <c r="J25" i="22"/>
  <c r="I25" i="22"/>
  <c r="E25" i="22"/>
  <c r="D25" i="22"/>
  <c r="C25" i="22"/>
  <c r="B25" i="22"/>
  <c r="M25" i="22" s="1"/>
  <c r="L24" i="22"/>
  <c r="K24" i="22"/>
  <c r="J24" i="22"/>
  <c r="I24" i="22"/>
  <c r="E24" i="22"/>
  <c r="D24" i="22"/>
  <c r="C24" i="22"/>
  <c r="B24" i="22"/>
  <c r="M24" i="22" s="1"/>
  <c r="L23" i="22"/>
  <c r="K23" i="22"/>
  <c r="J23" i="22"/>
  <c r="I23" i="22"/>
  <c r="E23" i="22"/>
  <c r="D23" i="22"/>
  <c r="C23" i="22"/>
  <c r="B23" i="22"/>
  <c r="M23" i="22" s="1"/>
  <c r="L22" i="22"/>
  <c r="K22" i="22"/>
  <c r="J22" i="22"/>
  <c r="I22" i="22"/>
  <c r="E22" i="22"/>
  <c r="D22" i="22"/>
  <c r="C22" i="22"/>
  <c r="B22" i="22"/>
  <c r="M22" i="22" s="1"/>
  <c r="L21" i="22"/>
  <c r="K21" i="22"/>
  <c r="J21" i="22"/>
  <c r="I21" i="22"/>
  <c r="E21" i="22"/>
  <c r="D21" i="22"/>
  <c r="C21" i="22"/>
  <c r="B21" i="22"/>
  <c r="M21" i="22" s="1"/>
  <c r="L20" i="22"/>
  <c r="K20" i="22"/>
  <c r="J20" i="22"/>
  <c r="I20" i="22"/>
  <c r="E20" i="22"/>
  <c r="D20" i="22"/>
  <c r="C20" i="22"/>
  <c r="B20" i="22"/>
  <c r="M20" i="22" s="1"/>
  <c r="L19" i="22"/>
  <c r="K19" i="22"/>
  <c r="J19" i="22"/>
  <c r="I19" i="22"/>
  <c r="E19" i="22"/>
  <c r="D19" i="22"/>
  <c r="C19" i="22"/>
  <c r="B19" i="22"/>
  <c r="M19" i="22" s="1"/>
  <c r="L18" i="22"/>
  <c r="K18" i="22"/>
  <c r="J18" i="22"/>
  <c r="I18" i="22"/>
  <c r="E18" i="22"/>
  <c r="D18" i="22"/>
  <c r="C18" i="22"/>
  <c r="B18" i="22"/>
  <c r="M18" i="22" s="1"/>
  <c r="L17" i="22"/>
  <c r="K17" i="22"/>
  <c r="J17" i="22"/>
  <c r="I17" i="22"/>
  <c r="E17" i="22"/>
  <c r="D17" i="22"/>
  <c r="C17" i="22"/>
  <c r="B17" i="22"/>
  <c r="M17" i="22" s="1"/>
  <c r="L16" i="22"/>
  <c r="K16" i="22"/>
  <c r="J16" i="22"/>
  <c r="I16" i="22"/>
  <c r="E16" i="22"/>
  <c r="D16" i="22"/>
  <c r="C16" i="22"/>
  <c r="B16" i="22"/>
  <c r="M16" i="22" s="1"/>
  <c r="L15" i="22"/>
  <c r="K15" i="22"/>
  <c r="J15" i="22"/>
  <c r="I15" i="22"/>
  <c r="E15" i="22"/>
  <c r="D15" i="22"/>
  <c r="C15" i="22"/>
  <c r="B15" i="22"/>
  <c r="M15" i="22" s="1"/>
  <c r="L14" i="22"/>
  <c r="K14" i="22"/>
  <c r="J14" i="22"/>
  <c r="I14" i="22"/>
  <c r="E14" i="22"/>
  <c r="D14" i="22"/>
  <c r="C14" i="22"/>
  <c r="B14" i="22"/>
  <c r="M14" i="22" s="1"/>
  <c r="L13" i="22"/>
  <c r="K13" i="22"/>
  <c r="J13" i="22"/>
  <c r="I13" i="22"/>
  <c r="E13" i="22"/>
  <c r="D13" i="22"/>
  <c r="C13" i="22"/>
  <c r="B13" i="22"/>
  <c r="M13" i="22" s="1"/>
  <c r="L12" i="22"/>
  <c r="K12" i="22"/>
  <c r="J12" i="22"/>
  <c r="I12" i="22"/>
  <c r="E12" i="22"/>
  <c r="D12" i="22"/>
  <c r="C12" i="22"/>
  <c r="B12" i="22"/>
  <c r="M12" i="22" s="1"/>
  <c r="L11" i="22"/>
  <c r="K11" i="22"/>
  <c r="J11" i="22"/>
  <c r="I11" i="22"/>
  <c r="E11" i="22"/>
  <c r="D11" i="22"/>
  <c r="C11" i="22"/>
  <c r="B11" i="22"/>
  <c r="M11" i="22" s="1"/>
  <c r="L10" i="22"/>
  <c r="K10" i="22"/>
  <c r="J10" i="22"/>
  <c r="I10" i="22"/>
  <c r="E10" i="22"/>
  <c r="D10" i="22"/>
  <c r="C10" i="22"/>
  <c r="B10" i="22"/>
  <c r="M10" i="22" s="1"/>
  <c r="L9" i="22"/>
  <c r="K9" i="22"/>
  <c r="J9" i="22"/>
  <c r="I9" i="22"/>
  <c r="E9" i="22"/>
  <c r="D9" i="22"/>
  <c r="C9" i="22"/>
  <c r="B9" i="22"/>
  <c r="M9" i="22" s="1"/>
  <c r="L8" i="22"/>
  <c r="K8" i="22"/>
  <c r="J8" i="22"/>
  <c r="I8" i="22"/>
  <c r="E8" i="22"/>
  <c r="D8" i="22"/>
  <c r="C8" i="22"/>
  <c r="B8" i="22"/>
  <c r="M8" i="22" s="1"/>
  <c r="L7" i="22"/>
  <c r="K7" i="22"/>
  <c r="J7" i="22"/>
  <c r="I7" i="22"/>
  <c r="E7" i="22"/>
  <c r="D7" i="22"/>
  <c r="C7" i="22"/>
  <c r="B7" i="22"/>
  <c r="M7" i="22" s="1"/>
  <c r="L6" i="22"/>
  <c r="K6" i="22"/>
  <c r="J6" i="22"/>
  <c r="I6" i="22"/>
  <c r="E6" i="22"/>
  <c r="D6" i="22"/>
  <c r="C6" i="22"/>
  <c r="B6" i="22"/>
  <c r="M6" i="22" s="1"/>
  <c r="L5" i="22"/>
  <c r="K5" i="22"/>
  <c r="J5" i="22"/>
  <c r="I5" i="22"/>
  <c r="E5" i="22"/>
  <c r="D5" i="22"/>
  <c r="C5" i="22"/>
  <c r="B5" i="22"/>
  <c r="M5" i="22" s="1"/>
  <c r="L4" i="22"/>
  <c r="K4" i="22"/>
  <c r="J4" i="22"/>
  <c r="I4" i="22"/>
  <c r="E4" i="22"/>
  <c r="D4" i="22"/>
  <c r="C4" i="22"/>
  <c r="B4" i="22"/>
  <c r="M4" i="22" s="1"/>
  <c r="L3" i="22"/>
  <c r="K3" i="22"/>
  <c r="J3" i="22"/>
  <c r="I3" i="22"/>
  <c r="E3" i="22"/>
  <c r="D3" i="22"/>
  <c r="C3" i="22"/>
  <c r="B3" i="22"/>
  <c r="M3" i="22" s="1"/>
  <c r="L2" i="22"/>
  <c r="K2" i="22"/>
  <c r="J2" i="22"/>
  <c r="I2" i="22"/>
  <c r="E2" i="22"/>
  <c r="D2" i="22"/>
  <c r="C2" i="22"/>
  <c r="B2" i="22"/>
  <c r="M2" i="22" s="1"/>
  <c r="D14" i="21"/>
  <c r="B14" i="21"/>
  <c r="C13" i="21"/>
  <c r="D12" i="21"/>
  <c r="B12" i="21"/>
  <c r="B11" i="21" s="1"/>
  <c r="D11" i="21"/>
  <c r="D10" i="21"/>
  <c r="B10" i="21"/>
  <c r="D9" i="21"/>
  <c r="B9" i="21"/>
  <c r="D8" i="21"/>
  <c r="B8" i="21"/>
  <c r="D7" i="21"/>
  <c r="B7" i="21"/>
  <c r="D6" i="21"/>
  <c r="B6" i="21"/>
  <c r="D5" i="21"/>
  <c r="B5" i="21"/>
  <c r="D4" i="21"/>
  <c r="B4" i="21"/>
  <c r="D3" i="21"/>
  <c r="B3" i="21"/>
  <c r="D2" i="21"/>
  <c r="D13" i="21" s="1"/>
  <c r="B2" i="21"/>
  <c r="B13" i="21" s="1"/>
  <c r="D14" i="20"/>
  <c r="B14" i="20"/>
  <c r="D13" i="20"/>
  <c r="C13" i="20"/>
  <c r="D12" i="20"/>
  <c r="B12" i="20"/>
  <c r="B11" i="20" s="1"/>
  <c r="D11" i="20"/>
  <c r="D10" i="20"/>
  <c r="B10" i="20"/>
  <c r="D9" i="20"/>
  <c r="B9" i="20"/>
  <c r="D8" i="20"/>
  <c r="B8" i="20"/>
  <c r="D7" i="20"/>
  <c r="B7" i="20"/>
  <c r="D6" i="20"/>
  <c r="B6" i="20"/>
  <c r="D5" i="20"/>
  <c r="B5" i="20"/>
  <c r="D4" i="20"/>
  <c r="B4" i="20"/>
  <c r="D3" i="20"/>
  <c r="B3" i="20"/>
  <c r="D2" i="20"/>
  <c r="B2" i="20"/>
  <c r="B13" i="20" s="1"/>
  <c r="D2" i="8" l="1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C123" i="15"/>
  <c r="D123" i="15"/>
  <c r="E123" i="15"/>
  <c r="I2" i="6" s="1"/>
  <c r="F123" i="15"/>
  <c r="I3" i="6" s="1"/>
  <c r="G123" i="15"/>
  <c r="I4" i="6" s="1"/>
  <c r="H123" i="15"/>
  <c r="I5" i="6" s="1"/>
  <c r="I123" i="15"/>
  <c r="I6" i="6" s="1"/>
  <c r="J123" i="15"/>
  <c r="I7" i="6" s="1"/>
  <c r="K123" i="15"/>
  <c r="I8" i="6" s="1"/>
  <c r="L123" i="15"/>
  <c r="I9" i="6" s="1"/>
  <c r="M123" i="15"/>
  <c r="I10" i="6" s="1"/>
  <c r="N123" i="15"/>
  <c r="I11" i="6" s="1"/>
  <c r="O123" i="15"/>
  <c r="I12" i="6" s="1"/>
  <c r="P123" i="15"/>
  <c r="I13" i="6" s="1"/>
  <c r="Q123" i="15"/>
  <c r="I14" i="6" s="1"/>
  <c r="R123" i="15"/>
  <c r="I15" i="6" s="1"/>
  <c r="S123" i="15"/>
  <c r="I16" i="6" s="1"/>
  <c r="T123" i="15"/>
  <c r="I17" i="6" s="1"/>
  <c r="U123" i="15"/>
  <c r="I18" i="6" s="1"/>
  <c r="V123" i="15"/>
  <c r="I19" i="6" s="1"/>
  <c r="W123" i="15"/>
  <c r="I20" i="6" s="1"/>
  <c r="X123" i="15"/>
  <c r="I21" i="6" s="1"/>
  <c r="Y123" i="15"/>
  <c r="I22" i="6" s="1"/>
  <c r="Z123" i="15"/>
  <c r="I23" i="6" s="1"/>
  <c r="AA123" i="15"/>
  <c r="I24" i="6" s="1"/>
  <c r="AB123" i="15"/>
  <c r="I25" i="6" s="1"/>
  <c r="AC123" i="15"/>
  <c r="I26" i="6" s="1"/>
  <c r="AD123" i="15"/>
  <c r="I27" i="6" s="1"/>
  <c r="AE123" i="15"/>
  <c r="I28" i="6" s="1"/>
  <c r="AF123" i="15"/>
  <c r="I29" i="6" s="1"/>
  <c r="AG123" i="15"/>
  <c r="I30" i="6" s="1"/>
  <c r="AH123" i="15"/>
  <c r="I31" i="6" s="1"/>
  <c r="AI123" i="15"/>
  <c r="I32" i="6" s="1"/>
  <c r="AJ123" i="15"/>
  <c r="I33" i="6" s="1"/>
  <c r="AK123" i="15"/>
  <c r="I34" i="6" s="1"/>
  <c r="AL123" i="15"/>
  <c r="I35" i="6" s="1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35" i="2"/>
  <c r="N2" i="22" s="1"/>
  <c r="B35" i="12"/>
  <c r="B34" i="12"/>
  <c r="B33" i="12"/>
  <c r="C13" i="8"/>
  <c r="C13" i="7"/>
  <c r="B14" i="8"/>
  <c r="B14" i="7"/>
  <c r="B9" i="8"/>
  <c r="B8" i="8"/>
  <c r="B7" i="8"/>
  <c r="B6" i="8"/>
  <c r="B9" i="7"/>
  <c r="D9" i="7" s="1"/>
  <c r="N2" i="6" l="1"/>
</calcChain>
</file>

<file path=xl/sharedStrings.xml><?xml version="1.0" encoding="utf-8"?>
<sst xmlns="http://schemas.openxmlformats.org/spreadsheetml/2006/main" count="559" uniqueCount="291">
  <si>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</si>
  <si>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</si>
  <si>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</si>
  <si>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</si>
  <si>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</si>
  <si>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</si>
  <si>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</si>
  <si>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</si>
  <si>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</si>
  <si>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</si>
  <si>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</si>
  <si>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</si>
  <si>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</si>
  <si>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</si>
  <si>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</si>
  <si>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</si>
  <si>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</si>
  <si>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</si>
  <si>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</si>
  <si>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</si>
  <si>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</si>
  <si>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</si>
  <si>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</si>
  <si>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</si>
  <si>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</si>
  <si>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</si>
  <si>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</si>
  <si>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</si>
  <si>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</si>
  <si>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</si>
  <si>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</si>
  <si>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</si>
  <si>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</si>
  <si>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</si>
  <si>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</si>
  <si>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</si>
  <si>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</si>
  <si>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</si>
  <si>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</si>
  <si>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</si>
  <si>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</si>
  <si>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</si>
  <si>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</si>
  <si>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</si>
  <si>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</si>
  <si>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</si>
  <si>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</si>
  <si>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</si>
  <si>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</si>
  <si>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</si>
  <si>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</si>
  <si>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</si>
  <si>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</si>
  <si>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</si>
  <si>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</si>
  <si>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</si>
  <si>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</si>
  <si>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</si>
  <si>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</si>
  <si>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</si>
  <si>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</si>
  <si>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</si>
  <si>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</si>
  <si>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Wind and Solar PV are handled differently in the model, relying on endogenous, capacity-based learning</t>
  </si>
  <si>
    <t>Average Utility Scale Solar Cost in Q4 of Year ($/W-dc)</t>
  </si>
  <si>
    <t>Installed Cost of Wind ($/kW-dc)</t>
  </si>
  <si>
    <t>We adjust 2015 dollars to 2012 dollars using the following conversion factor: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</si>
  <si>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</si>
  <si>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</si>
  <si>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</si>
  <si>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</si>
  <si>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</si>
  <si>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</si>
  <si>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</si>
  <si>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</si>
  <si>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</si>
  <si>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</si>
  <si>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</si>
  <si>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</si>
  <si>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</si>
  <si>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</si>
  <si>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</si>
  <si>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</si>
  <si>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</si>
  <si>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</si>
  <si>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</si>
  <si>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</si>
  <si>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</si>
  <si>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</si>
  <si>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</si>
  <si>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</si>
  <si>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</si>
  <si>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</si>
  <si>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</si>
  <si>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</si>
  <si>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</si>
  <si>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</si>
  <si>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</si>
  <si>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</si>
  <si>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</si>
  <si>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</si>
  <si>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</si>
  <si>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</si>
  <si>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</si>
  <si>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</si>
  <si>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</si>
  <si>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</si>
  <si>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</si>
  <si>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</si>
  <si>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</si>
  <si>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</si>
  <si>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</si>
  <si>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</si>
  <si>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</si>
  <si>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</si>
  <si>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</si>
  <si>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</si>
  <si>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</si>
  <si>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</si>
  <si>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</si>
  <si>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</si>
  <si>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</si>
  <si>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</si>
  <si>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</si>
  <si>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</si>
  <si>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</si>
  <si>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</si>
  <si>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</si>
  <si>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</si>
  <si>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</si>
  <si>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</si>
  <si>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</si>
  <si>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</si>
  <si>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</si>
  <si>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</si>
  <si>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</si>
  <si>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</si>
  <si>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</si>
  <si>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</si>
  <si>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</si>
  <si>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</si>
  <si>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</si>
  <si>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</si>
  <si>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</si>
  <si>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</si>
  <si>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</si>
  <si>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</si>
  <si>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</si>
  <si>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</si>
  <si>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</si>
  <si>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</si>
  <si>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</si>
  <si>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</si>
  <si>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</si>
  <si>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</si>
  <si>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</si>
  <si>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</si>
  <si>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</si>
  <si>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</si>
  <si>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</si>
  <si>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</si>
  <si>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</si>
  <si>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</si>
  <si>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</si>
  <si>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</si>
  <si>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</si>
  <si>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</si>
  <si>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</si>
  <si>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</si>
  <si>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</si>
  <si>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</si>
  <si>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</si>
  <si>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</si>
  <si>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</si>
  <si>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</si>
  <si>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</si>
  <si>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</si>
  <si>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</si>
  <si>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</si>
  <si>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</si>
  <si>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</si>
  <si>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</si>
  <si>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</si>
  <si>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</si>
  <si>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</si>
  <si>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</si>
  <si>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</si>
  <si>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</si>
  <si>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</si>
  <si>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</si>
  <si>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</si>
  <si>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</si>
  <si>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</si>
  <si>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</si>
  <si>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</si>
  <si>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</si>
  <si>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</si>
  <si>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</si>
  <si>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</si>
  <si>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</si>
  <si>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</si>
  <si>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</si>
  <si>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</si>
  <si>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</si>
  <si>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</si>
  <si>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</si>
  <si>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</si>
  <si>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</si>
  <si>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</si>
  <si>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</si>
  <si>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</si>
  <si>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</si>
  <si>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</si>
  <si>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</si>
  <si>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</si>
  <si>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</si>
  <si>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</si>
  <si>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</si>
  <si>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</si>
  <si>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</si>
  <si>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</si>
  <si>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</si>
  <si>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</si>
  <si>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</si>
  <si>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</si>
  <si>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</si>
  <si>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</si>
  <si>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</si>
  <si>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</si>
  <si>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</si>
  <si>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</si>
  <si>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</si>
  <si>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</si>
  <si>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</si>
  <si>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</si>
  <si>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</si>
  <si>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</si>
  <si>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</si>
  <si>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</si>
  <si>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</si>
  <si>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</si>
  <si>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</si>
  <si>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</si>
  <si>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</si>
  <si>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</si>
  <si>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</si>
  <si>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</si>
  <si>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</si>
  <si>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2016 (Q4)</t>
  </si>
  <si>
    <t>2016 Wind Technologies Market Report</t>
  </si>
  <si>
    <t>https://energy.gov/sites/prod/files/2017/10/f37/2016_Wind_Technologies_Market_Report_101317.pdf</t>
  </si>
  <si>
    <t>Page viii, bullet point 1</t>
  </si>
  <si>
    <t>2016 Onshore Wind Capital Cost</t>
  </si>
  <si>
    <t>curves to determine cost declines.  Therefore, we only specify the first simulated year costs in this spreadsheet,</t>
  </si>
  <si>
    <t>TABLA 4.2.10. COSTOS FIJOS DE OPERACIÓN Y MANTENIMIENTO</t>
  </si>
  <si>
    <t>(Dólares/kilowatt-año)</t>
  </si>
  <si>
    <t>Tecnología</t>
  </si>
  <si>
    <t>Valor medio</t>
  </si>
  <si>
    <t>Carboeléctrica</t>
  </si>
  <si>
    <t>Ciclo combinado</t>
  </si>
  <si>
    <t>Combustión Interna</t>
  </si>
  <si>
    <t>Eólica</t>
  </si>
  <si>
    <t>Geotérmica</t>
  </si>
  <si>
    <t>Hidroeléctrica</t>
  </si>
  <si>
    <t>Nucleoeléctrica</t>
  </si>
  <si>
    <t>Solar fotovoltaica</t>
  </si>
  <si>
    <t>Termoeléctrica convencional</t>
  </si>
  <si>
    <t>Termosolar</t>
  </si>
  <si>
    <t>Turbogás</t>
  </si>
  <si>
    <r>
      <t xml:space="preserve">Fuente: Costos y parámetros de referencia para la formulación de proyectos de inversión del sector eléctrico (COPAR-CFE, 2016), </t>
    </r>
    <r>
      <rPr>
        <sz val="7"/>
        <color theme="1"/>
        <rFont val="Soberana Sans"/>
        <family val="3"/>
      </rPr>
      <t>Lazard's Levelized Cost of energy Analysis (Versión 10.0).</t>
    </r>
  </si>
  <si>
    <t>TABLA 4.2.11. COSTO UNITARIO DE INVERSIÓN</t>
  </si>
  <si>
    <t>(Dólares/kilowatt)</t>
  </si>
  <si>
    <r>
      <t xml:space="preserve">Fuente: Costos y parámetros de referencia para la formulación de proyectos de inversión del sector eléctrico (COPAR-CFE, 2016). </t>
    </r>
    <r>
      <rPr>
        <sz val="7"/>
        <rFont val="Soberana Sans"/>
        <family val="3"/>
      </rPr>
      <t>Lazard's Levelized Cost of energy Analysis (Versión 10.0).</t>
    </r>
  </si>
  <si>
    <t xml:space="preserve">TABLA 4.2.12. COSTOS VARIABLES DE OPERACIÓN Y MANTENIMIENTO </t>
  </si>
  <si>
    <t xml:space="preserve">(Dólares/Megawatt-hora) </t>
  </si>
  <si>
    <r>
      <t xml:space="preserve">Fuente: Costos y parámetros de referencia para la formulación de proyectos de inversión del sector eléctrico (COPAR-CFE, 2016). </t>
    </r>
    <r>
      <rPr>
        <sz val="7"/>
        <color theme="1"/>
        <rFont val="Soberana Sans"/>
        <family val="3"/>
      </rPr>
      <t>Lazard's Levelized Cost of energy Analysis (Versión 10.0).</t>
    </r>
  </si>
  <si>
    <t>natural gas CC</t>
  </si>
  <si>
    <t>wind</t>
  </si>
  <si>
    <t>solar pv</t>
  </si>
  <si>
    <t>natural gas non peaker</t>
  </si>
  <si>
    <t>We adjust 2016 dollars to 2012 dollars using the following conversion factor:</t>
  </si>
  <si>
    <t>2016 Capital Costs (Except Biomass and Offshore Wind), Fixed O&amp;M, Variable O&amp;M</t>
  </si>
  <si>
    <t>2016 Capital Costs, Fixed O&amp;M, Variable O&amp;M for Biomass and Offshore Wind</t>
  </si>
  <si>
    <t>Except for wind and solar PV, our general approach is to take start year capital costs and</t>
  </si>
  <si>
    <t>cause them to decline at the same rate as costs declined in projections from NREL's Annual Technology Baseline.</t>
  </si>
  <si>
    <t xml:space="preserve">and the model handles calculations for subsequent years.  </t>
  </si>
  <si>
    <t>For lignite, we scale our coal values by multiplying the values</t>
  </si>
  <si>
    <t>Secretaría de Energía</t>
  </si>
  <si>
    <t>PRODESEN 2017-2031</t>
  </si>
  <si>
    <t>http://base.energia.gob.mx/prodesen/PRODESEN2017/Capitulo4.xlsx</t>
  </si>
  <si>
    <t>Capitulo4, Annex Tables 4.2.10, 4.2.11, and 4.2.12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</si>
</sst>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#,##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9"/>
      <color theme="1"/>
      <name val="Soberana Sans"/>
      <family val="3"/>
    </font>
    <font>
      <sz val="9"/>
      <color theme="1"/>
      <name val="Soberana Sans"/>
      <family val="3"/>
    </font>
    <font>
      <b/>
      <sz val="8"/>
      <color rgb="FF000000"/>
      <name val="Soberana Sans Light"/>
      <family val="3"/>
    </font>
    <font>
      <sz val="8"/>
      <color rgb="FF000000"/>
      <name val="Soberana Sans"/>
      <family val="3"/>
    </font>
    <font>
      <sz val="7"/>
      <color theme="1"/>
      <name val="Soberana Sans"/>
      <family val="3"/>
    </font>
    <font>
      <sz val="7"/>
      <name val="Soberana Sans"/>
      <family val="3"/>
    </font>
    <font>
      <sz val="8"/>
      <color rgb="FF000000"/>
      <name val="Soberana Sans Light"/>
      <family val="3"/>
    </font>
    <font>
      <sz val="11"/>
      <color rgb="FF00000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6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7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7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168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69" fontId="9" fillId="0" borderId="10" xfId="0" applyNumberFormat="1" applyFont="1" applyFill="1" applyBorder="1" applyAlignment="1">
      <alignment horizontal="center" vertical="top" wrapText="1"/>
    </xf>
    <xf numFmtId="166" fontId="9" fillId="0" borderId="9" xfId="0" applyNumberFormat="1" applyFont="1" applyFill="1" applyBorder="1" applyAlignment="1">
      <alignment horizontal="left" vertical="top" wrapText="1"/>
    </xf>
    <xf numFmtId="167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0" fillId="5" borderId="0" xfId="0" applyFill="1"/>
    <xf numFmtId="0" fontId="14" fillId="6" borderId="12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left" vertical="center"/>
    </xf>
    <xf numFmtId="170" fontId="15" fillId="7" borderId="13" xfId="0" applyNumberFormat="1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left" vertical="center"/>
    </xf>
    <xf numFmtId="170" fontId="18" fillId="7" borderId="15" xfId="0" applyNumberFormat="1" applyFont="1" applyFill="1" applyBorder="1" applyAlignment="1">
      <alignment horizontal="right" vertical="center" wrapText="1"/>
    </xf>
    <xf numFmtId="0" fontId="0" fillId="3" borderId="0" xfId="0" applyFill="1"/>
    <xf numFmtId="2" fontId="0" fillId="3" borderId="0" xfId="0" applyNumberFormat="1" applyFill="1"/>
    <xf numFmtId="1" fontId="0" fillId="8" borderId="0" xfId="0" applyNumberFormat="1" applyFill="1"/>
    <xf numFmtId="0" fontId="0" fillId="0" borderId="0" xfId="0" applyFont="1" applyFill="1" applyBorder="1" applyAlignment="1">
      <alignment horizontal="right"/>
    </xf>
    <xf numFmtId="0" fontId="19" fillId="0" borderId="0" xfId="0" applyFont="1"/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16" fillId="5" borderId="14" xfId="0" applyFont="1" applyFill="1" applyBorder="1" applyAlignment="1">
      <alignment horizontal="justify" vertical="center" wrapText="1"/>
    </xf>
    <xf numFmtId="0" fontId="17" fillId="0" borderId="14" xfId="0" applyFont="1" applyFill="1" applyBorder="1" applyAlignment="1">
      <alignment horizontal="justify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5" borderId="16" xfId="0" applyFont="1" applyFill="1" applyBorder="1" applyAlignment="1">
      <alignment horizontal="justify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P-08\ESCOMB08%20Correci&#243;n%2007ago08%20-%20Con%20GNL%20y%20nivelados%2008-18%20+%2008-37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sicos"/>
      <sheetName val="Combustóleo"/>
      <sheetName val="Gas natural"/>
      <sheetName val="GNLCarbón y Diesel"/>
      <sheetName val="B"/>
      <sheetName val="E"/>
      <sheetName val="H"/>
      <sheetName val="K"/>
      <sheetName val="C"/>
      <sheetName val="F"/>
      <sheetName val="I"/>
      <sheetName val="L"/>
      <sheetName val="Índice"/>
      <sheetName val="Pod Calorif"/>
      <sheetName val="Pod. Calorif Continuación"/>
      <sheetName val="TC y Defla."/>
      <sheetName val="Fletes(1)"/>
      <sheetName val="Fletes(2)"/>
      <sheetName val="FleteCarbón impor. Nw Peta "/>
      <sheetName val="FleteCarbón import. Bolivar Alt"/>
      <sheetName val="GNL"/>
      <sheetName val="GNlLContinuación"/>
      <sheetName val="Diferenciales"/>
      <sheetName val="Equivalencias"/>
      <sheetName val="Fue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F2" t="str">
            <v>Escenario de Precios de Combustibles  2008 - 2037</v>
          </cell>
          <cell r="K2" t="str">
            <v>Anexo 1 - Poderes caloríficos por tipo de combustible</v>
          </cell>
        </row>
        <row r="4">
          <cell r="E4" t="str">
            <v xml:space="preserve">E X T E R N O S         </v>
          </cell>
        </row>
        <row r="7">
          <cell r="F7" t="str">
            <v>REFERENCIA :   SPOT</v>
          </cell>
        </row>
        <row r="8">
          <cell r="J8" t="str">
            <v xml:space="preserve"> Mill. Btu/bl </v>
          </cell>
          <cell r="L8" t="str">
            <v xml:space="preserve"> Kcal./ lt</v>
          </cell>
          <cell r="N8" t="str">
            <v xml:space="preserve"> KJ./ lt</v>
          </cell>
        </row>
        <row r="9">
          <cell r="H9" t="str">
            <v>USA  Imported Oil</v>
          </cell>
          <cell r="J9">
            <v>5.98</v>
          </cell>
          <cell r="L9">
            <v>9478.4929362282401</v>
          </cell>
          <cell r="N9">
            <v>39684.554225400396</v>
          </cell>
        </row>
        <row r="10">
          <cell r="H10" t="str">
            <v>West Texas Intermediate (WTI),  0.3%S,  38º - 40º API, Cushing</v>
          </cell>
          <cell r="J10">
            <v>5.8250000000000002</v>
          </cell>
          <cell r="L10">
            <v>9232.8129353728236</v>
          </cell>
          <cell r="N10">
            <v>38655.941197818938</v>
          </cell>
        </row>
        <row r="11">
          <cell r="H11" t="str">
            <v xml:space="preserve">Residual Fuel Oil,  No.6, 3%S,  Gulf Coast </v>
          </cell>
          <cell r="J11">
            <v>6.2869999999999999</v>
          </cell>
          <cell r="L11">
            <v>9965.0978411483193</v>
          </cell>
          <cell r="N11">
            <v>41721.871641319784</v>
          </cell>
        </row>
        <row r="12">
          <cell r="H12" t="str">
            <v>Residual  Fuel Oil No. 6, 1%S,  Gulf Coast</v>
          </cell>
          <cell r="J12">
            <v>6.2869999999999999</v>
          </cell>
          <cell r="L12">
            <v>9965.0978411483193</v>
          </cell>
          <cell r="N12">
            <v>41721.871641319784</v>
          </cell>
        </row>
        <row r="13">
          <cell r="H13" t="str">
            <v xml:space="preserve">Residual  Fuel No. 6, 1%S,   West Coast </v>
          </cell>
          <cell r="J13">
            <v>6.2869999999999999</v>
          </cell>
          <cell r="L13">
            <v>9965.0978411483193</v>
          </cell>
          <cell r="N13">
            <v>41721.871641319784</v>
          </cell>
        </row>
        <row r="14">
          <cell r="H14" t="str">
            <v>Bunker  Houston Gulf Coast, máx. 4.5%S</v>
          </cell>
          <cell r="J14">
            <v>6.2869999999999999</v>
          </cell>
          <cell r="L14">
            <v>9965.0978411483193</v>
          </cell>
          <cell r="N14">
            <v>41721.871641319784</v>
          </cell>
        </row>
        <row r="15">
          <cell r="H15" t="str">
            <v>Bunker "C" Los Angeles ( West Coast) máx. 4.5%S</v>
          </cell>
          <cell r="J15">
            <v>6.2869999999999999</v>
          </cell>
          <cell r="L15">
            <v>9965.0978411483193</v>
          </cell>
          <cell r="N15">
            <v>41721.871641319784</v>
          </cell>
        </row>
        <row r="16">
          <cell r="H16" t="str">
            <v>Fuel Oil No. 2,  Gulf Coast, 0.2%S</v>
          </cell>
          <cell r="J16">
            <v>5.8250000000000002</v>
          </cell>
          <cell r="L16">
            <v>9232.8129353728236</v>
          </cell>
          <cell r="N16">
            <v>38655.941197818938</v>
          </cell>
        </row>
        <row r="17">
          <cell r="H17" t="str">
            <v>Fuel Oil No. 2,  LS Gulf Coast, 0.05%S</v>
          </cell>
          <cell r="J17">
            <v>5.8250000000000002</v>
          </cell>
          <cell r="L17">
            <v>9232.8129353728236</v>
          </cell>
          <cell r="N17">
            <v>38655.941197818938</v>
          </cell>
        </row>
        <row r="18">
          <cell r="H18" t="str">
            <v>Fuel Oil No. 2, LS Los Angeles 0.05%S</v>
          </cell>
          <cell r="J18">
            <v>5.8250000000000002</v>
          </cell>
          <cell r="L18">
            <v>9232.8129353728236</v>
          </cell>
          <cell r="N18">
            <v>38655.941197818938</v>
          </cell>
        </row>
        <row r="20">
          <cell r="J20" t="str">
            <v xml:space="preserve"> Mill. Btu/MPC </v>
          </cell>
          <cell r="L20" t="str">
            <v xml:space="preserve"> Kcal./ m^3</v>
          </cell>
          <cell r="N20" t="str">
            <v xml:space="preserve"> KJ./m^3</v>
          </cell>
        </row>
        <row r="21">
          <cell r="H21" t="str">
            <v>Natural Gas Average  Wellhead</v>
          </cell>
          <cell r="J21">
            <v>1.028</v>
          </cell>
          <cell r="L21">
            <v>9148.4771515199991</v>
          </cell>
          <cell r="N21">
            <v>38302.844137983928</v>
          </cell>
        </row>
        <row r="22">
          <cell r="H22" t="str">
            <v>Natural Gas (Gulf Coast, Henry Hub, South Texas,Permian, San Juan, Ehrenberg  y  SoCal)</v>
          </cell>
          <cell r="J22">
            <v>1.028</v>
          </cell>
          <cell r="L22">
            <v>9148.4771515199991</v>
          </cell>
          <cell r="N22">
            <v>38302.844137983928</v>
          </cell>
        </row>
        <row r="24">
          <cell r="J24" t="str">
            <v xml:space="preserve">Mill. Btu/TM </v>
          </cell>
          <cell r="L24" t="str">
            <v xml:space="preserve"> Kcal./Kg</v>
          </cell>
          <cell r="N24" t="str">
            <v xml:space="preserve"> KJ/Kg</v>
          </cell>
          <cell r="P24" t="str">
            <v xml:space="preserve"> Mill. Btu/TC </v>
          </cell>
          <cell r="R24" t="str">
            <v xml:space="preserve"> Btu/lb </v>
          </cell>
        </row>
        <row r="25">
          <cell r="H25" t="str">
            <v>Coal  Australia  1.0 %S ( 10% cenizas ) Newcastle, Port Kembla, FOB</v>
          </cell>
          <cell r="J25">
            <v>25.000420531765116</v>
          </cell>
          <cell r="L25">
            <v>6300.1059740048095</v>
          </cell>
          <cell r="N25">
            <v>26377.283691963334</v>
          </cell>
          <cell r="P25">
            <v>22.68</v>
          </cell>
          <cell r="R25">
            <v>11340</v>
          </cell>
        </row>
        <row r="26">
          <cell r="H26" t="str">
            <v>Coal Colombia   0.8 %S (10% cenizas) Bolivar, FOB</v>
          </cell>
          <cell r="J26">
            <v>25.000420531765116</v>
          </cell>
          <cell r="L26">
            <v>6300.1059740048095</v>
          </cell>
          <cell r="N26">
            <v>26377.283691963334</v>
          </cell>
          <cell r="P26">
            <v>22.68</v>
          </cell>
          <cell r="R26">
            <v>11340</v>
          </cell>
        </row>
        <row r="27">
          <cell r="H27" t="str">
            <v>Coal Richards Bay  1.0 %S (16% cenizas) South Africa, FOB</v>
          </cell>
          <cell r="J27">
            <v>24.603174603174608</v>
          </cell>
          <cell r="L27">
            <v>6200</v>
          </cell>
          <cell r="N27">
            <v>25958.16</v>
          </cell>
          <cell r="P27">
            <v>22.31962455555556</v>
          </cell>
          <cell r="R27">
            <v>11159.812277777781</v>
          </cell>
        </row>
        <row r="28">
          <cell r="H28" t="str">
            <v>Coal ARA  (Amsterdam, Rotterdam, Antwerp) N.W. Europe,  1.0%S (16% ceniza) CIF</v>
          </cell>
          <cell r="J28">
            <v>23.809524</v>
          </cell>
          <cell r="L28">
            <v>6000.0000479999999</v>
          </cell>
          <cell r="N28">
            <v>25120.800200966398</v>
          </cell>
          <cell r="P28">
            <v>21.599636839463759</v>
          </cell>
          <cell r="R28">
            <v>10799.818419731879</v>
          </cell>
        </row>
        <row r="29">
          <cell r="H29" t="str">
            <v xml:space="preserve">USA  Coal Export, Average Free Alongside Ship (fas) </v>
          </cell>
          <cell r="J29">
            <v>28.057129796958442</v>
          </cell>
          <cell r="L29">
            <v>7070.3967088335276</v>
          </cell>
          <cell r="N29">
            <v>29602.336940544214</v>
          </cell>
          <cell r="P29">
            <v>25.452999999999999</v>
          </cell>
          <cell r="R29">
            <v>12726.5</v>
          </cell>
        </row>
        <row r="30">
          <cell r="H30" t="str">
            <v xml:space="preserve">USA  Steam Coal Export, Average Free Alongside Ship (fas) </v>
          </cell>
          <cell r="J30">
            <v>23.809523809523807</v>
          </cell>
          <cell r="L30">
            <v>6000</v>
          </cell>
          <cell r="N30">
            <v>25120.799999999999</v>
          </cell>
          <cell r="P30">
            <v>21.599636666666665</v>
          </cell>
          <cell r="R30">
            <v>10799.818333333333</v>
          </cell>
        </row>
        <row r="31">
          <cell r="H31" t="str">
            <v>USA Coal Central Appalachia (CAPP) USA   1.0%S</v>
          </cell>
          <cell r="J31">
            <v>26.468253968254</v>
          </cell>
          <cell r="L31">
            <v>6670.0000000000082</v>
          </cell>
          <cell r="N31">
            <v>27925.956000000035</v>
          </cell>
          <cell r="P31">
            <v>24.011596094444474</v>
          </cell>
          <cell r="R31">
            <v>12005.798047222237</v>
          </cell>
        </row>
        <row r="33">
          <cell r="F33" t="str">
            <v>EMPRESAS ELÉCTRICAS :</v>
          </cell>
        </row>
        <row r="34">
          <cell r="J34" t="str">
            <v xml:space="preserve"> Mill. Btu/bl</v>
          </cell>
          <cell r="L34" t="str">
            <v xml:space="preserve"> Kcal./ lt</v>
          </cell>
          <cell r="N34" t="str">
            <v xml:space="preserve"> KJ./ lt</v>
          </cell>
        </row>
        <row r="35">
          <cell r="H35" t="str">
            <v>Residual Electric Power Industry  USA  &lt; 1%S</v>
          </cell>
          <cell r="J35">
            <v>6.2869999999999999</v>
          </cell>
          <cell r="L35">
            <v>9965.0978411483193</v>
          </cell>
          <cell r="N35">
            <v>41721.871641319784</v>
          </cell>
        </row>
        <row r="36">
          <cell r="H36" t="str">
            <v>Distillate Electric Power Industry  USA  &lt; 0.05%S</v>
          </cell>
          <cell r="J36">
            <v>5.8250000000000002</v>
          </cell>
          <cell r="L36">
            <v>9232.8129353728236</v>
          </cell>
          <cell r="N36">
            <v>38655.941197818938</v>
          </cell>
        </row>
        <row r="38">
          <cell r="J38" t="str">
            <v xml:space="preserve"> Mill. Btu/MPC </v>
          </cell>
          <cell r="L38" t="str">
            <v xml:space="preserve"> Kcal./ m^3</v>
          </cell>
          <cell r="N38" t="str">
            <v xml:space="preserve"> KJ./m^3</v>
          </cell>
        </row>
        <row r="39">
          <cell r="H39" t="str">
            <v xml:space="preserve">Natural Gas Electric Power Industry   USA  </v>
          </cell>
          <cell r="J39">
            <v>1.028</v>
          </cell>
          <cell r="L39">
            <v>9148.4771515199991</v>
          </cell>
          <cell r="N39">
            <v>38302.844137983928</v>
          </cell>
        </row>
        <row r="41">
          <cell r="J41" t="str">
            <v xml:space="preserve">Mill. Btu/TM </v>
          </cell>
          <cell r="L41" t="str">
            <v xml:space="preserve"> Kcal./Kg</v>
          </cell>
          <cell r="N41" t="str">
            <v xml:space="preserve"> KJ/Kg</v>
          </cell>
          <cell r="P41" t="str">
            <v xml:space="preserve"> Mill. Btu/TC </v>
          </cell>
          <cell r="R41" t="str">
            <v xml:space="preserve"> Btu/lb </v>
          </cell>
        </row>
        <row r="42">
          <cell r="H42" t="str">
            <v>Coal  Minemouth  0.96%S, 8.97% cenizas</v>
          </cell>
          <cell r="J42">
            <v>22.392351970118014</v>
          </cell>
          <cell r="L42">
            <v>5642.8726964697398</v>
          </cell>
          <cell r="N42">
            <v>23625.579405579505</v>
          </cell>
          <cell r="P42">
            <v>20.314</v>
          </cell>
          <cell r="R42">
            <v>10157</v>
          </cell>
        </row>
        <row r="43">
          <cell r="H43" t="str">
            <v>Coal Electric Power Industry USA,  0.97%S , 8.65% cenizas</v>
          </cell>
          <cell r="J43">
            <v>21.970166738033974</v>
          </cell>
          <cell r="L43">
            <v>5536.4820179845628</v>
          </cell>
          <cell r="N43">
            <v>23180.142912897765</v>
          </cell>
          <cell r="P43">
            <v>19.931000000000001</v>
          </cell>
          <cell r="R43">
            <v>9965.5</v>
          </cell>
        </row>
        <row r="46">
          <cell r="B46" t="str">
            <v xml:space="preserve">Fuentes : Energy Information Administration, Department of Energy (EIA/DOE),Official Energy Statistics of the US Government, 2008 </v>
          </cell>
        </row>
        <row r="47">
          <cell r="B47" t="str">
            <v xml:space="preserve">                 Sener, Escenarios macroeconómicos y de precios de combustibles de largo plazo 2008-2037, 19 de febrero de 2008  </v>
          </cell>
        </row>
        <row r="49">
          <cell r="B49">
            <v>37</v>
          </cell>
        </row>
      </sheetData>
      <sheetData sheetId="14">
        <row r="2">
          <cell r="B2" t="str">
            <v>Escenario de Precios de Combustibles  2008 - 2037</v>
          </cell>
        </row>
      </sheetData>
      <sheetData sheetId="15">
        <row r="2">
          <cell r="F2" t="str">
            <v>Escenario de Precios de Combustibles  2008 - 2037</v>
          </cell>
        </row>
      </sheetData>
      <sheetData sheetId="16">
        <row r="2">
          <cell r="B2" t="str">
            <v>Escenario de Precios de Combustibles  2008-2037</v>
          </cell>
        </row>
      </sheetData>
      <sheetData sheetId="17">
        <row r="2">
          <cell r="B2" t="str">
            <v>Escenario de Precios de Combustibles  2008- 2037</v>
          </cell>
        </row>
      </sheetData>
      <sheetData sheetId="18">
        <row r="2">
          <cell r="D2" t="str">
            <v>Escenario de Precios de Combustibles  2008 -2037</v>
          </cell>
        </row>
      </sheetData>
      <sheetData sheetId="19">
        <row r="2">
          <cell r="D2" t="str">
            <v>Escenario de Precios de Combustibles  2008 - 2037</v>
          </cell>
          <cell r="M2" t="str">
            <v xml:space="preserve">Anexo 5  -  Fletes de Carbón Importado </v>
          </cell>
        </row>
        <row r="5">
          <cell r="D5" t="str">
            <v xml:space="preserve">FLETE MARÍTIMO IMPLÍCITO DEL CARBÓN IMPORTADO </v>
          </cell>
        </row>
        <row r="6">
          <cell r="D6" t="str">
            <v>Bolivar, Colombia  a  Altamira, México</v>
          </cell>
        </row>
        <row r="7">
          <cell r="D7" t="str">
            <v>( Escenarios )</v>
          </cell>
        </row>
        <row r="8">
          <cell r="E8" t="str">
            <v>Año</v>
          </cell>
          <cell r="F8" t="str">
            <v>Bajo</v>
          </cell>
          <cell r="G8" t="str">
            <v>Referencia</v>
          </cell>
          <cell r="H8" t="str">
            <v>Alto</v>
          </cell>
        </row>
        <row r="9">
          <cell r="F9" t="str">
            <v>Dólares del 2008 por tonelada métrica</v>
          </cell>
        </row>
        <row r="11">
          <cell r="E11">
            <v>2002</v>
          </cell>
        </row>
        <row r="12">
          <cell r="E12">
            <v>2003</v>
          </cell>
        </row>
        <row r="13">
          <cell r="E13">
            <v>2004</v>
          </cell>
        </row>
        <row r="14">
          <cell r="E14">
            <v>2005</v>
          </cell>
        </row>
        <row r="15">
          <cell r="E15">
            <v>2006</v>
          </cell>
        </row>
        <row r="16">
          <cell r="E16">
            <v>2007</v>
          </cell>
          <cell r="F16">
            <v>18.459931464279112</v>
          </cell>
          <cell r="G16">
            <v>18.459931464279112</v>
          </cell>
          <cell r="H16">
            <v>18.459931464279112</v>
          </cell>
        </row>
        <row r="17">
          <cell r="E17">
            <v>2008</v>
          </cell>
          <cell r="F17">
            <v>22.388592316856091</v>
          </cell>
          <cell r="G17">
            <v>22.388592316856091</v>
          </cell>
          <cell r="H17">
            <v>22.388592316856091</v>
          </cell>
        </row>
        <row r="18">
          <cell r="E18">
            <v>2009</v>
          </cell>
          <cell r="F18">
            <v>20.796886969726941</v>
          </cell>
          <cell r="G18">
            <v>20.796886969726941</v>
          </cell>
          <cell r="H18">
            <v>23.595141593415697</v>
          </cell>
        </row>
        <row r="19">
          <cell r="E19">
            <v>2010</v>
          </cell>
          <cell r="F19">
            <v>9.1604439867158618</v>
          </cell>
          <cell r="G19">
            <v>14.660443986715862</v>
          </cell>
          <cell r="H19">
            <v>24.801690869975303</v>
          </cell>
        </row>
        <row r="20">
          <cell r="E20">
            <v>2011</v>
          </cell>
          <cell r="F20">
            <v>8.7848916197909652</v>
          </cell>
          <cell r="G20">
            <v>15.707618557195566</v>
          </cell>
          <cell r="H20">
            <v>25.751191525414928</v>
          </cell>
        </row>
        <row r="21">
          <cell r="E21">
            <v>2012</v>
          </cell>
          <cell r="F21">
            <v>8.4247358406851127</v>
          </cell>
          <cell r="G21">
            <v>15.184031271955718</v>
          </cell>
          <cell r="H21">
            <v>26.737042585325227</v>
          </cell>
        </row>
        <row r="22">
          <cell r="E22">
            <v>2013</v>
          </cell>
          <cell r="F22">
            <v>8.0793454327229544</v>
          </cell>
          <cell r="G22">
            <v>14.660443986715869</v>
          </cell>
          <cell r="H22">
            <v>27.76063567792427</v>
          </cell>
        </row>
        <row r="23">
          <cell r="E23">
            <v>2014</v>
          </cell>
          <cell r="F23">
            <v>7.7481150573325186</v>
          </cell>
          <cell r="G23">
            <v>14.136856701476013</v>
          </cell>
          <cell r="H23">
            <v>28.82341570811646</v>
          </cell>
        </row>
        <row r="24">
          <cell r="E24">
            <v>2015</v>
          </cell>
          <cell r="F24">
            <v>7.4304641931159621</v>
          </cell>
          <cell r="G24">
            <v>13.613269416236164</v>
          </cell>
          <cell r="H24">
            <v>29.926882897121569</v>
          </cell>
        </row>
        <row r="25">
          <cell r="E25">
            <v>2016</v>
          </cell>
          <cell r="F25">
            <v>7.1258361184154229</v>
          </cell>
          <cell r="G25">
            <v>13.822704330332122</v>
          </cell>
          <cell r="H25">
            <v>31.072594900188324</v>
          </cell>
        </row>
        <row r="26">
          <cell r="E26">
            <v>2017</v>
          </cell>
          <cell r="F26">
            <v>6.8336969355908082</v>
          </cell>
          <cell r="G26">
            <v>14.032139244428052</v>
          </cell>
          <cell r="H26">
            <v>32.262169005381907</v>
          </cell>
        </row>
        <row r="27">
          <cell r="E27">
            <v>2018</v>
          </cell>
          <cell r="F27">
            <v>6.5535346352994415</v>
          </cell>
          <cell r="G27">
            <v>14.241574158523981</v>
          </cell>
          <cell r="H27">
            <v>33.497284416549213</v>
          </cell>
        </row>
        <row r="28">
          <cell r="E28">
            <v>2019</v>
          </cell>
          <cell r="F28">
            <v>6.2848581991375996</v>
          </cell>
          <cell r="G28">
            <v>14.451009072619918</v>
          </cell>
          <cell r="H28">
            <v>34.779684623684474</v>
          </cell>
        </row>
        <row r="29">
          <cell r="E29">
            <v>2020</v>
          </cell>
          <cell r="F29">
            <v>6.027196739071222</v>
          </cell>
          <cell r="G29">
            <v>14.660443986715862</v>
          </cell>
          <cell r="H29">
            <v>36.111179864041205</v>
          </cell>
        </row>
        <row r="30">
          <cell r="E30">
            <v>2021</v>
          </cell>
          <cell r="F30">
            <v>6.027196739071222</v>
          </cell>
          <cell r="G30">
            <v>14.878809996034271</v>
          </cell>
          <cell r="H30">
            <v>37.500964741231698</v>
          </cell>
        </row>
        <row r="31">
          <cell r="E31">
            <v>2022</v>
          </cell>
          <cell r="F31">
            <v>6.027196739071222</v>
          </cell>
          <cell r="G31">
            <v>15.100247695550479</v>
          </cell>
          <cell r="H31">
            <v>38.937443420854649</v>
          </cell>
        </row>
        <row r="32">
          <cell r="E32">
            <v>2023</v>
          </cell>
          <cell r="F32">
            <v>6.027196739071222</v>
          </cell>
          <cell r="G32">
            <v>15.324798728458923</v>
          </cell>
          <cell r="H32">
            <v>40.42209252695622</v>
          </cell>
        </row>
        <row r="33">
          <cell r="E33">
            <v>2024</v>
          </cell>
          <cell r="F33">
            <v>6.027196739071222</v>
          </cell>
          <cell r="G33">
            <v>15.552505288168028</v>
          </cell>
          <cell r="H33">
            <v>41.956433662954851</v>
          </cell>
        </row>
        <row r="34">
          <cell r="E34">
            <v>2025</v>
          </cell>
          <cell r="F34">
            <v>6.027196739071222</v>
          </cell>
          <cell r="G34">
            <v>15.783410125433484</v>
          </cell>
          <cell r="H34">
            <v>43.542034747790694</v>
          </cell>
        </row>
        <row r="35">
          <cell r="E35">
            <v>2026</v>
          </cell>
          <cell r="F35">
            <v>6.027196739071222</v>
          </cell>
          <cell r="G35">
            <v>16.017556555582743</v>
          </cell>
          <cell r="H35">
            <v>45.180511391068919</v>
          </cell>
        </row>
        <row r="36">
          <cell r="E36">
            <v>2027</v>
          </cell>
          <cell r="F36">
            <v>6.027196739071222</v>
          </cell>
          <cell r="G36">
            <v>16.254988465831822</v>
          </cell>
          <cell r="H36">
            <v>46.873528308320132</v>
          </cell>
        </row>
        <row r="37">
          <cell r="E37">
            <v>2028</v>
          </cell>
          <cell r="F37">
            <v>6.027196739071222</v>
          </cell>
          <cell r="G37">
            <v>16.495750322695457</v>
          </cell>
          <cell r="H37">
            <v>48.622800777533115</v>
          </cell>
        </row>
        <row r="38">
          <cell r="E38">
            <v>2029</v>
          </cell>
          <cell r="F38">
            <v>6.027196739071222</v>
          </cell>
          <cell r="G38">
            <v>16.73988717949203</v>
          </cell>
          <cell r="H38">
            <v>50.4300961381484</v>
          </cell>
        </row>
        <row r="39">
          <cell r="E39">
            <v>2030</v>
          </cell>
          <cell r="F39">
            <v>6.027196739071222</v>
          </cell>
          <cell r="G39">
            <v>16.987444683944275</v>
          </cell>
          <cell r="H39">
            <v>52.297235333734548</v>
          </cell>
        </row>
        <row r="40">
          <cell r="E40">
            <v>2031</v>
          </cell>
          <cell r="F40">
            <v>6.027196739071222</v>
          </cell>
          <cell r="G40">
            <v>17.238469085877043</v>
          </cell>
          <cell r="H40">
            <v>54.226094499604542</v>
          </cell>
        </row>
        <row r="41">
          <cell r="E41">
            <v>2032</v>
          </cell>
          <cell r="F41">
            <v>6.027196739071222</v>
          </cell>
          <cell r="G41">
            <v>17.493007245013402</v>
          </cell>
          <cell r="H41">
            <v>56.218606596664515</v>
          </cell>
        </row>
        <row r="42">
          <cell r="E42">
            <v>2033</v>
          </cell>
          <cell r="F42">
            <v>6.027196739071222</v>
          </cell>
          <cell r="G42">
            <v>17.751106638870098</v>
          </cell>
          <cell r="H42">
            <v>58.276763092825377</v>
          </cell>
        </row>
        <row r="43">
          <cell r="E43">
            <v>2034</v>
          </cell>
          <cell r="F43">
            <v>6.027196739071222</v>
          </cell>
          <cell r="G43">
            <v>18.012815370754026</v>
          </cell>
          <cell r="H43">
            <v>60.402615693344117</v>
          </cell>
        </row>
        <row r="44">
          <cell r="E44">
            <v>2035</v>
          </cell>
          <cell r="F44">
            <v>6.027196739071222</v>
          </cell>
          <cell r="G44">
            <v>18.278182177860572</v>
          </cell>
          <cell r="H44">
            <v>62.59827812150138</v>
          </cell>
        </row>
        <row r="45">
          <cell r="E45">
            <v>2036</v>
          </cell>
          <cell r="F45">
            <v>6.027196739071222</v>
          </cell>
          <cell r="G45">
            <v>18.547256439475305</v>
          </cell>
          <cell r="H45">
            <v>64.865927951062588</v>
          </cell>
        </row>
        <row r="46">
          <cell r="E46">
            <v>2037</v>
          </cell>
          <cell r="F46">
            <v>6.027196739071222</v>
          </cell>
          <cell r="G46">
            <v>18.820088185280341</v>
          </cell>
          <cell r="H46">
            <v>67.207808492009704</v>
          </cell>
        </row>
        <row r="50">
          <cell r="D50" t="str">
            <v xml:space="preserve">Fuente : SENER, Escenarios macroeconómicos y de precios de combustibles de largo plazo 2008-2037, 19 de febrero 2008 </v>
          </cell>
        </row>
        <row r="52">
          <cell r="D52">
            <v>43</v>
          </cell>
        </row>
      </sheetData>
      <sheetData sheetId="20">
        <row r="2">
          <cell r="C2" t="str">
            <v>Escenario de Precios de Combustibles  2008 - 2037</v>
          </cell>
        </row>
      </sheetData>
      <sheetData sheetId="21">
        <row r="2">
          <cell r="C2" t="str">
            <v>Escenario de Precios de Combustibles  2008 - 2037</v>
          </cell>
        </row>
      </sheetData>
      <sheetData sheetId="22">
        <row r="2">
          <cell r="D2" t="str">
            <v>Escenario de Precios de Combustibles  2008 - 2037</v>
          </cell>
        </row>
      </sheetData>
      <sheetData sheetId="23">
        <row r="2">
          <cell r="D2" t="str">
            <v>Escenario de Precios de Combustibles  2008 - 2037</v>
          </cell>
        </row>
      </sheetData>
      <sheetData sheetId="24">
        <row r="2">
          <cell r="B2" t="str">
            <v>Escenario de Precios de Combustibles  2008 - 2037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15-08/documents/coalperform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/>
  </sheetViews>
  <sheetFormatPr defaultColWidth="9.1796875" defaultRowHeight="14.5"/>
  <cols>
    <col min="1" max="1" width="9.1796875" style="2"/>
    <col min="2" max="2" width="78.54296875" style="2" customWidth="1"/>
    <col min="3" max="3" width="7.453125" style="2" customWidth="1"/>
    <col min="4" max="4" width="77.54296875" style="2" customWidth="1"/>
    <col min="5" max="5" width="10.7265625" style="2" customWidth="1"/>
    <col min="6" max="6" width="56.1796875" style="2" bestFit="1" customWidth="1"/>
    <col min="7" max="11" width="10.7265625" style="2" customWidth="1"/>
    <col min="12" max="16384" width="9.1796875" style="2"/>
  </cols>
  <sheetData>
    <row r="1" spans="1:6">
      <c r="A1" s="1" t="s">
        <v>12</v>
      </c>
    </row>
    <row r="2" spans="1:6">
      <c r="A2" s="1" t="s">
        <v>13</v>
      </c>
    </row>
    <row r="3" spans="1:6">
      <c r="A3" s="1" t="s">
        <v>14</v>
      </c>
    </row>
    <row r="5" spans="1:6">
      <c r="A5" s="5" t="s">
        <v>4</v>
      </c>
      <c r="B5" s="6" t="s">
        <v>281</v>
      </c>
      <c r="C5" s="8"/>
      <c r="D5" s="14" t="s">
        <v>252</v>
      </c>
      <c r="E5" s="8"/>
      <c r="F5" s="6" t="s">
        <v>282</v>
      </c>
    </row>
    <row r="6" spans="1:6" ht="16.5">
      <c r="B6" s="63" t="s">
        <v>287</v>
      </c>
      <c r="D6" s="18" t="s">
        <v>5</v>
      </c>
      <c r="F6" s="20" t="s">
        <v>1</v>
      </c>
    </row>
    <row r="7" spans="1:6">
      <c r="B7" s="2">
        <v>2018</v>
      </c>
      <c r="D7" s="2">
        <v>2017</v>
      </c>
      <c r="F7" s="2">
        <v>2015</v>
      </c>
    </row>
    <row r="8" spans="1:6">
      <c r="B8" s="20" t="s">
        <v>288</v>
      </c>
      <c r="D8" s="18" t="s">
        <v>249</v>
      </c>
      <c r="F8" s="20" t="s">
        <v>60</v>
      </c>
    </row>
    <row r="9" spans="1:6">
      <c r="B9" s="3" t="s">
        <v>289</v>
      </c>
      <c r="D9" s="3" t="s">
        <v>250</v>
      </c>
      <c r="F9" s="3" t="s">
        <v>59</v>
      </c>
    </row>
    <row r="10" spans="1:6">
      <c r="B10" t="s">
        <v>290</v>
      </c>
      <c r="D10" s="18" t="s">
        <v>251</v>
      </c>
      <c r="F10" s="20" t="s">
        <v>58</v>
      </c>
    </row>
    <row r="11" spans="1:6">
      <c r="B11"/>
      <c r="D11" s="9"/>
    </row>
    <row r="12" spans="1:6">
      <c r="B12" s="6" t="s">
        <v>118</v>
      </c>
      <c r="D12" s="6" t="s">
        <v>247</v>
      </c>
    </row>
    <row r="13" spans="1:6">
      <c r="B13" s="20" t="s">
        <v>119</v>
      </c>
      <c r="D13" s="20" t="s">
        <v>159</v>
      </c>
    </row>
    <row r="14" spans="1:6">
      <c r="B14" s="2">
        <v>2009</v>
      </c>
      <c r="D14" s="2">
        <v>2016</v>
      </c>
    </row>
    <row r="15" spans="1:6">
      <c r="B15" s="2" t="s">
        <v>120</v>
      </c>
      <c r="D15" s="20" t="s">
        <v>160</v>
      </c>
    </row>
    <row r="16" spans="1:6">
      <c r="B16" s="3" t="s">
        <v>121</v>
      </c>
      <c r="D16" s="3" t="s">
        <v>161</v>
      </c>
    </row>
    <row r="17" spans="1:11">
      <c r="B17" s="20" t="s">
        <v>122</v>
      </c>
      <c r="D17" s="18"/>
    </row>
    <row r="18" spans="1:11">
      <c r="B18" s="20"/>
    </row>
    <row r="19" spans="1:11">
      <c r="A19" s="7"/>
    </row>
    <row r="20" spans="1:11">
      <c r="A20" s="7" t="s">
        <v>23</v>
      </c>
      <c r="D20" s="7"/>
      <c r="E20" s="11"/>
      <c r="F20" s="11"/>
      <c r="G20" s="11"/>
      <c r="H20" s="11"/>
      <c r="I20" s="11"/>
      <c r="J20" s="11"/>
      <c r="K20" s="11"/>
    </row>
    <row r="21" spans="1:11">
      <c r="A21" s="10" t="s">
        <v>283</v>
      </c>
      <c r="D21" s="7"/>
      <c r="E21" s="11"/>
      <c r="F21" s="11"/>
      <c r="G21" s="11"/>
      <c r="H21" s="11"/>
      <c r="I21" s="11"/>
      <c r="J21" s="11"/>
      <c r="K21" s="11"/>
    </row>
    <row r="22" spans="1:11">
      <c r="A22" s="10" t="s">
        <v>284</v>
      </c>
      <c r="D22" s="7"/>
      <c r="E22" s="11"/>
      <c r="F22" s="11"/>
      <c r="G22" s="11"/>
      <c r="H22" s="11"/>
      <c r="I22" s="11"/>
      <c r="J22" s="11"/>
      <c r="K22" s="11"/>
    </row>
    <row r="23" spans="1:11">
      <c r="A23" s="10"/>
      <c r="D23" s="7"/>
      <c r="E23" s="11"/>
      <c r="F23" s="11"/>
      <c r="G23" s="11"/>
      <c r="H23" s="11"/>
      <c r="I23" s="11"/>
      <c r="J23" s="11"/>
      <c r="K23" s="11"/>
    </row>
    <row r="24" spans="1:11">
      <c r="A24" s="10" t="s">
        <v>63</v>
      </c>
      <c r="D24" s="7"/>
      <c r="E24" s="11"/>
      <c r="F24" s="11"/>
      <c r="G24" s="11"/>
      <c r="H24" s="11"/>
      <c r="I24" s="11"/>
      <c r="J24" s="11"/>
      <c r="K24" s="11"/>
    </row>
    <row r="25" spans="1:11">
      <c r="A25" s="10" t="s">
        <v>253</v>
      </c>
      <c r="D25" s="7"/>
      <c r="E25" s="11"/>
      <c r="F25" s="11"/>
      <c r="G25" s="11"/>
      <c r="H25" s="11"/>
      <c r="I25" s="11"/>
      <c r="J25" s="11"/>
      <c r="K25" s="11"/>
    </row>
    <row r="26" spans="1:11">
      <c r="A26" s="10" t="s">
        <v>285</v>
      </c>
      <c r="D26" s="7"/>
      <c r="E26" s="11"/>
      <c r="F26" s="11"/>
      <c r="G26" s="11"/>
      <c r="H26" s="11"/>
      <c r="I26" s="11"/>
      <c r="J26" s="11"/>
      <c r="K26" s="11"/>
    </row>
    <row r="27" spans="1:11">
      <c r="A27" s="10"/>
      <c r="D27" s="7"/>
      <c r="E27" s="11"/>
      <c r="F27" s="11"/>
      <c r="G27" s="11"/>
      <c r="H27" s="11"/>
      <c r="I27" s="11"/>
      <c r="J27" s="11"/>
      <c r="K27" s="11"/>
    </row>
    <row r="28" spans="1:11">
      <c r="A28" s="10" t="s">
        <v>286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123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/>
      <c r="B30" s="9"/>
      <c r="D30" s="7"/>
      <c r="E30" s="11"/>
      <c r="F30" s="11"/>
      <c r="G30" s="11"/>
      <c r="H30" s="11"/>
      <c r="I30" s="11"/>
      <c r="J30" s="11"/>
      <c r="K30" s="11"/>
    </row>
    <row r="31" spans="1:11">
      <c r="A31" s="7" t="s">
        <v>27</v>
      </c>
      <c r="B31" s="9"/>
      <c r="D31" s="7"/>
      <c r="E31" s="11"/>
      <c r="F31" s="11"/>
      <c r="G31" s="11"/>
      <c r="H31" s="11"/>
      <c r="I31" s="11"/>
      <c r="J31" s="11"/>
      <c r="K31" s="11"/>
    </row>
    <row r="32" spans="1:11">
      <c r="A32" s="18" t="s">
        <v>25</v>
      </c>
      <c r="B32" s="9"/>
      <c r="D32" s="7"/>
      <c r="E32" s="11"/>
      <c r="F32" s="11"/>
      <c r="G32" s="11"/>
      <c r="H32" s="11"/>
      <c r="I32" s="11"/>
      <c r="J32" s="11"/>
      <c r="K32" s="11"/>
    </row>
    <row r="33" spans="1:11">
      <c r="A33" s="18">
        <v>0.98699999999999999</v>
      </c>
      <c r="B33" s="9"/>
      <c r="D33" s="7"/>
      <c r="E33" s="11"/>
      <c r="F33" s="11"/>
      <c r="G33" s="11"/>
      <c r="H33" s="11"/>
      <c r="I33" s="11"/>
      <c r="J33" s="11"/>
      <c r="K33" s="11"/>
    </row>
    <row r="34" spans="1:11">
      <c r="A34" s="20" t="s">
        <v>126</v>
      </c>
      <c r="B34" s="9"/>
      <c r="D34" s="7"/>
      <c r="E34" s="11"/>
      <c r="F34" s="11"/>
      <c r="G34" s="11"/>
      <c r="H34" s="11"/>
      <c r="I34" s="11"/>
      <c r="J34" s="11"/>
      <c r="K34" s="11"/>
    </row>
    <row r="35" spans="1:11">
      <c r="A35" s="17">
        <f>229.594/236.736</f>
        <v>0.96983137334414704</v>
      </c>
      <c r="B35" s="9"/>
      <c r="D35" s="7"/>
      <c r="E35" s="11"/>
      <c r="F35" s="11"/>
      <c r="G35" s="11"/>
      <c r="H35" s="11"/>
      <c r="I35" s="11"/>
      <c r="J35" s="11"/>
      <c r="K35" s="11"/>
    </row>
    <row r="36" spans="1:11">
      <c r="A36" s="2" t="s">
        <v>66</v>
      </c>
    </row>
    <row r="37" spans="1:11">
      <c r="A37" s="22">
        <v>0.97</v>
      </c>
      <c r="B37" s="9"/>
      <c r="D37" s="7"/>
      <c r="E37" s="11"/>
      <c r="F37" s="11"/>
      <c r="G37" s="11"/>
      <c r="H37" s="11"/>
      <c r="I37" s="11"/>
      <c r="J37" s="11"/>
      <c r="K37" s="11"/>
    </row>
    <row r="38" spans="1:11">
      <c r="A38" s="2" t="s">
        <v>280</v>
      </c>
      <c r="B38" s="9"/>
      <c r="D38" s="7"/>
      <c r="E38" s="11"/>
      <c r="F38" s="11"/>
      <c r="G38" s="11"/>
      <c r="H38" s="11"/>
      <c r="I38" s="11"/>
      <c r="J38" s="11"/>
      <c r="K38" s="11"/>
    </row>
    <row r="39" spans="1:11">
      <c r="A39" s="62">
        <v>0.95</v>
      </c>
      <c r="B39" s="9"/>
      <c r="D39" s="7"/>
      <c r="E39" s="11"/>
      <c r="F39" s="11"/>
      <c r="G39" s="11"/>
      <c r="H39" s="11"/>
      <c r="I39" s="11"/>
      <c r="J39" s="11"/>
      <c r="K39" s="11"/>
    </row>
    <row r="40" spans="1:11">
      <c r="A40" s="10"/>
      <c r="B40" s="9"/>
      <c r="D40" s="7"/>
      <c r="E40" s="11"/>
      <c r="F40" s="11"/>
      <c r="G40" s="11"/>
      <c r="H40" s="11"/>
      <c r="I40" s="11"/>
      <c r="J40" s="11"/>
      <c r="K40" s="11"/>
    </row>
    <row r="41" spans="1:11">
      <c r="A41" s="18" t="s">
        <v>24</v>
      </c>
      <c r="B41" s="9"/>
      <c r="D41" s="7"/>
      <c r="E41" s="11"/>
      <c r="F41" s="11"/>
      <c r="G41" s="11"/>
      <c r="H41" s="11"/>
      <c r="I41" s="11"/>
      <c r="J41" s="11"/>
      <c r="K41" s="11"/>
    </row>
    <row r="42" spans="1:11">
      <c r="A42" s="10"/>
      <c r="B42" s="9"/>
      <c r="D42" s="7"/>
      <c r="E42" s="11"/>
      <c r="F42" s="11"/>
      <c r="G42" s="11"/>
      <c r="H42" s="11"/>
      <c r="I42" s="11"/>
      <c r="J42" s="11"/>
      <c r="K42" s="11"/>
    </row>
    <row r="43" spans="1:11">
      <c r="A43" s="10"/>
      <c r="B43" s="9"/>
      <c r="D43" s="7"/>
      <c r="E43" s="11"/>
      <c r="F43" s="11"/>
      <c r="G43" s="11"/>
      <c r="H43" s="11"/>
      <c r="I43" s="11"/>
      <c r="J43" s="11"/>
      <c r="K43" s="11"/>
    </row>
    <row r="44" spans="1:11">
      <c r="A44" s="10"/>
      <c r="B44" s="9"/>
      <c r="D44" s="7"/>
      <c r="E44" s="11"/>
      <c r="F44" s="11"/>
      <c r="G44" s="11"/>
      <c r="H44" s="11"/>
      <c r="I44" s="11"/>
      <c r="J44" s="11"/>
      <c r="K44" s="11"/>
    </row>
    <row r="45" spans="1:11">
      <c r="A45" s="10"/>
      <c r="B45" s="9"/>
      <c r="D45" s="7"/>
      <c r="E45" s="11"/>
      <c r="F45" s="11"/>
      <c r="G45" s="11"/>
      <c r="H45" s="11"/>
      <c r="I45" s="11"/>
      <c r="J45" s="11"/>
      <c r="K45" s="11"/>
    </row>
    <row r="46" spans="1:11">
      <c r="A46" s="10"/>
      <c r="B46" s="9"/>
      <c r="D46" s="7"/>
      <c r="E46" s="11"/>
      <c r="F46" s="11"/>
      <c r="G46" s="11"/>
      <c r="H46" s="11"/>
      <c r="I46" s="11"/>
      <c r="J46" s="11"/>
      <c r="K46" s="11"/>
    </row>
    <row r="47" spans="1:11">
      <c r="A47" s="10"/>
      <c r="B47" s="9"/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B48" s="9"/>
      <c r="D48" s="7"/>
      <c r="E48" s="11"/>
      <c r="F48" s="11"/>
      <c r="G48" s="11"/>
      <c r="H48" s="11"/>
      <c r="I48" s="11"/>
      <c r="J48" s="11"/>
      <c r="K48" s="11"/>
    </row>
    <row r="49" spans="1:11">
      <c r="A49" s="10"/>
      <c r="B49" s="9"/>
      <c r="D49" s="7"/>
      <c r="E49" s="11"/>
      <c r="F49" s="11"/>
      <c r="G49" s="11"/>
      <c r="H49" s="11"/>
      <c r="I49" s="11"/>
      <c r="J49" s="11"/>
      <c r="K49" s="11"/>
    </row>
    <row r="50" spans="1:11">
      <c r="A50" s="10"/>
      <c r="B50" s="9"/>
      <c r="D50" s="7"/>
      <c r="E50" s="11"/>
      <c r="F50" s="11"/>
      <c r="G50" s="11"/>
      <c r="H50" s="11"/>
      <c r="I50" s="11"/>
      <c r="J50" s="11"/>
      <c r="K50" s="11"/>
    </row>
    <row r="51" spans="1:11">
      <c r="A51" s="10"/>
      <c r="B51" s="9"/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B52" s="9"/>
      <c r="D52" s="7"/>
      <c r="E52" s="11"/>
      <c r="F52" s="11"/>
      <c r="G52" s="11"/>
      <c r="H52" s="11"/>
      <c r="I52" s="11"/>
      <c r="J52" s="11"/>
      <c r="K52" s="11"/>
    </row>
    <row r="53" spans="1:11">
      <c r="A53" s="10"/>
      <c r="B53" s="9"/>
      <c r="D53" s="7"/>
      <c r="E53" s="11"/>
      <c r="F53" s="11"/>
      <c r="G53" s="11"/>
      <c r="H53" s="11"/>
      <c r="I53" s="11"/>
      <c r="J53" s="11"/>
      <c r="K53" s="11"/>
    </row>
    <row r="54" spans="1:11">
      <c r="A54" s="10"/>
      <c r="B54" s="9"/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B55" s="9"/>
      <c r="D55" s="7"/>
      <c r="E55" s="11"/>
      <c r="F55" s="11"/>
      <c r="G55" s="11"/>
      <c r="H55" s="11"/>
      <c r="I55" s="11"/>
      <c r="J55" s="11"/>
      <c r="K55" s="11"/>
    </row>
    <row r="56" spans="1:11">
      <c r="A56" s="10"/>
      <c r="B56" s="9"/>
      <c r="D56" s="7"/>
      <c r="E56" s="11"/>
      <c r="F56" s="11"/>
      <c r="G56" s="11"/>
      <c r="H56" s="11"/>
      <c r="I56" s="11"/>
      <c r="J56" s="11"/>
      <c r="K56" s="11"/>
    </row>
    <row r="57" spans="1:11">
      <c r="A57" s="10"/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/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/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7"/>
      <c r="B60" s="9"/>
      <c r="D60" s="7"/>
      <c r="E60" s="11"/>
      <c r="F60" s="11"/>
      <c r="G60" s="11"/>
      <c r="H60" s="11"/>
      <c r="I60" s="11"/>
      <c r="J60" s="11"/>
      <c r="K60" s="11"/>
    </row>
  </sheetData>
  <hyperlinks>
    <hyperlink ref="B16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4"/>
  <sheetViews>
    <sheetView workbookViewId="0">
      <selection activeCell="J44" sqref="J44"/>
    </sheetView>
  </sheetViews>
  <sheetFormatPr defaultColWidth="9.1796875" defaultRowHeight="14.5"/>
  <cols>
    <col min="1" max="1" width="33.26953125" style="20" customWidth="1"/>
    <col min="2" max="4" width="24" style="20" customWidth="1"/>
    <col min="5" max="16384" width="9.1796875" style="20"/>
  </cols>
  <sheetData>
    <row r="1" spans="1:4">
      <c r="A1" s="5" t="s">
        <v>22</v>
      </c>
      <c r="B1" s="16" t="s">
        <v>68</v>
      </c>
      <c r="C1" s="16" t="s">
        <v>71</v>
      </c>
      <c r="D1" s="16" t="s">
        <v>69</v>
      </c>
    </row>
    <row r="2" spans="1:4">
      <c r="A2" s="20" t="s">
        <v>15</v>
      </c>
      <c r="B2" s="15">
        <f>'EIA Costs'!E2</f>
        <v>4.47</v>
      </c>
      <c r="C2" s="20">
        <v>0</v>
      </c>
      <c r="D2" s="15">
        <f>'EIA Costs'!E4</f>
        <v>8.44</v>
      </c>
    </row>
    <row r="3" spans="1:4">
      <c r="A3" s="20" t="s">
        <v>29</v>
      </c>
      <c r="B3" s="15">
        <f>'EIA Costs'!E5</f>
        <v>3.6</v>
      </c>
      <c r="C3" s="20">
        <v>0</v>
      </c>
      <c r="D3" s="15">
        <f>'EIA Costs'!E6</f>
        <v>3.27</v>
      </c>
    </row>
    <row r="4" spans="1:4">
      <c r="A4" s="20" t="s">
        <v>16</v>
      </c>
      <c r="B4" s="15">
        <f>'EIA Costs'!E11</f>
        <v>2.14</v>
      </c>
      <c r="C4" s="20">
        <v>0</v>
      </c>
      <c r="D4" s="15">
        <f>'EIA Costs'!E11</f>
        <v>2.14</v>
      </c>
    </row>
    <row r="5" spans="1:4">
      <c r="A5" s="20" t="s">
        <v>17</v>
      </c>
      <c r="B5" s="15">
        <f>'EIA Costs'!E17</f>
        <v>5.76</v>
      </c>
      <c r="C5" s="20">
        <v>0</v>
      </c>
      <c r="D5" s="15">
        <f>'EIA Costs'!E17</f>
        <v>5.76</v>
      </c>
    </row>
    <row r="6" spans="1:4">
      <c r="A6" s="20" t="s">
        <v>115</v>
      </c>
      <c r="B6" s="4">
        <f>'EIA Costs'!E18</f>
        <v>0</v>
      </c>
      <c r="C6" s="20">
        <v>0</v>
      </c>
      <c r="D6" s="4">
        <f>'EIA Costs'!E18</f>
        <v>0</v>
      </c>
    </row>
    <row r="7" spans="1:4">
      <c r="A7" s="20" t="s">
        <v>18</v>
      </c>
      <c r="B7" s="4">
        <f>'EIA Costs'!E21</f>
        <v>0</v>
      </c>
      <c r="C7" s="20">
        <v>0</v>
      </c>
      <c r="D7" s="4">
        <f>'EIA Costs'!E21</f>
        <v>0</v>
      </c>
    </row>
    <row r="8" spans="1:4">
      <c r="A8" s="20" t="s">
        <v>19</v>
      </c>
      <c r="B8" s="4">
        <f>'EIA Costs'!E20</f>
        <v>0</v>
      </c>
      <c r="C8" s="20">
        <v>0</v>
      </c>
      <c r="D8" s="4">
        <f>'EIA Costs'!E20</f>
        <v>0</v>
      </c>
    </row>
    <row r="9" spans="1:4">
      <c r="A9" s="20" t="s">
        <v>20</v>
      </c>
      <c r="B9" s="15">
        <f>'EIA Costs'!E14</f>
        <v>5.26</v>
      </c>
      <c r="C9" s="20">
        <v>0</v>
      </c>
      <c r="D9" s="15">
        <f>'EIA Costs'!E14</f>
        <v>5.26</v>
      </c>
    </row>
    <row r="10" spans="1:4">
      <c r="A10" s="20" t="s">
        <v>30</v>
      </c>
      <c r="B10" s="4">
        <f>'EIA Costs'!E15</f>
        <v>0</v>
      </c>
      <c r="C10" s="20">
        <v>0</v>
      </c>
      <c r="D10" s="4">
        <f>'EIA Costs'!E15</f>
        <v>0</v>
      </c>
    </row>
    <row r="11" spans="1:4">
      <c r="A11" s="20" t="s">
        <v>31</v>
      </c>
      <c r="B11" s="15">
        <f>B12</f>
        <v>15.44</v>
      </c>
      <c r="C11" s="20">
        <v>0</v>
      </c>
      <c r="D11" s="15">
        <f>D12</f>
        <v>10.37</v>
      </c>
    </row>
    <row r="12" spans="1:4">
      <c r="A12" s="20" t="s">
        <v>32</v>
      </c>
      <c r="B12" s="15">
        <f>'EIA Costs'!E8</f>
        <v>15.44</v>
      </c>
      <c r="C12" s="20">
        <v>0</v>
      </c>
      <c r="D12" s="15">
        <f>'EIA Costs'!E9</f>
        <v>10.37</v>
      </c>
    </row>
    <row r="13" spans="1:4">
      <c r="A13" s="20" t="s">
        <v>127</v>
      </c>
      <c r="B13" s="15">
        <f>B2*'Coal Cost Multipliers'!$B$34</f>
        <v>7.572705882352941</v>
      </c>
      <c r="C13" s="15">
        <f>C2*'Coal Cost Multipliers'!$B$34</f>
        <v>0</v>
      </c>
      <c r="D13" s="15">
        <f>D2*'Coal Cost Multipliers'!$B$34</f>
        <v>14.29835294117647</v>
      </c>
    </row>
    <row r="14" spans="1:4">
      <c r="A14" s="20" t="s">
        <v>114</v>
      </c>
      <c r="B14" s="20">
        <f>'EIA Costs'!E19*1000</f>
        <v>0</v>
      </c>
      <c r="C14" s="20">
        <v>0</v>
      </c>
      <c r="D14" s="20">
        <f>'EIA Costs'!E19*1000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48"/>
  <sheetViews>
    <sheetView workbookViewId="0">
      <selection activeCell="I2" sqref="I2"/>
    </sheetView>
  </sheetViews>
  <sheetFormatPr defaultColWidth="9.1796875" defaultRowHeight="14.5"/>
  <cols>
    <col min="1" max="1" width="9.1796875" style="20"/>
    <col min="2" max="2" width="17.26953125" style="20" customWidth="1"/>
    <col min="3" max="3" width="31" style="20" customWidth="1"/>
    <col min="4" max="5" width="17.26953125" style="20" customWidth="1"/>
    <col min="6" max="6" width="23.1796875" style="20" customWidth="1"/>
    <col min="7" max="7" width="17.26953125" style="20" customWidth="1"/>
    <col min="8" max="8" width="22.54296875" style="20" customWidth="1"/>
    <col min="9" max="9" width="17.26953125" style="20" customWidth="1"/>
    <col min="10" max="10" width="22.453125" style="20" customWidth="1"/>
    <col min="11" max="11" width="20.81640625" style="20" customWidth="1"/>
    <col min="12" max="12" width="28.1796875" style="20" customWidth="1"/>
    <col min="13" max="13" width="19.1796875" style="20" bestFit="1" customWidth="1"/>
    <col min="14" max="14" width="22.1796875" style="20" bestFit="1" customWidth="1"/>
    <col min="15" max="16384" width="9.1796875" style="20"/>
  </cols>
  <sheetData>
    <row r="1" spans="1:14">
      <c r="A1" s="13" t="s">
        <v>3</v>
      </c>
      <c r="B1" s="13" t="s">
        <v>116</v>
      </c>
      <c r="C1" s="13" t="s">
        <v>33</v>
      </c>
      <c r="D1" s="13" t="s">
        <v>6</v>
      </c>
      <c r="E1" s="13" t="s">
        <v>7</v>
      </c>
      <c r="F1" s="13" t="s">
        <v>125</v>
      </c>
      <c r="G1" s="13" t="s">
        <v>10</v>
      </c>
      <c r="H1" s="13" t="s">
        <v>11</v>
      </c>
      <c r="I1" s="13" t="s">
        <v>8</v>
      </c>
      <c r="J1" s="13" t="s">
        <v>34</v>
      </c>
      <c r="K1" s="13" t="s">
        <v>35</v>
      </c>
      <c r="L1" s="13" t="s">
        <v>36</v>
      </c>
      <c r="M1" s="13" t="s">
        <v>128</v>
      </c>
      <c r="N1" s="13" t="s">
        <v>117</v>
      </c>
    </row>
    <row r="2" spans="1:14">
      <c r="A2" s="1">
        <v>2017</v>
      </c>
      <c r="B2" s="4">
        <f>'EIA Costs'!$D$4*INDEX('Cost Improvement and Off Wnd'!$B$118:$AL$126,MATCH("coal",'Cost Improvement and Off Wnd'!$A$118:$A$126,0),MATCH('Capital Costs - US'!$A2,'Cost Improvement and Off Wnd'!$B$117:$AL$117,0))*1000*About!$A$33</f>
        <v>6407604</v>
      </c>
      <c r="C2" s="4">
        <f>'EIA Costs'!$D$6*INDEX('Cost Improvement and Off Wnd'!$B$118:$AL$126,MATCH("natural gas nonpeaker",'Cost Improvement and Off Wnd'!$A$118:$A$126,0),MATCH('Capital Costs - US'!$A2,'Cost Improvement and Off Wnd'!$B$117:$AL$117,0))*1000*About!$A$33</f>
        <v>991575.67812926287</v>
      </c>
      <c r="D2" s="4">
        <f>'EIA Costs'!$D$11*INDEX('Cost Improvement and Off Wnd'!$B$118:$AL$126,MATCH("nuclear",'Cost Improvement and Off Wnd'!$A$118:$A$126,0),MATCH('Capital Costs - US'!$A2,'Cost Improvement and Off Wnd'!$B$117:$AL$117,0))*1000*About!$A$33</f>
        <v>5296242</v>
      </c>
      <c r="E2" s="4">
        <f>'EIA Costs'!$D$17*INDEX('Cost Improvement and Off Wnd'!$B$118:$AL$126,MATCH("hydro",'Cost Improvement and Off Wnd'!$A$118:$A$126,0),MATCH('Capital Costs - US'!$A2,'Cost Improvement and Off Wnd'!$B$117:$AL$117,0))*1000*About!$A$33</f>
        <v>2588614.2535958025</v>
      </c>
      <c r="F2" s="19">
        <f>'Anexo Tabla 4.2.11.'!C8*10^3</f>
        <v>1400000</v>
      </c>
      <c r="G2" s="19">
        <f>'Anexo Tabla 4.2.11.'!C12*10^3</f>
        <v>1375000</v>
      </c>
      <c r="H2" s="4">
        <f>'Anexo Tabla 4.2.11.'!$C$14*INDEX('Cost Improvement and Off Wnd'!$B$118:$AL$126,MATCH("solar thermal",'Cost Improvement and Off Wnd'!$A$118:$A$126,0),MATCH('Capital Costs - US'!$A2,'Cost Improvement and Off Wnd'!$B$117:$AL$117,0))*1000*About!$A$33</f>
        <v>5741340.7079646029</v>
      </c>
      <c r="I2" s="4">
        <f>'EIA Costs'!$D$14*INDEX('Cost Improvement and Off Wnd'!$B$118:$AL$126,MATCH("biomass",'Cost Improvement and Off Wnd'!$A$118:$A$126,0),MATCH('Capital Costs - US'!$A2,'Cost Improvement and Off Wnd'!$B$117:$AL$117,0))*1000*About!$A$33</f>
        <v>3563598.6740940069</v>
      </c>
      <c r="J2" s="4">
        <f>'EIA Costs'!$D$15*INDEX('Cost Improvement and Off Wnd'!$B$118:$AL$126,MATCH("geothermal",'Cost Improvement and Off Wnd'!$A$118:$A$126,0),MATCH('Capital Costs - US'!$A2,'Cost Improvement and Off Wnd'!$B$117:$AL$117,0))*1000*About!$A$33</f>
        <v>2408122.0799999996</v>
      </c>
      <c r="K2" s="4">
        <f>'EIA Costs'!$D$9*INDEX('Cost Improvement and Off Wnd'!$B$118:$AL$126,MATCH("natural gas peaker",'Cost Improvement and Off Wnd'!$A$118:$A$126,0),MATCH('Capital Costs - US'!$A2,'Cost Improvement and Off Wnd'!$B$117:$AL$117,0))*1000*About!$A$33</f>
        <v>654225.44741861895</v>
      </c>
      <c r="L2" s="4">
        <f>'EIA Costs'!$D$9*INDEX('Cost Improvement and Off Wnd'!$B$118:$AL$126,MATCH("natural gas peaker",'Cost Improvement and Off Wnd'!$A$118:$A$126,0),MATCH('Capital Costs - US'!$A2,'Cost Improvement and Off Wnd'!$B$117:$AL$117,0))*1000*About!$A$33</f>
        <v>654225.44741861895</v>
      </c>
      <c r="M2" s="4">
        <f>B2*'Coal Cost Multipliers'!$B$33</f>
        <v>7426043.1913562696</v>
      </c>
      <c r="N2" s="19">
        <f>AVERAGE('Cost Improvement and Off Wnd'!$C$85:$C$113)*INDEX('Cost Improvement and Off Wnd'!$B$118:$AL$126,MATCH("offshore wind",'Cost Improvement and Off Wnd'!$A$118:$A$126,0),MATCH('Capital Costs - US'!$A2,'Cost Improvement and Off Wnd'!$B$117:$AL$117,0))*10^3*About!$A$35</f>
        <v>5406106.509524825</v>
      </c>
    </row>
    <row r="3" spans="1:14">
      <c r="A3" s="1">
        <v>2018</v>
      </c>
      <c r="B3" s="4">
        <f>'EIA Costs'!$D$4*INDEX('Cost Improvement and Off Wnd'!$B$118:$AL$126,MATCH("coal",'Cost Improvement and Off Wnd'!$A$118:$A$126,0),MATCH('Capital Costs - US'!$A3,'Cost Improvement and Off Wnd'!$B$117:$AL$117,0))*1000*About!$A$33</f>
        <v>6324501.0635977117</v>
      </c>
      <c r="C3" s="4">
        <f>'EIA Costs'!$D$6*INDEX('Cost Improvement and Off Wnd'!$B$118:$AL$126,MATCH("natural gas nonpeaker",'Cost Improvement and Off Wnd'!$A$118:$A$126,0),MATCH('Capital Costs - US'!$A3,'Cost Improvement and Off Wnd'!$B$117:$AL$117,0))*1000*About!$A$33</f>
        <v>988819.15500394534</v>
      </c>
      <c r="D3" s="4">
        <f>'EIA Costs'!$D$11*INDEX('Cost Improvement and Off Wnd'!$B$118:$AL$126,MATCH("nuclear",'Cost Improvement and Off Wnd'!$A$118:$A$126,0),MATCH('Capital Costs - US'!$A3,'Cost Improvement and Off Wnd'!$B$117:$AL$117,0))*1000*About!$A$33</f>
        <v>5296242</v>
      </c>
      <c r="E3" s="4">
        <f>'EIA Costs'!$D$17*INDEX('Cost Improvement and Off Wnd'!$B$118:$AL$126,MATCH("hydro",'Cost Improvement and Off Wnd'!$A$118:$A$126,0),MATCH('Capital Costs - US'!$A3,'Cost Improvement and Off Wnd'!$B$117:$AL$117,0))*1000*About!$A$33</f>
        <v>2574655.3080766289</v>
      </c>
      <c r="F3" s="4">
        <v>0</v>
      </c>
      <c r="G3" s="4">
        <v>0</v>
      </c>
      <c r="H3" s="4">
        <f>'Anexo Tabla 4.2.11.'!$C$14*INDEX('Cost Improvement and Off Wnd'!$B$118:$AL$126,MATCH("solar thermal",'Cost Improvement and Off Wnd'!$A$118:$A$126,0),MATCH('Capital Costs - US'!$A3,'Cost Improvement and Off Wnd'!$B$117:$AL$117,0))*1000*About!$A$33</f>
        <v>5516620.9439528007</v>
      </c>
      <c r="I3" s="4">
        <f>'EIA Costs'!$D$14*INDEX('Cost Improvement and Off Wnd'!$B$118:$AL$126,MATCH("biomass",'Cost Improvement and Off Wnd'!$A$118:$A$126,0),MATCH('Capital Costs - US'!$A3,'Cost Improvement and Off Wnd'!$B$117:$AL$117,0))*1000*About!$A$33</f>
        <v>3552150.0543228374</v>
      </c>
      <c r="J3" s="4">
        <f>'EIA Costs'!$D$15*INDEX('Cost Improvement and Off Wnd'!$B$118:$AL$126,MATCH("geothermal",'Cost Improvement and Off Wnd'!$A$118:$A$126,0),MATCH('Capital Costs - US'!$A3,'Cost Improvement and Off Wnd'!$B$117:$AL$117,0))*1000*About!$A$33</f>
        <v>2404095.1200000006</v>
      </c>
      <c r="K3" s="4">
        <f>'EIA Costs'!$D$9*INDEX('Cost Improvement and Off Wnd'!$B$118:$AL$126,MATCH("natural gas peaker",'Cost Improvement and Off Wnd'!$A$118:$A$126,0),MATCH('Capital Costs - US'!$A3,'Cost Improvement and Off Wnd'!$B$117:$AL$117,0))*1000*About!$A$33</f>
        <v>652272.3387205411</v>
      </c>
      <c r="L3" s="4">
        <f>'EIA Costs'!$D$9*INDEX('Cost Improvement and Off Wnd'!$B$118:$AL$126,MATCH("natural gas peaker",'Cost Improvement and Off Wnd'!$A$118:$A$126,0),MATCH('Capital Costs - US'!$A3,'Cost Improvement and Off Wnd'!$B$117:$AL$117,0))*1000*About!$A$33</f>
        <v>652272.3387205411</v>
      </c>
      <c r="M3" s="4">
        <f>B3*'Coal Cost Multipliers'!$B$33</f>
        <v>7329731.6847382076</v>
      </c>
      <c r="N3" s="4">
        <v>0</v>
      </c>
    </row>
    <row r="4" spans="1:14">
      <c r="A4" s="1">
        <v>2019</v>
      </c>
      <c r="B4" s="4">
        <f>'EIA Costs'!$D$4*INDEX('Cost Improvement and Off Wnd'!$B$118:$AL$126,MATCH("coal",'Cost Improvement and Off Wnd'!$A$118:$A$126,0),MATCH('Capital Costs - US'!$A4,'Cost Improvement and Off Wnd'!$B$117:$AL$117,0))*1000*About!$A$33</f>
        <v>6227955.0314686652</v>
      </c>
      <c r="C4" s="4">
        <f>'EIA Costs'!$D$6*INDEX('Cost Improvement and Off Wnd'!$B$118:$AL$126,MATCH("natural gas nonpeaker",'Cost Improvement and Off Wnd'!$A$118:$A$126,0),MATCH('Capital Costs - US'!$A4,'Cost Improvement and Off Wnd'!$B$117:$AL$117,0))*1000*About!$A$33</f>
        <v>985294.78179011226</v>
      </c>
      <c r="D4" s="4">
        <f>'EIA Costs'!$D$11*INDEX('Cost Improvement and Off Wnd'!$B$118:$AL$126,MATCH("nuclear",'Cost Improvement and Off Wnd'!$A$118:$A$126,0),MATCH('Capital Costs - US'!$A4,'Cost Improvement and Off Wnd'!$B$117:$AL$117,0))*1000*About!$A$33</f>
        <v>5296242</v>
      </c>
      <c r="E4" s="4">
        <f>'EIA Costs'!$D$17*INDEX('Cost Improvement and Off Wnd'!$B$118:$AL$126,MATCH("hydro",'Cost Improvement and Off Wnd'!$A$118:$A$126,0),MATCH('Capital Costs - US'!$A4,'Cost Improvement and Off Wnd'!$B$117:$AL$117,0))*1000*About!$A$33</f>
        <v>2560702.8051120425</v>
      </c>
      <c r="F4" s="4">
        <v>0</v>
      </c>
      <c r="G4" s="4">
        <v>0</v>
      </c>
      <c r="H4" s="4">
        <f>'Anexo Tabla 4.2.11.'!$C$14*INDEX('Cost Improvement and Off Wnd'!$B$118:$AL$126,MATCH("solar thermal",'Cost Improvement and Off Wnd'!$A$118:$A$126,0),MATCH('Capital Costs - US'!$A4,'Cost Improvement and Off Wnd'!$B$117:$AL$117,0))*1000*About!$A$33</f>
        <v>5291901.1799410032</v>
      </c>
      <c r="I4" s="4">
        <f>'EIA Costs'!$D$14*INDEX('Cost Improvement and Off Wnd'!$B$118:$AL$126,MATCH("biomass",'Cost Improvement and Off Wnd'!$A$118:$A$126,0),MATCH('Capital Costs - US'!$A4,'Cost Improvement and Off Wnd'!$B$117:$AL$117,0))*1000*About!$A$33</f>
        <v>3559522.4329931699</v>
      </c>
      <c r="J4" s="4">
        <f>'EIA Costs'!$D$15*INDEX('Cost Improvement and Off Wnd'!$B$118:$AL$126,MATCH("geothermal",'Cost Improvement and Off Wnd'!$A$118:$A$126,0),MATCH('Capital Costs - US'!$A4,'Cost Improvement and Off Wnd'!$B$117:$AL$117,0))*1000*About!$A$33</f>
        <v>2400068.1600000006</v>
      </c>
      <c r="K4" s="4">
        <f>'EIA Costs'!$D$9*INDEX('Cost Improvement and Off Wnd'!$B$118:$AL$126,MATCH("natural gas peaker",'Cost Improvement and Off Wnd'!$A$118:$A$126,0),MATCH('Capital Costs - US'!$A4,'Cost Improvement and Off Wnd'!$B$117:$AL$117,0))*1000*About!$A$33</f>
        <v>649811.88595093053</v>
      </c>
      <c r="L4" s="4">
        <f>'EIA Costs'!$D$9*INDEX('Cost Improvement and Off Wnd'!$B$118:$AL$126,MATCH("natural gas peaker",'Cost Improvement and Off Wnd'!$A$118:$A$126,0),MATCH('Capital Costs - US'!$A4,'Cost Improvement and Off Wnd'!$B$117:$AL$117,0))*1000*About!$A$33</f>
        <v>649811.88595093053</v>
      </c>
      <c r="M4" s="4">
        <f>B4*'Coal Cost Multipliers'!$B$33</f>
        <v>7217840.4061035775</v>
      </c>
      <c r="N4" s="4">
        <v>0</v>
      </c>
    </row>
    <row r="5" spans="1:14">
      <c r="A5" s="1">
        <v>2020</v>
      </c>
      <c r="B5" s="4">
        <f>'EIA Costs'!$D$4*INDEX('Cost Improvement and Off Wnd'!$B$118:$AL$126,MATCH("coal",'Cost Improvement and Off Wnd'!$A$118:$A$126,0),MATCH('Capital Costs - US'!$A5,'Cost Improvement and Off Wnd'!$B$117:$AL$117,0))*1000*About!$A$33</f>
        <v>6124223.8852365119</v>
      </c>
      <c r="C5" s="4">
        <f>'EIA Costs'!$D$6*INDEX('Cost Improvement and Off Wnd'!$B$118:$AL$126,MATCH("natural gas nonpeaker",'Cost Improvement and Off Wnd'!$A$118:$A$126,0),MATCH('Capital Costs - US'!$A5,'Cost Improvement and Off Wnd'!$B$117:$AL$117,0))*1000*About!$A$33</f>
        <v>979289.502287613</v>
      </c>
      <c r="D5" s="4">
        <f>'EIA Costs'!$D$11*INDEX('Cost Improvement and Off Wnd'!$B$118:$AL$126,MATCH("nuclear",'Cost Improvement and Off Wnd'!$A$118:$A$126,0),MATCH('Capital Costs - US'!$A5,'Cost Improvement and Off Wnd'!$B$117:$AL$117,0))*1000*About!$A$33</f>
        <v>5296242</v>
      </c>
      <c r="E5" s="4">
        <f>'EIA Costs'!$D$17*INDEX('Cost Improvement and Off Wnd'!$B$118:$AL$126,MATCH("hydro",'Cost Improvement and Off Wnd'!$A$118:$A$126,0),MATCH('Capital Costs - US'!$A5,'Cost Improvement and Off Wnd'!$B$117:$AL$117,0))*1000*About!$A$33</f>
        <v>2546750.302147456</v>
      </c>
      <c r="F5" s="4">
        <v>0</v>
      </c>
      <c r="G5" s="4">
        <v>0</v>
      </c>
      <c r="H5" s="4">
        <f>'Anexo Tabla 4.2.11.'!$C$14*INDEX('Cost Improvement and Off Wnd'!$B$118:$AL$126,MATCH("solar thermal",'Cost Improvement and Off Wnd'!$A$118:$A$126,0),MATCH('Capital Costs - US'!$A5,'Cost Improvement and Off Wnd'!$B$117:$AL$117,0))*1000*About!$A$33</f>
        <v>5067181.4159292039</v>
      </c>
      <c r="I5" s="4">
        <f>'EIA Costs'!$D$14*INDEX('Cost Improvement and Off Wnd'!$B$118:$AL$126,MATCH("biomass",'Cost Improvement and Off Wnd'!$A$118:$A$126,0),MATCH('Capital Costs - US'!$A5,'Cost Improvement and Off Wnd'!$B$117:$AL$117,0))*1000*About!$A$33</f>
        <v>3549532.803845725</v>
      </c>
      <c r="J5" s="4">
        <f>'EIA Costs'!$D$15*INDEX('Cost Improvement and Off Wnd'!$B$118:$AL$126,MATCH("geothermal",'Cost Improvement and Off Wnd'!$A$118:$A$126,0),MATCH('Capital Costs - US'!$A5,'Cost Improvement and Off Wnd'!$B$117:$AL$117,0))*1000*About!$A$33</f>
        <v>2396041.2000000002</v>
      </c>
      <c r="K5" s="4">
        <f>'EIA Costs'!$D$9*INDEX('Cost Improvement and Off Wnd'!$B$118:$AL$126,MATCH("natural gas peaker",'Cost Improvement and Off Wnd'!$A$118:$A$126,0),MATCH('Capital Costs - US'!$A5,'Cost Improvement and Off Wnd'!$B$117:$AL$117,0))*1000*About!$A$33</f>
        <v>645390.95246922853</v>
      </c>
      <c r="L5" s="4">
        <f>'EIA Costs'!$D$9*INDEX('Cost Improvement and Off Wnd'!$B$118:$AL$126,MATCH("natural gas peaker",'Cost Improvement and Off Wnd'!$A$118:$A$126,0),MATCH('Capital Costs - US'!$A5,'Cost Improvement and Off Wnd'!$B$117:$AL$117,0))*1000*About!$A$33</f>
        <v>645390.95246922853</v>
      </c>
      <c r="M5" s="4">
        <f>B5*'Coal Cost Multipliers'!$B$33</f>
        <v>7097621.9949456993</v>
      </c>
      <c r="N5" s="4">
        <v>0</v>
      </c>
    </row>
    <row r="6" spans="1:14">
      <c r="A6" s="1">
        <v>2021</v>
      </c>
      <c r="B6" s="4">
        <f>'EIA Costs'!$D$4*INDEX('Cost Improvement and Off Wnd'!$B$118:$AL$126,MATCH("coal",'Cost Improvement and Off Wnd'!$A$118:$A$126,0),MATCH('Capital Costs - US'!$A6,'Cost Improvement and Off Wnd'!$B$117:$AL$117,0))*1000*About!$A$33</f>
        <v>6088061.5576230651</v>
      </c>
      <c r="C6" s="4">
        <f>'EIA Costs'!$D$6*INDEX('Cost Improvement and Off Wnd'!$B$118:$AL$126,MATCH("natural gas nonpeaker",'Cost Improvement and Off Wnd'!$A$118:$A$126,0),MATCH('Capital Costs - US'!$A6,'Cost Improvement and Off Wnd'!$B$117:$AL$117,0))*1000*About!$A$33</f>
        <v>976407.13601662824</v>
      </c>
      <c r="D6" s="4">
        <f>'EIA Costs'!$D$11*INDEX('Cost Improvement and Off Wnd'!$B$118:$AL$126,MATCH("nuclear",'Cost Improvement and Off Wnd'!$A$118:$A$126,0),MATCH('Capital Costs - US'!$A6,'Cost Improvement and Off Wnd'!$B$117:$AL$117,0))*1000*About!$A$33</f>
        <v>5296242</v>
      </c>
      <c r="E6" s="4">
        <f>'EIA Costs'!$D$17*INDEX('Cost Improvement and Off Wnd'!$B$118:$AL$126,MATCH("hydro",'Cost Improvement and Off Wnd'!$A$118:$A$126,0),MATCH('Capital Costs - US'!$A6,'Cost Improvement and Off Wnd'!$B$117:$AL$117,0))*1000*About!$A$33</f>
        <v>2532804.2145849285</v>
      </c>
      <c r="F6" s="4">
        <v>0</v>
      </c>
      <c r="G6" s="4">
        <v>0</v>
      </c>
      <c r="H6" s="4">
        <f>'Anexo Tabla 4.2.11.'!$C$14*INDEX('Cost Improvement and Off Wnd'!$B$118:$AL$126,MATCH("solar thermal",'Cost Improvement and Off Wnd'!$A$118:$A$126,0),MATCH('Capital Costs - US'!$A6,'Cost Improvement and Off Wnd'!$B$117:$AL$117,0))*1000*About!$A$33</f>
        <v>4912993.362831858</v>
      </c>
      <c r="I6" s="4">
        <f>'EIA Costs'!$D$14*INDEX('Cost Improvement and Off Wnd'!$B$118:$AL$126,MATCH("biomass",'Cost Improvement and Off Wnd'!$A$118:$A$126,0),MATCH('Capital Costs - US'!$A6,'Cost Improvement and Off Wnd'!$B$117:$AL$117,0))*1000*About!$A$33</f>
        <v>3539540.8623545752</v>
      </c>
      <c r="J6" s="4">
        <f>'EIA Costs'!$D$15*INDEX('Cost Improvement and Off Wnd'!$B$118:$AL$126,MATCH("geothermal",'Cost Improvement and Off Wnd'!$A$118:$A$126,0),MATCH('Capital Costs - US'!$A6,'Cost Improvement and Off Wnd'!$B$117:$AL$117,0))*1000*About!$A$33</f>
        <v>2392014.2399999993</v>
      </c>
      <c r="K6" s="4">
        <f>'EIA Costs'!$D$9*INDEX('Cost Improvement and Off Wnd'!$B$118:$AL$126,MATCH("natural gas peaker",'Cost Improvement and Off Wnd'!$A$118:$A$126,0),MATCH('Capital Costs - US'!$A6,'Cost Improvement and Off Wnd'!$B$117:$AL$117,0))*1000*About!$A$33</f>
        <v>643437.69417805946</v>
      </c>
      <c r="L6" s="4">
        <f>'EIA Costs'!$D$9*INDEX('Cost Improvement and Off Wnd'!$B$118:$AL$126,MATCH("natural gas peaker",'Cost Improvement and Off Wnd'!$A$118:$A$126,0),MATCH('Capital Costs - US'!$A6,'Cost Improvement and Off Wnd'!$B$117:$AL$117,0))*1000*About!$A$33</f>
        <v>643437.69417805946</v>
      </c>
      <c r="M6" s="4">
        <f>B6*'Coal Cost Multipliers'!$B$33</f>
        <v>7055711.944518514</v>
      </c>
      <c r="N6" s="4">
        <v>0</v>
      </c>
    </row>
    <row r="7" spans="1:14">
      <c r="A7" s="1">
        <v>2022</v>
      </c>
      <c r="B7" s="4">
        <f>'EIA Costs'!$D$4*INDEX('Cost Improvement and Off Wnd'!$B$118:$AL$126,MATCH("coal",'Cost Improvement and Off Wnd'!$A$118:$A$126,0),MATCH('Capital Costs - US'!$A7,'Cost Improvement and Off Wnd'!$B$117:$AL$117,0))*1000*About!$A$33</f>
        <v>6057039.1972367624</v>
      </c>
      <c r="C7" s="4">
        <f>'EIA Costs'!$D$6*INDEX('Cost Improvement and Off Wnd'!$B$118:$AL$126,MATCH("natural gas nonpeaker",'Cost Improvement and Off Wnd'!$A$118:$A$126,0),MATCH('Capital Costs - US'!$A7,'Cost Improvement and Off Wnd'!$B$117:$AL$117,0))*1000*About!$A$33</f>
        <v>973471.88135317795</v>
      </c>
      <c r="D7" s="4">
        <f>'EIA Costs'!$D$11*INDEX('Cost Improvement and Off Wnd'!$B$118:$AL$126,MATCH("nuclear",'Cost Improvement and Off Wnd'!$A$118:$A$126,0),MATCH('Capital Costs - US'!$A7,'Cost Improvement and Off Wnd'!$B$117:$AL$117,0))*1000*About!$A$33</f>
        <v>5296242</v>
      </c>
      <c r="E7" s="4">
        <f>'EIA Costs'!$D$17*INDEX('Cost Improvement and Off Wnd'!$B$118:$AL$126,MATCH("hydro",'Cost Improvement and Off Wnd'!$A$118:$A$126,0),MATCH('Capital Costs - US'!$A7,'Cost Improvement and Off Wnd'!$B$117:$AL$117,0))*1000*About!$A$33</f>
        <v>2518858.1270224005</v>
      </c>
      <c r="F7" s="4">
        <v>0</v>
      </c>
      <c r="G7" s="4">
        <v>0</v>
      </c>
      <c r="H7" s="4">
        <f>'Anexo Tabla 4.2.11.'!$C$14*INDEX('Cost Improvement and Off Wnd'!$B$118:$AL$126,MATCH("solar thermal",'Cost Improvement and Off Wnd'!$A$118:$A$126,0),MATCH('Capital Costs - US'!$A7,'Cost Improvement and Off Wnd'!$B$117:$AL$117,0))*1000*About!$A$33</f>
        <v>4758805.3097345121</v>
      </c>
      <c r="I7" s="4">
        <f>'EIA Costs'!$D$14*INDEX('Cost Improvement and Off Wnd'!$B$118:$AL$126,MATCH("biomass",'Cost Improvement and Off Wnd'!$A$118:$A$126,0),MATCH('Capital Costs - US'!$A7,'Cost Improvement and Off Wnd'!$B$117:$AL$117,0))*1000*About!$A$33</f>
        <v>3529549.3347471482</v>
      </c>
      <c r="J7" s="4">
        <f>'EIA Costs'!$D$15*INDEX('Cost Improvement and Off Wnd'!$B$118:$AL$126,MATCH("geothermal",'Cost Improvement and Off Wnd'!$A$118:$A$126,0),MATCH('Capital Costs - US'!$A7,'Cost Improvement and Off Wnd'!$B$117:$AL$117,0))*1000*About!$A$33</f>
        <v>2387987.2799999998</v>
      </c>
      <c r="K7" s="4">
        <f>'EIA Costs'!$D$9*INDEX('Cost Improvement and Off Wnd'!$B$118:$AL$126,MATCH("natural gas peaker",'Cost Improvement and Off Wnd'!$A$118:$A$126,0),MATCH('Capital Costs - US'!$A7,'Cost Improvement and Off Wnd'!$B$117:$AL$117,0))*1000*About!$A$33</f>
        <v>641442.67327765853</v>
      </c>
      <c r="L7" s="4">
        <f>'EIA Costs'!$D$9*INDEX('Cost Improvement and Off Wnd'!$B$118:$AL$126,MATCH("natural gas peaker",'Cost Improvement and Off Wnd'!$A$118:$A$126,0),MATCH('Capital Costs - US'!$A7,'Cost Improvement and Off Wnd'!$B$117:$AL$117,0))*1000*About!$A$33</f>
        <v>641442.67327765853</v>
      </c>
      <c r="M7" s="4">
        <f>B7*'Coal Cost Multipliers'!$B$33</f>
        <v>7019758.8194304937</v>
      </c>
      <c r="N7" s="4">
        <v>0</v>
      </c>
    </row>
    <row r="8" spans="1:14">
      <c r="A8" s="1">
        <v>2023</v>
      </c>
      <c r="B8" s="4">
        <f>'EIA Costs'!$D$4*INDEX('Cost Improvement and Off Wnd'!$B$118:$AL$126,MATCH("coal",'Cost Improvement and Off Wnd'!$A$118:$A$126,0),MATCH('Capital Costs - US'!$A8,'Cost Improvement and Off Wnd'!$B$117:$AL$117,0))*1000*About!$A$33</f>
        <v>6026017.9332363233</v>
      </c>
      <c r="C8" s="4">
        <f>'EIA Costs'!$D$6*INDEX('Cost Improvement and Off Wnd'!$B$118:$AL$126,MATCH("natural gas nonpeaker",'Cost Improvement and Off Wnd'!$A$118:$A$126,0),MATCH('Capital Costs - US'!$A8,'Cost Improvement and Off Wnd'!$B$117:$AL$117,0))*1000*About!$A$33</f>
        <v>970589.10973750602</v>
      </c>
      <c r="D8" s="4">
        <f>'EIA Costs'!$D$11*INDEX('Cost Improvement and Off Wnd'!$B$118:$AL$126,MATCH("nuclear",'Cost Improvement and Off Wnd'!$A$118:$A$126,0),MATCH('Capital Costs - US'!$A8,'Cost Improvement and Off Wnd'!$B$117:$AL$117,0))*1000*About!$A$33</f>
        <v>5268116.717585152</v>
      </c>
      <c r="E8" s="4">
        <f>'EIA Costs'!$D$17*INDEX('Cost Improvement and Off Wnd'!$B$118:$AL$126,MATCH("hydro",'Cost Improvement and Off Wnd'!$A$118:$A$126,0),MATCH('Capital Costs - US'!$A8,'Cost Improvement and Off Wnd'!$B$117:$AL$117,0))*1000*About!$A$33</f>
        <v>2504918.415367343</v>
      </c>
      <c r="F8" s="4">
        <v>0</v>
      </c>
      <c r="G8" s="4">
        <v>0</v>
      </c>
      <c r="H8" s="4">
        <f>'Anexo Tabla 4.2.11.'!$C$14*INDEX('Cost Improvement and Off Wnd'!$B$118:$AL$126,MATCH("solar thermal",'Cost Improvement and Off Wnd'!$A$118:$A$126,0),MATCH('Capital Costs - US'!$A8,'Cost Improvement and Off Wnd'!$B$117:$AL$117,0))*1000*About!$A$33</f>
        <v>4604617.2566371672</v>
      </c>
      <c r="I8" s="4">
        <f>'EIA Costs'!$D$14*INDEX('Cost Improvement and Off Wnd'!$B$118:$AL$126,MATCH("biomass",'Cost Improvement and Off Wnd'!$A$118:$A$126,0),MATCH('Capital Costs - US'!$A8,'Cost Improvement and Off Wnd'!$B$117:$AL$117,0))*1000*About!$A$33</f>
        <v>3519555.68758268</v>
      </c>
      <c r="J8" s="4">
        <f>'EIA Costs'!$D$15*INDEX('Cost Improvement and Off Wnd'!$B$118:$AL$126,MATCH("geothermal",'Cost Improvement and Off Wnd'!$A$118:$A$126,0),MATCH('Capital Costs - US'!$A8,'Cost Improvement and Off Wnd'!$B$117:$AL$117,0))*1000*About!$A$33</f>
        <v>2383960.3199999998</v>
      </c>
      <c r="K8" s="4">
        <f>'EIA Costs'!$D$9*INDEX('Cost Improvement and Off Wnd'!$B$118:$AL$126,MATCH("natural gas peaker",'Cost Improvement and Off Wnd'!$A$118:$A$126,0),MATCH('Capital Costs - US'!$A8,'Cost Improvement and Off Wnd'!$B$117:$AL$117,0))*1000*About!$A$33</f>
        <v>639489.166581125</v>
      </c>
      <c r="L8" s="4">
        <f>'EIA Costs'!$D$9*INDEX('Cost Improvement and Off Wnd'!$B$118:$AL$126,MATCH("natural gas peaker",'Cost Improvement and Off Wnd'!$A$118:$A$126,0),MATCH('Capital Costs - US'!$A8,'Cost Improvement and Off Wnd'!$B$117:$AL$117,0))*1000*About!$A$33</f>
        <v>639489.166581125</v>
      </c>
      <c r="M8" s="4">
        <f>B8*'Coal Cost Multipliers'!$B$33</f>
        <v>6983806.9649904054</v>
      </c>
      <c r="N8" s="4">
        <v>0</v>
      </c>
    </row>
    <row r="9" spans="1:14">
      <c r="A9" s="1">
        <v>2024</v>
      </c>
      <c r="B9" s="4">
        <f>'EIA Costs'!$D$4*INDEX('Cost Improvement and Off Wnd'!$B$118:$AL$126,MATCH("coal",'Cost Improvement and Off Wnd'!$A$118:$A$126,0),MATCH('Capital Costs - US'!$A9,'Cost Improvement and Off Wnd'!$B$117:$AL$117,0))*1000*About!$A$33</f>
        <v>5988254.6391228698</v>
      </c>
      <c r="C9" s="4">
        <f>'EIA Costs'!$D$6*INDEX('Cost Improvement and Off Wnd'!$B$118:$AL$126,MATCH("natural gas nonpeaker",'Cost Improvement and Off Wnd'!$A$118:$A$126,0),MATCH('Capital Costs - US'!$A9,'Cost Improvement and Off Wnd'!$B$117:$AL$117,0))*1000*About!$A$33</f>
        <v>967707.66174976574</v>
      </c>
      <c r="D9" s="4">
        <f>'EIA Costs'!$D$11*INDEX('Cost Improvement and Off Wnd'!$B$118:$AL$126,MATCH("nuclear",'Cost Improvement and Off Wnd'!$A$118:$A$126,0),MATCH('Capital Costs - US'!$A9,'Cost Improvement and Off Wnd'!$B$117:$AL$117,0))*1000*About!$A$33</f>
        <v>5239997.2947989823</v>
      </c>
      <c r="E9" s="4">
        <f>'EIA Costs'!$D$17*INDEX('Cost Improvement and Off Wnd'!$B$118:$AL$126,MATCH("hydro",'Cost Improvement and Off Wnd'!$A$118:$A$126,0),MATCH('Capital Costs - US'!$A9,'Cost Improvement and Off Wnd'!$B$117:$AL$117,0))*1000*About!$A$33</f>
        <v>2490978.7037122855</v>
      </c>
      <c r="F9" s="4">
        <v>0</v>
      </c>
      <c r="G9" s="4">
        <v>0</v>
      </c>
      <c r="H9" s="4">
        <f>'Anexo Tabla 4.2.11.'!$C$14*INDEX('Cost Improvement and Off Wnd'!$B$118:$AL$126,MATCH("solar thermal",'Cost Improvement and Off Wnd'!$A$118:$A$126,0),MATCH('Capital Costs - US'!$A9,'Cost Improvement and Off Wnd'!$B$117:$AL$117,0))*1000*About!$A$33</f>
        <v>4450429.2035398223</v>
      </c>
      <c r="I9" s="4">
        <f>'EIA Costs'!$D$14*INDEX('Cost Improvement and Off Wnd'!$B$118:$AL$126,MATCH("biomass",'Cost Improvement and Off Wnd'!$A$118:$A$126,0),MATCH('Capital Costs - US'!$A9,'Cost Improvement and Off Wnd'!$B$117:$AL$117,0))*1000*About!$A$33</f>
        <v>3509566.3027282432</v>
      </c>
      <c r="J9" s="4">
        <f>'EIA Costs'!$D$15*INDEX('Cost Improvement and Off Wnd'!$B$118:$AL$126,MATCH("geothermal",'Cost Improvement and Off Wnd'!$A$118:$A$126,0),MATCH('Capital Costs - US'!$A9,'Cost Improvement and Off Wnd'!$B$117:$AL$117,0))*1000*About!$A$33</f>
        <v>2379933.3600000003</v>
      </c>
      <c r="K9" s="4">
        <f>'EIA Costs'!$D$9*INDEX('Cost Improvement and Off Wnd'!$B$118:$AL$126,MATCH("natural gas peaker",'Cost Improvement and Off Wnd'!$A$118:$A$126,0),MATCH('Capital Costs - US'!$A9,'Cost Improvement and Off Wnd'!$B$117:$AL$117,0))*1000*About!$A$33</f>
        <v>637536.40933158563</v>
      </c>
      <c r="L9" s="4">
        <f>'EIA Costs'!$D$9*INDEX('Cost Improvement and Off Wnd'!$B$118:$AL$126,MATCH("natural gas peaker",'Cost Improvement and Off Wnd'!$A$118:$A$126,0),MATCH('Capital Costs - US'!$A9,'Cost Improvement and Off Wnd'!$B$117:$AL$117,0))*1000*About!$A$33</f>
        <v>637536.40933158563</v>
      </c>
      <c r="M9" s="4">
        <f>B9*'Coal Cost Multipliers'!$B$33</f>
        <v>6940041.4867969342</v>
      </c>
      <c r="N9" s="4">
        <v>0</v>
      </c>
    </row>
    <row r="10" spans="1:14">
      <c r="A10" s="1">
        <v>2025</v>
      </c>
      <c r="B10" s="4">
        <f>'EIA Costs'!$D$4*INDEX('Cost Improvement and Off Wnd'!$B$118:$AL$126,MATCH("coal",'Cost Improvement and Off Wnd'!$A$118:$A$126,0),MATCH('Capital Costs - US'!$A10,'Cost Improvement and Off Wnd'!$B$117:$AL$117,0))*1000*About!$A$33</f>
        <v>5955706.6670725187</v>
      </c>
      <c r="C10" s="4">
        <f>'EIA Costs'!$D$6*INDEX('Cost Improvement and Off Wnd'!$B$118:$AL$126,MATCH("natural gas nonpeaker",'Cost Improvement and Off Wnd'!$A$118:$A$126,0),MATCH('Capital Costs - US'!$A10,'Cost Improvement and Off Wnd'!$B$117:$AL$117,0))*1000*About!$A$33</f>
        <v>964698.16035180876</v>
      </c>
      <c r="D10" s="4">
        <f>'EIA Costs'!$D$11*INDEX('Cost Improvement and Off Wnd'!$B$118:$AL$126,MATCH("nuclear",'Cost Improvement and Off Wnd'!$A$118:$A$126,0),MATCH('Capital Costs - US'!$A10,'Cost Improvement and Off Wnd'!$B$117:$AL$117,0))*1000*About!$A$33</f>
        <v>5211872.756320606</v>
      </c>
      <c r="E10" s="4">
        <f>'EIA Costs'!$D$17*INDEX('Cost Improvement and Off Wnd'!$B$118:$AL$126,MATCH("hydro",'Cost Improvement and Off Wnd'!$A$118:$A$126,0),MATCH('Capital Costs - US'!$A10,'Cost Improvement and Off Wnd'!$B$117:$AL$117,0))*1000*About!$A$33</f>
        <v>2477045.3383437586</v>
      </c>
      <c r="F10" s="4">
        <v>0</v>
      </c>
      <c r="G10" s="4">
        <v>0</v>
      </c>
      <c r="H10" s="4">
        <f>'Anexo Tabla 4.2.11.'!$C$14*INDEX('Cost Improvement and Off Wnd'!$B$118:$AL$126,MATCH("solar thermal",'Cost Improvement and Off Wnd'!$A$118:$A$126,0),MATCH('Capital Costs - US'!$A10,'Cost Improvement and Off Wnd'!$B$117:$AL$117,0))*1000*About!$A$33</f>
        <v>4296241.1504424782</v>
      </c>
      <c r="I10" s="4">
        <f>'EIA Costs'!$D$14*INDEX('Cost Improvement and Off Wnd'!$B$118:$AL$126,MATCH("biomass",'Cost Improvement and Off Wnd'!$A$118:$A$126,0),MATCH('Capital Costs - US'!$A10,'Cost Improvement and Off Wnd'!$B$117:$AL$117,0))*1000*About!$A$33</f>
        <v>3499572.9801377142</v>
      </c>
      <c r="J10" s="4">
        <f>'EIA Costs'!$D$15*INDEX('Cost Improvement and Off Wnd'!$B$118:$AL$126,MATCH("geothermal",'Cost Improvement and Off Wnd'!$A$118:$A$126,0),MATCH('Capital Costs - US'!$A10,'Cost Improvement and Off Wnd'!$B$117:$AL$117,0))*1000*About!$A$33</f>
        <v>2375906.4000000004</v>
      </c>
      <c r="K10" s="4">
        <f>'EIA Costs'!$D$9*INDEX('Cost Improvement and Off Wnd'!$B$118:$AL$126,MATCH("natural gas peaker",'Cost Improvement and Off Wnd'!$A$118:$A$126,0),MATCH('Capital Costs - US'!$A10,'Cost Improvement and Off Wnd'!$B$117:$AL$117,0))*1000*About!$A$33</f>
        <v>635482.86120436469</v>
      </c>
      <c r="L10" s="4">
        <f>'EIA Costs'!$D$9*INDEX('Cost Improvement and Off Wnd'!$B$118:$AL$126,MATCH("natural gas peaker",'Cost Improvement and Off Wnd'!$A$118:$A$126,0),MATCH('Capital Costs - US'!$A10,'Cost Improvement and Off Wnd'!$B$117:$AL$117,0))*1000*About!$A$33</f>
        <v>635482.86120436469</v>
      </c>
      <c r="M10" s="4">
        <f>B10*'Coal Cost Multipliers'!$B$33</f>
        <v>6902320.265848049</v>
      </c>
      <c r="N10" s="4">
        <v>0</v>
      </c>
    </row>
    <row r="11" spans="1:14">
      <c r="A11" s="1">
        <v>2026</v>
      </c>
      <c r="B11" s="4">
        <f>'EIA Costs'!$D$4*INDEX('Cost Improvement and Off Wnd'!$B$118:$AL$126,MATCH("coal",'Cost Improvement and Off Wnd'!$A$118:$A$126,0),MATCH('Capital Costs - US'!$A11,'Cost Improvement and Off Wnd'!$B$117:$AL$117,0))*1000*About!$A$33</f>
        <v>5916751.4649672946</v>
      </c>
      <c r="C11" s="4">
        <f>'EIA Costs'!$D$6*INDEX('Cost Improvement and Off Wnd'!$B$118:$AL$126,MATCH("natural gas nonpeaker",'Cost Improvement and Off Wnd'!$A$118:$A$126,0),MATCH('Capital Costs - US'!$A11,'Cost Improvement and Off Wnd'!$B$117:$AL$117,0))*1000*About!$A$33</f>
        <v>956101.73111187026</v>
      </c>
      <c r="D11" s="4">
        <f>'EIA Costs'!$D$11*INDEX('Cost Improvement and Off Wnd'!$B$118:$AL$126,MATCH("nuclear",'Cost Improvement and Off Wnd'!$A$118:$A$126,0),MATCH('Capital Costs - US'!$A11,'Cost Improvement and Off Wnd'!$B$117:$AL$117,0))*1000*About!$A$33</f>
        <v>5183752.7893056097</v>
      </c>
      <c r="E11" s="4">
        <f>'EIA Costs'!$D$17*INDEX('Cost Improvement and Off Wnd'!$B$118:$AL$126,MATCH("hydro",'Cost Improvement and Off Wnd'!$A$118:$A$126,0),MATCH('Capital Costs - US'!$A11,'Cost Improvement and Off Wnd'!$B$117:$AL$117,0))*1000*About!$A$33</f>
        <v>2463111.9729752308</v>
      </c>
      <c r="F11" s="4">
        <v>0</v>
      </c>
      <c r="G11" s="4">
        <v>0</v>
      </c>
      <c r="H11" s="4">
        <f>'Anexo Tabla 4.2.11.'!$C$14*INDEX('Cost Improvement and Off Wnd'!$B$118:$AL$126,MATCH("solar thermal",'Cost Improvement and Off Wnd'!$A$118:$A$126,0),MATCH('Capital Costs - US'!$A11,'Cost Improvement and Off Wnd'!$B$117:$AL$117,0))*1000*About!$A$33</f>
        <v>4227654.9530308638</v>
      </c>
      <c r="I11" s="4">
        <f>'EIA Costs'!$D$14*INDEX('Cost Improvement and Off Wnd'!$B$118:$AL$126,MATCH("biomass",'Cost Improvement and Off Wnd'!$A$118:$A$126,0),MATCH('Capital Costs - US'!$A11,'Cost Improvement and Off Wnd'!$B$117:$AL$117,0))*1000*About!$A$33</f>
        <v>3489583.4989846051</v>
      </c>
      <c r="J11" s="4">
        <f>'EIA Costs'!$D$15*INDEX('Cost Improvement and Off Wnd'!$B$118:$AL$126,MATCH("geothermal",'Cost Improvement and Off Wnd'!$A$118:$A$126,0),MATCH('Capital Costs - US'!$A11,'Cost Improvement and Off Wnd'!$B$117:$AL$117,0))*1000*About!$A$33</f>
        <v>2371879.44</v>
      </c>
      <c r="K11" s="4">
        <f>'EIA Costs'!$D$9*INDEX('Cost Improvement and Off Wnd'!$B$118:$AL$126,MATCH("natural gas peaker",'Cost Improvement and Off Wnd'!$A$118:$A$126,0),MATCH('Capital Costs - US'!$A11,'Cost Improvement and Off Wnd'!$B$117:$AL$117,0))*1000*About!$A$33</f>
        <v>629014.61231266905</v>
      </c>
      <c r="L11" s="4">
        <f>'EIA Costs'!$D$9*INDEX('Cost Improvement and Off Wnd'!$B$118:$AL$126,MATCH("natural gas peaker",'Cost Improvement and Off Wnd'!$A$118:$A$126,0),MATCH('Capital Costs - US'!$A11,'Cost Improvement and Off Wnd'!$B$117:$AL$117,0))*1000*About!$A$33</f>
        <v>629014.61231266905</v>
      </c>
      <c r="M11" s="4">
        <f>B11*'Coal Cost Multipliers'!$B$33</f>
        <v>6857173.4350886252</v>
      </c>
      <c r="N11" s="4">
        <v>0</v>
      </c>
    </row>
    <row r="12" spans="1:14">
      <c r="A12" s="1">
        <v>2027</v>
      </c>
      <c r="B12" s="4">
        <f>'EIA Costs'!$D$4*INDEX('Cost Improvement and Off Wnd'!$B$118:$AL$126,MATCH("coal",'Cost Improvement and Off Wnd'!$A$118:$A$126,0),MATCH('Capital Costs - US'!$A12,'Cost Improvement and Off Wnd'!$B$117:$AL$117,0))*1000*About!$A$33</f>
        <v>5868954.29254534</v>
      </c>
      <c r="C12" s="4">
        <f>'EIA Costs'!$D$6*INDEX('Cost Improvement and Off Wnd'!$B$118:$AL$126,MATCH("natural gas nonpeaker",'Cost Improvement and Off Wnd'!$A$118:$A$126,0),MATCH('Capital Costs - US'!$A12,'Cost Improvement and Off Wnd'!$B$117:$AL$117,0))*1000*About!$A$33</f>
        <v>949477.38631026668</v>
      </c>
      <c r="D12" s="4">
        <f>'EIA Costs'!$D$11*INDEX('Cost Improvement and Off Wnd'!$B$118:$AL$126,MATCH("nuclear",'Cost Improvement and Off Wnd'!$A$118:$A$126,0),MATCH('Capital Costs - US'!$A12,'Cost Improvement and Off Wnd'!$B$117:$AL$117,0))*1000*About!$A$33</f>
        <v>5155630.2835784713</v>
      </c>
      <c r="E12" s="4">
        <f>'EIA Costs'!$D$17*INDEX('Cost Improvement and Off Wnd'!$B$118:$AL$126,MATCH("hydro",'Cost Improvement and Off Wnd'!$A$118:$A$126,0),MATCH('Capital Costs - US'!$A12,'Cost Improvement and Off Wnd'!$B$117:$AL$117,0))*1000*About!$A$33</f>
        <v>2449184.9218038814</v>
      </c>
      <c r="F12" s="4">
        <v>0</v>
      </c>
      <c r="G12" s="4">
        <v>0</v>
      </c>
      <c r="H12" s="4">
        <f>'Anexo Tabla 4.2.11.'!$C$14*INDEX('Cost Improvement and Off Wnd'!$B$118:$AL$126,MATCH("solar thermal",'Cost Improvement and Off Wnd'!$A$118:$A$126,0),MATCH('Capital Costs - US'!$A12,'Cost Improvement and Off Wnd'!$B$117:$AL$117,0))*1000*About!$A$33</f>
        <v>4160463.6801041299</v>
      </c>
      <c r="I12" s="4">
        <f>'EIA Costs'!$D$14*INDEX('Cost Improvement and Off Wnd'!$B$118:$AL$126,MATCH("biomass",'Cost Improvement and Off Wnd'!$A$118:$A$126,0),MATCH('Capital Costs - US'!$A12,'Cost Improvement and Off Wnd'!$B$117:$AL$117,0))*1000*About!$A$33</f>
        <v>3479591.4337126394</v>
      </c>
      <c r="J12" s="4">
        <f>'EIA Costs'!$D$15*INDEX('Cost Improvement and Off Wnd'!$B$118:$AL$126,MATCH("geothermal",'Cost Improvement and Off Wnd'!$A$118:$A$126,0),MATCH('Capital Costs - US'!$A12,'Cost Improvement and Off Wnd'!$B$117:$AL$117,0))*1000*About!$A$33</f>
        <v>2367852.48</v>
      </c>
      <c r="K12" s="4">
        <f>'EIA Costs'!$D$9*INDEX('Cost Improvement and Off Wnd'!$B$118:$AL$126,MATCH("natural gas peaker",'Cost Improvement and Off Wnd'!$A$118:$A$126,0),MATCH('Capital Costs - US'!$A12,'Cost Improvement and Off Wnd'!$B$117:$AL$117,0))*1000*About!$A$33</f>
        <v>624104.63841106219</v>
      </c>
      <c r="L12" s="4">
        <f>'EIA Costs'!$D$9*INDEX('Cost Improvement and Off Wnd'!$B$118:$AL$126,MATCH("natural gas peaker",'Cost Improvement and Off Wnd'!$A$118:$A$126,0),MATCH('Capital Costs - US'!$A12,'Cost Improvement and Off Wnd'!$B$117:$AL$117,0))*1000*About!$A$33</f>
        <v>624104.63841106219</v>
      </c>
      <c r="M12" s="4">
        <f>B12*'Coal Cost Multipliers'!$B$33</f>
        <v>6801779.2710875198</v>
      </c>
      <c r="N12" s="4">
        <v>0</v>
      </c>
    </row>
    <row r="13" spans="1:14">
      <c r="A13" s="1">
        <v>2028</v>
      </c>
      <c r="B13" s="4">
        <f>'EIA Costs'!$D$4*INDEX('Cost Improvement and Off Wnd'!$B$118:$AL$126,MATCH("coal",'Cost Improvement and Off Wnd'!$A$118:$A$126,0),MATCH('Capital Costs - US'!$A13,'Cost Improvement and Off Wnd'!$B$117:$AL$117,0))*1000*About!$A$33</f>
        <v>5836601.724217698</v>
      </c>
      <c r="C13" s="4">
        <f>'EIA Costs'!$D$6*INDEX('Cost Improvement and Off Wnd'!$B$118:$AL$126,MATCH("natural gas nonpeaker",'Cost Improvement and Off Wnd'!$A$118:$A$126,0),MATCH('Capital Costs - US'!$A13,'Cost Improvement and Off Wnd'!$B$117:$AL$117,0))*1000*About!$A$33</f>
        <v>943335.32626244437</v>
      </c>
      <c r="D13" s="4">
        <f>'EIA Costs'!$D$11*INDEX('Cost Improvement and Off Wnd'!$B$118:$AL$126,MATCH("nuclear",'Cost Improvement and Off Wnd'!$A$118:$A$126,0),MATCH('Capital Costs - US'!$A13,'Cost Improvement and Off Wnd'!$B$117:$AL$117,0))*1000*About!$A$33</f>
        <v>5127506.6643658997</v>
      </c>
      <c r="E13" s="4">
        <f>'EIA Costs'!$D$17*INDEX('Cost Improvement and Off Wnd'!$B$118:$AL$126,MATCH("hydro",'Cost Improvement and Off Wnd'!$A$118:$A$126,0),MATCH('Capital Costs - US'!$A13,'Cost Improvement and Off Wnd'!$B$117:$AL$117,0))*1000*About!$A$33</f>
        <v>2435257.8706325311</v>
      </c>
      <c r="F13" s="4">
        <v>0</v>
      </c>
      <c r="G13" s="4">
        <v>0</v>
      </c>
      <c r="H13" s="4">
        <f>'Anexo Tabla 4.2.11.'!$C$14*INDEX('Cost Improvement and Off Wnd'!$B$118:$AL$126,MATCH("solar thermal",'Cost Improvement and Off Wnd'!$A$118:$A$126,0),MATCH('Capital Costs - US'!$A13,'Cost Improvement and Off Wnd'!$B$117:$AL$117,0))*1000*About!$A$33</f>
        <v>4094467.8423681897</v>
      </c>
      <c r="I13" s="4">
        <f>'EIA Costs'!$D$14*INDEX('Cost Improvement and Off Wnd'!$B$118:$AL$126,MATCH("biomass",'Cost Improvement and Off Wnd'!$A$118:$A$126,0),MATCH('Capital Costs - US'!$A13,'Cost Improvement and Off Wnd'!$B$117:$AL$117,0))*1000*About!$A$33</f>
        <v>3469599.1172907539</v>
      </c>
      <c r="J13" s="4">
        <f>'EIA Costs'!$D$15*INDEX('Cost Improvement and Off Wnd'!$B$118:$AL$126,MATCH("geothermal",'Cost Improvement and Off Wnd'!$A$118:$A$126,0),MATCH('Capital Costs - US'!$A13,'Cost Improvement and Off Wnd'!$B$117:$AL$117,0))*1000*About!$A$33</f>
        <v>2363825.5199999996</v>
      </c>
      <c r="K13" s="4">
        <f>'EIA Costs'!$D$9*INDEX('Cost Improvement and Off Wnd'!$B$118:$AL$126,MATCH("natural gas peaker",'Cost Improvement and Off Wnd'!$A$118:$A$126,0),MATCH('Capital Costs - US'!$A13,'Cost Improvement and Off Wnd'!$B$117:$AL$117,0))*1000*About!$A$33</f>
        <v>619575.81905558321</v>
      </c>
      <c r="L13" s="4">
        <f>'EIA Costs'!$D$9*INDEX('Cost Improvement and Off Wnd'!$B$118:$AL$126,MATCH("natural gas peaker",'Cost Improvement and Off Wnd'!$A$118:$A$126,0),MATCH('Capital Costs - US'!$A13,'Cost Improvement and Off Wnd'!$B$117:$AL$117,0))*1000*About!$A$33</f>
        <v>619575.81905558321</v>
      </c>
      <c r="M13" s="4">
        <f>B13*'Coal Cost Multipliers'!$B$33</f>
        <v>6764284.51177462</v>
      </c>
      <c r="N13" s="4">
        <v>0</v>
      </c>
    </row>
    <row r="14" spans="1:14">
      <c r="A14" s="1">
        <v>2029</v>
      </c>
      <c r="B14" s="4">
        <f>'EIA Costs'!$D$4*INDEX('Cost Improvement and Off Wnd'!$B$118:$AL$126,MATCH("coal",'Cost Improvement and Off Wnd'!$A$118:$A$126,0),MATCH('Capital Costs - US'!$A14,'Cost Improvement and Off Wnd'!$B$117:$AL$117,0))*1000*About!$A$33</f>
        <v>5797589.0784554491</v>
      </c>
      <c r="C14" s="4">
        <f>'EIA Costs'!$D$6*INDEX('Cost Improvement and Off Wnd'!$B$118:$AL$126,MATCH("natural gas nonpeaker",'Cost Improvement and Off Wnd'!$A$118:$A$126,0),MATCH('Capital Costs - US'!$A14,'Cost Improvement and Off Wnd'!$B$117:$AL$117,0))*1000*About!$A$33</f>
        <v>938967.0877953025</v>
      </c>
      <c r="D14" s="4">
        <f>'EIA Costs'!$D$11*INDEX('Cost Improvement and Off Wnd'!$B$118:$AL$126,MATCH("nuclear",'Cost Improvement and Off Wnd'!$A$118:$A$126,0),MATCH('Capital Costs - US'!$A14,'Cost Improvement and Off Wnd'!$B$117:$AL$117,0))*1000*About!$A$33</f>
        <v>5099387.525828613</v>
      </c>
      <c r="E14" s="4">
        <f>'EIA Costs'!$D$17*INDEX('Cost Improvement and Off Wnd'!$B$118:$AL$126,MATCH("hydro",'Cost Improvement and Off Wnd'!$A$118:$A$126,0),MATCH('Capital Costs - US'!$A14,'Cost Improvement and Off Wnd'!$B$117:$AL$117,0))*1000*About!$A$33</f>
        <v>2421337.1015690072</v>
      </c>
      <c r="F14" s="4">
        <v>0</v>
      </c>
      <c r="G14" s="4">
        <v>0</v>
      </c>
      <c r="H14" s="4">
        <f>'Anexo Tabla 4.2.11.'!$C$14*INDEX('Cost Improvement and Off Wnd'!$B$118:$AL$126,MATCH("solar thermal",'Cost Improvement and Off Wnd'!$A$118:$A$126,0),MATCH('Capital Costs - US'!$A14,'Cost Improvement and Off Wnd'!$B$117:$AL$117,0))*1000*About!$A$33</f>
        <v>4029507.7827060283</v>
      </c>
      <c r="I14" s="4">
        <f>'EIA Costs'!$D$14*INDEX('Cost Improvement and Off Wnd'!$B$118:$AL$126,MATCH("biomass",'Cost Improvement and Off Wnd'!$A$118:$A$126,0),MATCH('Capital Costs - US'!$A14,'Cost Improvement and Off Wnd'!$B$117:$AL$117,0))*1000*About!$A$33</f>
        <v>3459609.8970702845</v>
      </c>
      <c r="J14" s="4">
        <f>'EIA Costs'!$D$15*INDEX('Cost Improvement and Off Wnd'!$B$118:$AL$126,MATCH("geothermal",'Cost Improvement and Off Wnd'!$A$118:$A$126,0),MATCH('Capital Costs - US'!$A14,'Cost Improvement and Off Wnd'!$B$117:$AL$117,0))*1000*About!$A$33</f>
        <v>2359798.5600000005</v>
      </c>
      <c r="K14" s="4">
        <f>'EIA Costs'!$D$9*INDEX('Cost Improvement and Off Wnd'!$B$118:$AL$126,MATCH("natural gas peaker",'Cost Improvement and Off Wnd'!$A$118:$A$126,0),MATCH('Capital Costs - US'!$A14,'Cost Improvement and Off Wnd'!$B$117:$AL$117,0))*1000*About!$A$33</f>
        <v>616448.38075626816</v>
      </c>
      <c r="L14" s="4">
        <f>'EIA Costs'!$D$9*INDEX('Cost Improvement and Off Wnd'!$B$118:$AL$126,MATCH("natural gas peaker",'Cost Improvement and Off Wnd'!$A$118:$A$126,0),MATCH('Capital Costs - US'!$A14,'Cost Improvement and Off Wnd'!$B$117:$AL$117,0))*1000*About!$A$33</f>
        <v>616448.38075626816</v>
      </c>
      <c r="M14" s="4">
        <f>B14*'Coal Cost Multipliers'!$B$33</f>
        <v>6719071.1071323324</v>
      </c>
      <c r="N14" s="4">
        <v>0</v>
      </c>
    </row>
    <row r="15" spans="1:14">
      <c r="A15" s="1">
        <v>2030</v>
      </c>
      <c r="B15" s="4">
        <f>'EIA Costs'!$D$4*INDEX('Cost Improvement and Off Wnd'!$B$118:$AL$126,MATCH("coal",'Cost Improvement and Off Wnd'!$A$118:$A$126,0),MATCH('Capital Costs - US'!$A15,'Cost Improvement and Off Wnd'!$B$117:$AL$117,0))*1000*About!$A$33</f>
        <v>5754417.5964696556</v>
      </c>
      <c r="C15" s="4">
        <f>'EIA Costs'!$D$6*INDEX('Cost Improvement and Off Wnd'!$B$118:$AL$126,MATCH("natural gas nonpeaker",'Cost Improvement and Off Wnd'!$A$118:$A$126,0),MATCH('Capital Costs - US'!$A15,'Cost Improvement and Off Wnd'!$B$117:$AL$117,0))*1000*About!$A$33</f>
        <v>934324.03261257184</v>
      </c>
      <c r="D15" s="4">
        <f>'EIA Costs'!$D$11*INDEX('Cost Improvement and Off Wnd'!$B$118:$AL$126,MATCH("nuclear",'Cost Improvement and Off Wnd'!$A$118:$A$126,0),MATCH('Capital Costs - US'!$A15,'Cost Improvement and Off Wnd'!$B$117:$AL$117,0))*1000*About!$A$33</f>
        <v>5071263.9651833745</v>
      </c>
      <c r="E15" s="4">
        <f>'EIA Costs'!$D$17*INDEX('Cost Improvement and Off Wnd'!$B$118:$AL$126,MATCH("hydro",'Cost Improvement and Off Wnd'!$A$118:$A$126,0),MATCH('Capital Costs - US'!$A15,'Cost Improvement and Off Wnd'!$B$117:$AL$117,0))*1000*About!$A$33</f>
        <v>2407416.3325054822</v>
      </c>
      <c r="F15" s="4">
        <v>0</v>
      </c>
      <c r="G15" s="4">
        <v>0</v>
      </c>
      <c r="H15" s="4">
        <f>'Anexo Tabla 4.2.11.'!$C$14*INDEX('Cost Improvement and Off Wnd'!$B$118:$AL$126,MATCH("solar thermal",'Cost Improvement and Off Wnd'!$A$118:$A$126,0),MATCH('Capital Costs - US'!$A15,'Cost Improvement and Off Wnd'!$B$117:$AL$117,0))*1000*About!$A$33</f>
        <v>3965453.733427898</v>
      </c>
      <c r="I15" s="4">
        <f>'EIA Costs'!$D$14*INDEX('Cost Improvement and Off Wnd'!$B$118:$AL$126,MATCH("biomass",'Cost Improvement and Off Wnd'!$A$118:$A$126,0),MATCH('Capital Costs - US'!$A15,'Cost Improvement and Off Wnd'!$B$117:$AL$117,0))*1000*About!$A$33</f>
        <v>3449617.6612474057</v>
      </c>
      <c r="J15" s="4">
        <f>'EIA Costs'!$D$15*INDEX('Cost Improvement and Off Wnd'!$B$118:$AL$126,MATCH("geothermal",'Cost Improvement and Off Wnd'!$A$118:$A$126,0),MATCH('Capital Costs - US'!$A15,'Cost Improvement and Off Wnd'!$B$117:$AL$117,0))*1000*About!$A$33</f>
        <v>2355771.6</v>
      </c>
      <c r="K15" s="4">
        <f>'EIA Costs'!$D$9*INDEX('Cost Improvement and Off Wnd'!$B$118:$AL$126,MATCH("natural gas peaker",'Cost Improvement and Off Wnd'!$A$118:$A$126,0),MATCH('Capital Costs - US'!$A15,'Cost Improvement and Off Wnd'!$B$117:$AL$117,0))*1000*About!$A$33</f>
        <v>613103.989995774</v>
      </c>
      <c r="L15" s="4">
        <f>'EIA Costs'!$D$9*INDEX('Cost Improvement and Off Wnd'!$B$118:$AL$126,MATCH("natural gas peaker",'Cost Improvement and Off Wnd'!$A$118:$A$126,0),MATCH('Capital Costs - US'!$A15,'Cost Improvement and Off Wnd'!$B$117:$AL$117,0))*1000*About!$A$33</f>
        <v>613103.989995774</v>
      </c>
      <c r="M15" s="4">
        <f>B15*'Coal Cost Multipliers'!$B$33</f>
        <v>6669037.8513535168</v>
      </c>
      <c r="N15" s="4">
        <v>0</v>
      </c>
    </row>
    <row r="16" spans="1:14">
      <c r="A16" s="1">
        <v>2031</v>
      </c>
      <c r="B16" s="4">
        <f>'EIA Costs'!$D$4*INDEX('Cost Improvement and Off Wnd'!$B$118:$AL$126,MATCH("coal",'Cost Improvement and Off Wnd'!$A$118:$A$126,0),MATCH('Capital Costs - US'!$A16,'Cost Improvement and Off Wnd'!$B$117:$AL$117,0))*1000*About!$A$33</f>
        <v>5715710.8490506802</v>
      </c>
      <c r="C16" s="4">
        <f>'EIA Costs'!$D$6*INDEX('Cost Improvement and Off Wnd'!$B$118:$AL$126,MATCH("natural gas nonpeaker",'Cost Improvement and Off Wnd'!$A$118:$A$126,0),MATCH('Capital Costs - US'!$A16,'Cost Improvement and Off Wnd'!$B$117:$AL$117,0))*1000*About!$A$33</f>
        <v>930112.73170077289</v>
      </c>
      <c r="D16" s="4">
        <f>'EIA Costs'!$D$11*INDEX('Cost Improvement and Off Wnd'!$B$118:$AL$126,MATCH("nuclear",'Cost Improvement and Off Wnd'!$A$118:$A$126,0),MATCH('Capital Costs - US'!$A16,'Cost Improvement and Off Wnd'!$B$117:$AL$117,0))*1000*About!$A$33</f>
        <v>5043138.0864731837</v>
      </c>
      <c r="E16" s="4">
        <f>'EIA Costs'!$D$17*INDEX('Cost Improvement and Off Wnd'!$B$118:$AL$126,MATCH("hydro",'Cost Improvement and Off Wnd'!$A$118:$A$126,0),MATCH('Capital Costs - US'!$A16,'Cost Improvement and Off Wnd'!$B$117:$AL$117,0))*1000*About!$A$33</f>
        <v>2393501.8134604306</v>
      </c>
      <c r="F16" s="4">
        <v>0</v>
      </c>
      <c r="G16" s="4">
        <v>0</v>
      </c>
      <c r="H16" s="4">
        <f>'Anexo Tabla 4.2.11.'!$C$14*INDEX('Cost Improvement and Off Wnd'!$B$118:$AL$126,MATCH("solar thermal",'Cost Improvement and Off Wnd'!$A$118:$A$126,0),MATCH('Capital Costs - US'!$A16,'Cost Improvement and Off Wnd'!$B$117:$AL$117,0))*1000*About!$A$33</f>
        <v>3953594.8091156096</v>
      </c>
      <c r="I16" s="4">
        <f>'EIA Costs'!$D$14*INDEX('Cost Improvement and Off Wnd'!$B$118:$AL$126,MATCH("biomass",'Cost Improvement and Off Wnd'!$A$118:$A$126,0),MATCH('Capital Costs - US'!$A16,'Cost Improvement and Off Wnd'!$B$117:$AL$117,0))*1000*About!$A$33</f>
        <v>3439623.6560018696</v>
      </c>
      <c r="J16" s="4">
        <f>'EIA Costs'!$D$15*INDEX('Cost Improvement and Off Wnd'!$B$118:$AL$126,MATCH("geothermal",'Cost Improvement and Off Wnd'!$A$118:$A$126,0),MATCH('Capital Costs - US'!$A16,'Cost Improvement and Off Wnd'!$B$117:$AL$117,0))*1000*About!$A$33</f>
        <v>2351744.64</v>
      </c>
      <c r="K16" s="4">
        <f>'EIA Costs'!$D$9*INDEX('Cost Improvement and Off Wnd'!$B$118:$AL$126,MATCH("natural gas peaker",'Cost Improvement and Off Wnd'!$A$118:$A$126,0),MATCH('Capital Costs - US'!$A16,'Cost Improvement and Off Wnd'!$B$117:$AL$117,0))*1000*About!$A$33</f>
        <v>610100.70335621736</v>
      </c>
      <c r="L16" s="4">
        <f>'EIA Costs'!$D$9*INDEX('Cost Improvement and Off Wnd'!$B$118:$AL$126,MATCH("natural gas peaker",'Cost Improvement and Off Wnd'!$A$118:$A$126,0),MATCH('Capital Costs - US'!$A16,'Cost Improvement and Off Wnd'!$B$117:$AL$117,0))*1000*About!$A$33</f>
        <v>610100.70335621736</v>
      </c>
      <c r="M16" s="4">
        <f>B16*'Coal Cost Multipliers'!$B$33</f>
        <v>6624178.9652347378</v>
      </c>
      <c r="N16" s="4">
        <v>0</v>
      </c>
    </row>
    <row r="17" spans="1:14">
      <c r="A17" s="1">
        <v>2032</v>
      </c>
      <c r="B17" s="4">
        <f>'EIA Costs'!$D$4*INDEX('Cost Improvement and Off Wnd'!$B$118:$AL$126,MATCH("coal",'Cost Improvement and Off Wnd'!$A$118:$A$126,0),MATCH('Capital Costs - US'!$A17,'Cost Improvement and Off Wnd'!$B$117:$AL$117,0))*1000*About!$A$33</f>
        <v>5682778.383669503</v>
      </c>
      <c r="C17" s="4">
        <f>'EIA Costs'!$D$6*INDEX('Cost Improvement and Off Wnd'!$B$118:$AL$126,MATCH("natural gas nonpeaker",'Cost Improvement and Off Wnd'!$A$118:$A$126,0),MATCH('Capital Costs - US'!$A17,'Cost Improvement and Off Wnd'!$B$117:$AL$117,0))*1000*About!$A$33</f>
        <v>926761.89047801169</v>
      </c>
      <c r="D17" s="4">
        <f>'EIA Costs'!$D$11*INDEX('Cost Improvement and Off Wnd'!$B$118:$AL$126,MATCH("nuclear",'Cost Improvement and Off Wnd'!$A$118:$A$126,0),MATCH('Capital Costs - US'!$A17,'Cost Improvement and Off Wnd'!$B$117:$AL$117,0))*1000*About!$A$33</f>
        <v>5015018.1673003174</v>
      </c>
      <c r="E17" s="4">
        <f>'EIA Costs'!$D$17*INDEX('Cost Improvement and Off Wnd'!$B$118:$AL$126,MATCH("hydro",'Cost Improvement and Off Wnd'!$A$118:$A$126,0),MATCH('Capital Costs - US'!$A17,'Cost Improvement and Off Wnd'!$B$117:$AL$117,0))*1000*About!$A$33</f>
        <v>2379587.2944153799</v>
      </c>
      <c r="F17" s="4">
        <v>0</v>
      </c>
      <c r="G17" s="4">
        <v>0</v>
      </c>
      <c r="H17" s="4">
        <f>'Anexo Tabla 4.2.11.'!$C$14*INDEX('Cost Improvement and Off Wnd'!$B$118:$AL$126,MATCH("solar thermal",'Cost Improvement and Off Wnd'!$A$118:$A$126,0),MATCH('Capital Costs - US'!$A17,'Cost Improvement and Off Wnd'!$B$117:$AL$117,0))*1000*About!$A$33</f>
        <v>3942445.8770998823</v>
      </c>
      <c r="I17" s="4">
        <f>'EIA Costs'!$D$14*INDEX('Cost Improvement and Off Wnd'!$B$118:$AL$126,MATCH("biomass",'Cost Improvement and Off Wnd'!$A$118:$A$126,0),MATCH('Capital Costs - US'!$A17,'Cost Improvement and Off Wnd'!$B$117:$AL$117,0))*1000*About!$A$33</f>
        <v>3429633.6602299903</v>
      </c>
      <c r="J17" s="4">
        <f>'EIA Costs'!$D$15*INDEX('Cost Improvement and Off Wnd'!$B$118:$AL$126,MATCH("geothermal",'Cost Improvement and Off Wnd'!$A$118:$A$126,0),MATCH('Capital Costs - US'!$A17,'Cost Improvement and Off Wnd'!$B$117:$AL$117,0))*1000*About!$A$33</f>
        <v>2347717.6800000002</v>
      </c>
      <c r="K17" s="4">
        <f>'EIA Costs'!$D$9*INDEX('Cost Improvement and Off Wnd'!$B$118:$AL$126,MATCH("natural gas peaker",'Cost Improvement and Off Wnd'!$A$118:$A$126,0),MATCH('Capital Costs - US'!$A17,'Cost Improvement and Off Wnd'!$B$117:$AL$117,0))*1000*About!$A$33</f>
        <v>607777.3086571634</v>
      </c>
      <c r="L17" s="4">
        <f>'EIA Costs'!$D$9*INDEX('Cost Improvement and Off Wnd'!$B$118:$AL$126,MATCH("natural gas peaker",'Cost Improvement and Off Wnd'!$A$118:$A$126,0),MATCH('Capital Costs - US'!$A17,'Cost Improvement and Off Wnd'!$B$117:$AL$117,0))*1000*About!$A$33</f>
        <v>607777.3086571634</v>
      </c>
      <c r="M17" s="4">
        <f>B17*'Coal Cost Multipliers'!$B$33</f>
        <v>6586012.1387082441</v>
      </c>
      <c r="N17" s="4">
        <v>0</v>
      </c>
    </row>
    <row r="18" spans="1:14">
      <c r="A18" s="1">
        <v>2033</v>
      </c>
      <c r="B18" s="4">
        <f>'EIA Costs'!$D$4*INDEX('Cost Improvement and Off Wnd'!$B$118:$AL$126,MATCH("coal",'Cost Improvement and Off Wnd'!$A$118:$A$126,0),MATCH('Capital Costs - US'!$A18,'Cost Improvement and Off Wnd'!$B$117:$AL$117,0))*1000*About!$A$33</f>
        <v>5642193.7803548686</v>
      </c>
      <c r="C18" s="4">
        <f>'EIA Costs'!$D$6*INDEX('Cost Improvement and Off Wnd'!$B$118:$AL$126,MATCH("natural gas nonpeaker",'Cost Improvement and Off Wnd'!$A$118:$A$126,0),MATCH('Capital Costs - US'!$A18,'Cost Improvement and Off Wnd'!$B$117:$AL$117,0))*1000*About!$A$33</f>
        <v>923783.53953476355</v>
      </c>
      <c r="D18" s="4">
        <f>'EIA Costs'!$D$11*INDEX('Cost Improvement and Off Wnd'!$B$118:$AL$126,MATCH("nuclear",'Cost Improvement and Off Wnd'!$A$118:$A$126,0),MATCH('Capital Costs - US'!$A18,'Cost Improvement and Off Wnd'!$B$117:$AL$117,0))*1000*About!$A$33</f>
        <v>4986896.9535291838</v>
      </c>
      <c r="E18" s="4">
        <f>'EIA Costs'!$D$17*INDEX('Cost Improvement and Off Wnd'!$B$118:$AL$126,MATCH("hydro",'Cost Improvement and Off Wnd'!$A$118:$A$126,0),MATCH('Capital Costs - US'!$A18,'Cost Improvement and Off Wnd'!$B$117:$AL$117,0))*1000*About!$A$33</f>
        <v>2365678.9908310375</v>
      </c>
      <c r="F18" s="4">
        <v>0</v>
      </c>
      <c r="G18" s="4">
        <v>0</v>
      </c>
      <c r="H18" s="4">
        <f>'Anexo Tabla 4.2.11.'!$C$14*INDEX('Cost Improvement and Off Wnd'!$B$118:$AL$126,MATCH("solar thermal",'Cost Improvement and Off Wnd'!$A$118:$A$126,0),MATCH('Capital Costs - US'!$A18,'Cost Improvement and Off Wnd'!$B$117:$AL$117,0))*1000*About!$A$33</f>
        <v>3931931.8687400362</v>
      </c>
      <c r="I18" s="4">
        <f>'EIA Costs'!$D$14*INDEX('Cost Improvement and Off Wnd'!$B$118:$AL$126,MATCH("biomass",'Cost Improvement and Off Wnd'!$A$118:$A$126,0),MATCH('Capital Costs - US'!$A18,'Cost Improvement and Off Wnd'!$B$117:$AL$117,0))*1000*About!$A$33</f>
        <v>3419643.3546162085</v>
      </c>
      <c r="J18" s="4">
        <f>'EIA Costs'!$D$15*INDEX('Cost Improvement and Off Wnd'!$B$118:$AL$126,MATCH("geothermal",'Cost Improvement and Off Wnd'!$A$118:$A$126,0),MATCH('Capital Costs - US'!$A18,'Cost Improvement and Off Wnd'!$B$117:$AL$117,0))*1000*About!$A$33</f>
        <v>2343690.7200000002</v>
      </c>
      <c r="K18" s="4">
        <f>'EIA Costs'!$D$9*INDEX('Cost Improvement and Off Wnd'!$B$118:$AL$126,MATCH("natural gas peaker",'Cost Improvement and Off Wnd'!$A$118:$A$126,0),MATCH('Capital Costs - US'!$A18,'Cost Improvement and Off Wnd'!$B$117:$AL$117,0))*1000*About!$A$33</f>
        <v>605748.1000457817</v>
      </c>
      <c r="L18" s="4">
        <f>'EIA Costs'!$D$9*INDEX('Cost Improvement and Off Wnd'!$B$118:$AL$126,MATCH("natural gas peaker",'Cost Improvement and Off Wnd'!$A$118:$A$126,0),MATCH('Capital Costs - US'!$A18,'Cost Improvement and Off Wnd'!$B$117:$AL$117,0))*1000*About!$A$33</f>
        <v>605748.1000457817</v>
      </c>
      <c r="M18" s="4">
        <f>B18*'Coal Cost Multipliers'!$B$33</f>
        <v>6538976.9259955771</v>
      </c>
      <c r="N18" s="4">
        <v>0</v>
      </c>
    </row>
    <row r="19" spans="1:14">
      <c r="A19" s="1">
        <v>2034</v>
      </c>
      <c r="B19" s="4">
        <f>'EIA Costs'!$D$4*INDEX('Cost Improvement and Off Wnd'!$B$118:$AL$126,MATCH("coal",'Cost Improvement and Off Wnd'!$A$118:$A$126,0),MATCH('Capital Costs - US'!$A19,'Cost Improvement and Off Wnd'!$B$117:$AL$117,0))*1000*About!$A$33</f>
        <v>5606366.9449191354</v>
      </c>
      <c r="C19" s="4">
        <f>'EIA Costs'!$D$6*INDEX('Cost Improvement and Off Wnd'!$B$118:$AL$126,MATCH("natural gas nonpeaker",'Cost Improvement and Off Wnd'!$A$118:$A$126,0),MATCH('Capital Costs - US'!$A19,'Cost Improvement and Off Wnd'!$B$117:$AL$117,0))*1000*About!$A$33</f>
        <v>920761.94092942204</v>
      </c>
      <c r="D19" s="4">
        <f>'EIA Costs'!$D$11*INDEX('Cost Improvement and Off Wnd'!$B$118:$AL$126,MATCH("nuclear",'Cost Improvement and Off Wnd'!$A$118:$A$126,0),MATCH('Capital Costs - US'!$A19,'Cost Improvement and Off Wnd'!$B$117:$AL$117,0))*1000*About!$A$33</f>
        <v>4958774.659165916</v>
      </c>
      <c r="E19" s="4">
        <f>'EIA Costs'!$D$17*INDEX('Cost Improvement and Off Wnd'!$B$118:$AL$126,MATCH("hydro",'Cost Improvement and Off Wnd'!$A$118:$A$126,0),MATCH('Capital Costs - US'!$A19,'Cost Improvement and Off Wnd'!$B$117:$AL$117,0))*1000*About!$A$33</f>
        <v>2351770.6872466947</v>
      </c>
      <c r="F19" s="4">
        <v>0</v>
      </c>
      <c r="G19" s="4">
        <v>0</v>
      </c>
      <c r="H19" s="4">
        <f>'Anexo Tabla 4.2.11.'!$C$14*INDEX('Cost Improvement and Off Wnd'!$B$118:$AL$126,MATCH("solar thermal",'Cost Improvement and Off Wnd'!$A$118:$A$126,0),MATCH('Capital Costs - US'!$A19,'Cost Improvement and Off Wnd'!$B$117:$AL$117,0))*1000*About!$A$33</f>
        <v>3921988.95479964</v>
      </c>
      <c r="I19" s="4">
        <f>'EIA Costs'!$D$14*INDEX('Cost Improvement and Off Wnd'!$B$118:$AL$126,MATCH("biomass",'Cost Improvement and Off Wnd'!$A$118:$A$126,0),MATCH('Capital Costs - US'!$A19,'Cost Improvement and Off Wnd'!$B$117:$AL$117,0))*1000*About!$A$33</f>
        <v>3409651.5318734273</v>
      </c>
      <c r="J19" s="4">
        <f>'EIA Costs'!$D$15*INDEX('Cost Improvement and Off Wnd'!$B$118:$AL$126,MATCH("geothermal",'Cost Improvement and Off Wnd'!$A$118:$A$126,0),MATCH('Capital Costs - US'!$A19,'Cost Improvement and Off Wnd'!$B$117:$AL$117,0))*1000*About!$A$33</f>
        <v>2339663.7600000002</v>
      </c>
      <c r="K19" s="4">
        <f>'EIA Costs'!$D$9*INDEX('Cost Improvement and Off Wnd'!$B$118:$AL$126,MATCH("natural gas peaker",'Cost Improvement and Off Wnd'!$A$118:$A$126,0),MATCH('Capital Costs - US'!$A19,'Cost Improvement and Off Wnd'!$B$117:$AL$117,0))*1000*About!$A$33</f>
        <v>603684.81012468517</v>
      </c>
      <c r="L19" s="4">
        <f>'EIA Costs'!$D$9*INDEX('Cost Improvement and Off Wnd'!$B$118:$AL$126,MATCH("natural gas peaker",'Cost Improvement and Off Wnd'!$A$118:$A$126,0),MATCH('Capital Costs - US'!$A19,'Cost Improvement and Off Wnd'!$B$117:$AL$117,0))*1000*About!$A$33</f>
        <v>603684.81012468517</v>
      </c>
      <c r="M19" s="4">
        <f>B19*'Coal Cost Multipliers'!$B$33</f>
        <v>6497455.6916378727</v>
      </c>
      <c r="N19" s="4">
        <v>0</v>
      </c>
    </row>
    <row r="20" spans="1:14">
      <c r="A20" s="1">
        <v>2035</v>
      </c>
      <c r="B20" s="4">
        <f>'EIA Costs'!$D$4*INDEX('Cost Improvement and Off Wnd'!$B$118:$AL$126,MATCH("coal",'Cost Improvement and Off Wnd'!$A$118:$A$126,0),MATCH('Capital Costs - US'!$A20,'Cost Improvement and Off Wnd'!$B$117:$AL$117,0))*1000*About!$A$33</f>
        <v>5572150.0919803614</v>
      </c>
      <c r="C20" s="4">
        <f>'EIA Costs'!$D$6*INDEX('Cost Improvement and Off Wnd'!$B$118:$AL$126,MATCH("natural gas nonpeaker",'Cost Improvement and Off Wnd'!$A$118:$A$126,0),MATCH('Capital Costs - US'!$A20,'Cost Improvement and Off Wnd'!$B$117:$AL$117,0))*1000*About!$A$33</f>
        <v>917371.86576616322</v>
      </c>
      <c r="D20" s="4">
        <f>'EIA Costs'!$D$11*INDEX('Cost Improvement and Off Wnd'!$B$118:$AL$126,MATCH("nuclear",'Cost Improvement and Off Wnd'!$A$118:$A$126,0),MATCH('Capital Costs - US'!$A20,'Cost Improvement and Off Wnd'!$B$117:$AL$117,0))*1000*About!$A$33</f>
        <v>4930651.7207391467</v>
      </c>
      <c r="E20" s="4">
        <f>'EIA Costs'!$D$17*INDEX('Cost Improvement and Off Wnd'!$B$118:$AL$126,MATCH("hydro",'Cost Improvement and Off Wnd'!$A$118:$A$126,0),MATCH('Capital Costs - US'!$A20,'Cost Improvement and Off Wnd'!$B$117:$AL$117,0))*1000*About!$A$33</f>
        <v>2337868.5695021199</v>
      </c>
      <c r="F20" s="4">
        <v>0</v>
      </c>
      <c r="G20" s="4">
        <v>0</v>
      </c>
      <c r="H20" s="4">
        <f>'Anexo Tabla 4.2.11.'!$C$14*INDEX('Cost Improvement and Off Wnd'!$B$118:$AL$126,MATCH("solar thermal",'Cost Improvement and Off Wnd'!$A$118:$A$126,0),MATCH('Capital Costs - US'!$A20,'Cost Improvement and Off Wnd'!$B$117:$AL$117,0))*1000*About!$A$33</f>
        <v>3912562.4065965936</v>
      </c>
      <c r="I20" s="4">
        <f>'EIA Costs'!$D$14*INDEX('Cost Improvement and Off Wnd'!$B$118:$AL$126,MATCH("biomass",'Cost Improvement and Off Wnd'!$A$118:$A$126,0),MATCH('Capital Costs - US'!$A20,'Cost Improvement and Off Wnd'!$B$117:$AL$117,0))*1000*About!$A$33</f>
        <v>3399659.5746953762</v>
      </c>
      <c r="J20" s="4">
        <f>'EIA Costs'!$D$15*INDEX('Cost Improvement and Off Wnd'!$B$118:$AL$126,MATCH("geothermal",'Cost Improvement and Off Wnd'!$A$118:$A$126,0),MATCH('Capital Costs - US'!$A20,'Cost Improvement and Off Wnd'!$B$117:$AL$117,0))*1000*About!$A$33</f>
        <v>2335636.7999999998</v>
      </c>
      <c r="K20" s="4">
        <f>'EIA Costs'!$D$9*INDEX('Cost Improvement and Off Wnd'!$B$118:$AL$126,MATCH("natural gas peaker",'Cost Improvement and Off Wnd'!$A$118:$A$126,0),MATCH('Capital Costs - US'!$A20,'Cost Improvement and Off Wnd'!$B$117:$AL$117,0))*1000*About!$A$33</f>
        <v>601330.37504906254</v>
      </c>
      <c r="L20" s="4">
        <f>'EIA Costs'!$D$9*INDEX('Cost Improvement and Off Wnd'!$B$118:$AL$126,MATCH("natural gas peaker",'Cost Improvement and Off Wnd'!$A$118:$A$126,0),MATCH('Capital Costs - US'!$A20,'Cost Improvement and Off Wnd'!$B$117:$AL$117,0))*1000*About!$A$33</f>
        <v>601330.37504906254</v>
      </c>
      <c r="M20" s="4">
        <f>B20*'Coal Cost Multipliers'!$B$33</f>
        <v>6457800.3340665214</v>
      </c>
      <c r="N20" s="4">
        <v>0</v>
      </c>
    </row>
    <row r="21" spans="1:14">
      <c r="A21" s="1">
        <v>2036</v>
      </c>
      <c r="B21" s="4">
        <f>'EIA Costs'!$D$4*INDEX('Cost Improvement and Off Wnd'!$B$118:$AL$126,MATCH("coal",'Cost Improvement and Off Wnd'!$A$118:$A$126,0),MATCH('Capital Costs - US'!$A21,'Cost Improvement and Off Wnd'!$B$117:$AL$117,0))*1000*About!$A$33</f>
        <v>5539118.4834558573</v>
      </c>
      <c r="C21" s="4">
        <f>'EIA Costs'!$D$6*INDEX('Cost Improvement and Off Wnd'!$B$118:$AL$126,MATCH("natural gas nonpeaker",'Cost Improvement and Off Wnd'!$A$118:$A$126,0),MATCH('Capital Costs - US'!$A21,'Cost Improvement and Off Wnd'!$B$117:$AL$117,0))*1000*About!$A$33</f>
        <v>913958.82450684451</v>
      </c>
      <c r="D21" s="4">
        <f>'EIA Costs'!$D$11*INDEX('Cost Improvement and Off Wnd'!$B$118:$AL$126,MATCH("nuclear",'Cost Improvement and Off Wnd'!$A$118:$A$126,0),MATCH('Capital Costs - US'!$A21,'Cost Improvement and Off Wnd'!$B$117:$AL$117,0))*1000*About!$A$33</f>
        <v>4902527.8892413173</v>
      </c>
      <c r="E21" s="4">
        <f>'EIA Costs'!$D$17*INDEX('Cost Improvement and Off Wnd'!$B$118:$AL$126,MATCH("hydro",'Cost Improvement and Off Wnd'!$A$118:$A$126,0),MATCH('Capital Costs - US'!$A21,'Cost Improvement and Off Wnd'!$B$117:$AL$117,0))*1000*About!$A$33</f>
        <v>2333338.6744214161</v>
      </c>
      <c r="F21" s="4">
        <v>0</v>
      </c>
      <c r="G21" s="4">
        <v>0</v>
      </c>
      <c r="H21" s="4">
        <f>'Anexo Tabla 4.2.11.'!$C$14*INDEX('Cost Improvement and Off Wnd'!$B$118:$AL$126,MATCH("solar thermal",'Cost Improvement and Off Wnd'!$A$118:$A$126,0),MATCH('Capital Costs - US'!$A21,'Cost Improvement and Off Wnd'!$B$117:$AL$117,0))*1000*About!$A$33</f>
        <v>3903604.9431473445</v>
      </c>
      <c r="I21" s="4">
        <f>'EIA Costs'!$D$14*INDEX('Cost Improvement and Off Wnd'!$B$118:$AL$126,MATCH("biomass",'Cost Improvement and Off Wnd'!$A$118:$A$126,0),MATCH('Capital Costs - US'!$A21,'Cost Improvement and Off Wnd'!$B$117:$AL$117,0))*1000*About!$A$33</f>
        <v>3389666.8436114313</v>
      </c>
      <c r="J21" s="4">
        <f>'EIA Costs'!$D$15*INDEX('Cost Improvement and Off Wnd'!$B$118:$AL$126,MATCH("geothermal",'Cost Improvement and Off Wnd'!$A$118:$A$126,0),MATCH('Capital Costs - US'!$A21,'Cost Improvement and Off Wnd'!$B$117:$AL$117,0))*1000*About!$A$33</f>
        <v>2331609.8399999994</v>
      </c>
      <c r="K21" s="4">
        <f>'EIA Costs'!$D$9*INDEX('Cost Improvement and Off Wnd'!$B$118:$AL$126,MATCH("natural gas peaker",'Cost Improvement and Off Wnd'!$A$118:$A$126,0),MATCH('Capital Costs - US'!$A21,'Cost Improvement and Off Wnd'!$B$117:$AL$117,0))*1000*About!$A$33</f>
        <v>598957.8048655868</v>
      </c>
      <c r="L21" s="4">
        <f>'EIA Costs'!$D$9*INDEX('Cost Improvement and Off Wnd'!$B$118:$AL$126,MATCH("natural gas peaker",'Cost Improvement and Off Wnd'!$A$118:$A$126,0),MATCH('Capital Costs - US'!$A21,'Cost Improvement and Off Wnd'!$B$117:$AL$117,0))*1000*About!$A$33</f>
        <v>598957.8048655868</v>
      </c>
      <c r="M21" s="4">
        <f>B21*'Coal Cost Multipliers'!$B$33</f>
        <v>6419518.6063594185</v>
      </c>
      <c r="N21" s="4">
        <v>0</v>
      </c>
    </row>
    <row r="22" spans="1:14">
      <c r="A22" s="1">
        <v>2037</v>
      </c>
      <c r="B22" s="4">
        <f>'EIA Costs'!$D$4*INDEX('Cost Improvement and Off Wnd'!$B$118:$AL$126,MATCH("coal",'Cost Improvement and Off Wnd'!$A$118:$A$126,0),MATCH('Capital Costs - US'!$A22,'Cost Improvement and Off Wnd'!$B$117:$AL$117,0))*1000*About!$A$33</f>
        <v>5500407.7330473047</v>
      </c>
      <c r="C22" s="4">
        <f>'EIA Costs'!$D$6*INDEX('Cost Improvement and Off Wnd'!$B$118:$AL$126,MATCH("natural gas nonpeaker",'Cost Improvement and Off Wnd'!$A$118:$A$126,0),MATCH('Capital Costs - US'!$A22,'Cost Improvement and Off Wnd'!$B$117:$AL$117,0))*1000*About!$A$33</f>
        <v>911014.35710941826</v>
      </c>
      <c r="D22" s="4">
        <f>'EIA Costs'!$D$11*INDEX('Cost Improvement and Off Wnd'!$B$118:$AL$126,MATCH("nuclear",'Cost Improvement and Off Wnd'!$A$118:$A$126,0),MATCH('Capital Costs - US'!$A22,'Cost Improvement and Off Wnd'!$B$117:$AL$117,0))*1000*About!$A$33</f>
        <v>4874406.7607226819</v>
      </c>
      <c r="E22" s="4">
        <f>'EIA Costs'!$D$17*INDEX('Cost Improvement and Off Wnd'!$B$118:$AL$126,MATCH("hydro",'Cost Improvement and Off Wnd'!$A$118:$A$126,0),MATCH('Capital Costs - US'!$A22,'Cost Improvement and Off Wnd'!$B$117:$AL$117,0))*1000*About!$A$33</f>
        <v>2328814.9330911282</v>
      </c>
      <c r="F22" s="4">
        <v>0</v>
      </c>
      <c r="G22" s="4">
        <v>0</v>
      </c>
      <c r="H22" s="4">
        <f>'Anexo Tabla 4.2.11.'!$C$14*INDEX('Cost Improvement and Off Wnd'!$B$118:$AL$126,MATCH("solar thermal",'Cost Improvement and Off Wnd'!$A$118:$A$126,0),MATCH('Capital Costs - US'!$A22,'Cost Improvement and Off Wnd'!$B$117:$AL$117,0))*1000*About!$A$33</f>
        <v>3895075.4375618682</v>
      </c>
      <c r="I22" s="4">
        <f>'EIA Costs'!$D$14*INDEX('Cost Improvement and Off Wnd'!$B$118:$AL$126,MATCH("biomass",'Cost Improvement and Off Wnd'!$A$118:$A$126,0),MATCH('Capital Costs - US'!$A22,'Cost Improvement and Off Wnd'!$B$117:$AL$117,0))*1000*About!$A$33</f>
        <v>3379676.3155708034</v>
      </c>
      <c r="J22" s="4">
        <f>'EIA Costs'!$D$15*INDEX('Cost Improvement and Off Wnd'!$B$118:$AL$126,MATCH("geothermal",'Cost Improvement and Off Wnd'!$A$118:$A$126,0),MATCH('Capital Costs - US'!$A22,'Cost Improvement and Off Wnd'!$B$117:$AL$117,0))*1000*About!$A$33</f>
        <v>2327582.88</v>
      </c>
      <c r="K22" s="4">
        <f>'EIA Costs'!$D$9*INDEX('Cost Improvement and Off Wnd'!$B$118:$AL$126,MATCH("natural gas peaker",'Cost Improvement and Off Wnd'!$A$118:$A$126,0),MATCH('Capital Costs - US'!$A22,'Cost Improvement and Off Wnd'!$B$117:$AL$117,0))*1000*About!$A$33</f>
        <v>596955.4197425656</v>
      </c>
      <c r="L22" s="4">
        <f>'EIA Costs'!$D$9*INDEX('Cost Improvement and Off Wnd'!$B$118:$AL$126,MATCH("natural gas peaker",'Cost Improvement and Off Wnd'!$A$118:$A$126,0),MATCH('Capital Costs - US'!$A22,'Cost Improvement and Off Wnd'!$B$117:$AL$117,0))*1000*About!$A$33</f>
        <v>596955.4197425656</v>
      </c>
      <c r="M22" s="4">
        <f>B22*'Coal Cost Multipliers'!$B$33</f>
        <v>6374655.0810067719</v>
      </c>
      <c r="N22" s="4">
        <v>0</v>
      </c>
    </row>
    <row r="23" spans="1:14">
      <c r="A23" s="1">
        <v>2038</v>
      </c>
      <c r="B23" s="4">
        <f>'EIA Costs'!$D$4*INDEX('Cost Improvement and Off Wnd'!$B$118:$AL$126,MATCH("coal",'Cost Improvement and Off Wnd'!$A$118:$A$126,0),MATCH('Capital Costs - US'!$A23,'Cost Improvement and Off Wnd'!$B$117:$AL$117,0))*1000*About!$A$33</f>
        <v>5468250.3014946543</v>
      </c>
      <c r="C23" s="4">
        <f>'EIA Costs'!$D$6*INDEX('Cost Improvement and Off Wnd'!$B$118:$AL$126,MATCH("natural gas nonpeaker",'Cost Improvement and Off Wnd'!$A$118:$A$126,0),MATCH('Capital Costs - US'!$A23,'Cost Improvement and Off Wnd'!$B$117:$AL$117,0))*1000*About!$A$33</f>
        <v>907420.52088100906</v>
      </c>
      <c r="D23" s="4">
        <f>'EIA Costs'!$D$11*INDEX('Cost Improvement and Off Wnd'!$B$118:$AL$126,MATCH("nuclear",'Cost Improvement and Off Wnd'!$A$118:$A$126,0),MATCH('Capital Costs - US'!$A23,'Cost Improvement and Off Wnd'!$B$117:$AL$117,0))*1000*About!$A$33</f>
        <v>4846283.6112670014</v>
      </c>
      <c r="E23" s="4">
        <f>'EIA Costs'!$D$17*INDEX('Cost Improvement and Off Wnd'!$B$118:$AL$126,MATCH("hydro",'Cost Improvement and Off Wnd'!$A$118:$A$126,0),MATCH('Capital Costs - US'!$A23,'Cost Improvement and Off Wnd'!$B$117:$AL$117,0))*1000*About!$A$33</f>
        <v>2324291.1917608404</v>
      </c>
      <c r="F23" s="4">
        <v>0</v>
      </c>
      <c r="G23" s="4">
        <v>0</v>
      </c>
      <c r="H23" s="4">
        <f>'Anexo Tabla 4.2.11.'!$C$14*INDEX('Cost Improvement and Off Wnd'!$B$118:$AL$126,MATCH("solar thermal",'Cost Improvement and Off Wnd'!$A$118:$A$126,0),MATCH('Capital Costs - US'!$A23,'Cost Improvement and Off Wnd'!$B$117:$AL$117,0))*1000*About!$A$33</f>
        <v>3886937.8928868459</v>
      </c>
      <c r="I23" s="4">
        <f>'EIA Costs'!$D$14*INDEX('Cost Improvement and Off Wnd'!$B$118:$AL$126,MATCH("biomass",'Cost Improvement and Off Wnd'!$A$118:$A$126,0),MATCH('Capital Costs - US'!$A23,'Cost Improvement and Off Wnd'!$B$117:$AL$117,0))*1000*About!$A$33</f>
        <v>3369684.2256353949</v>
      </c>
      <c r="J23" s="4">
        <f>'EIA Costs'!$D$15*INDEX('Cost Improvement and Off Wnd'!$B$118:$AL$126,MATCH("geothermal",'Cost Improvement and Off Wnd'!$A$118:$A$126,0),MATCH('Capital Costs - US'!$A23,'Cost Improvement and Off Wnd'!$B$117:$AL$117,0))*1000*About!$A$33</f>
        <v>2323555.9199999995</v>
      </c>
      <c r="K23" s="4">
        <f>'EIA Costs'!$D$9*INDEX('Cost Improvement and Off Wnd'!$B$118:$AL$126,MATCH("natural gas peaker",'Cost Improvement and Off Wnd'!$A$118:$A$126,0),MATCH('Capital Costs - US'!$A23,'Cost Improvement and Off Wnd'!$B$117:$AL$117,0))*1000*About!$A$33</f>
        <v>594440.08024455211</v>
      </c>
      <c r="L23" s="4">
        <f>'EIA Costs'!$D$9*INDEX('Cost Improvement and Off Wnd'!$B$118:$AL$126,MATCH("natural gas peaker",'Cost Improvement and Off Wnd'!$A$118:$A$126,0),MATCH('Capital Costs - US'!$A23,'Cost Improvement and Off Wnd'!$B$117:$AL$117,0))*1000*About!$A$33</f>
        <v>594440.08024455211</v>
      </c>
      <c r="M23" s="4">
        <f>B23*'Coal Cost Multipliers'!$B$33</f>
        <v>6337386.4739528615</v>
      </c>
      <c r="N23" s="4">
        <v>0</v>
      </c>
    </row>
    <row r="24" spans="1:14">
      <c r="A24" s="1">
        <v>2039</v>
      </c>
      <c r="B24" s="4">
        <f>'EIA Costs'!$D$4*INDEX('Cost Improvement and Off Wnd'!$B$118:$AL$126,MATCH("coal",'Cost Improvement and Off Wnd'!$A$118:$A$126,0),MATCH('Capital Costs - US'!$A24,'Cost Improvement and Off Wnd'!$B$117:$AL$117,0))*1000*About!$A$33</f>
        <v>5432367.0167962778</v>
      </c>
      <c r="C24" s="4">
        <f>'EIA Costs'!$D$6*INDEX('Cost Improvement and Off Wnd'!$B$118:$AL$126,MATCH("natural gas nonpeaker",'Cost Improvement and Off Wnd'!$A$118:$A$126,0),MATCH('Capital Costs - US'!$A24,'Cost Improvement and Off Wnd'!$B$117:$AL$117,0))*1000*About!$A$33</f>
        <v>904471.68523875286</v>
      </c>
      <c r="D24" s="4">
        <f>'EIA Costs'!$D$11*INDEX('Cost Improvement and Off Wnd'!$B$118:$AL$126,MATCH("nuclear",'Cost Improvement and Off Wnd'!$A$118:$A$126,0),MATCH('Capital Costs - US'!$A24,'Cost Improvement and Off Wnd'!$B$117:$AL$117,0))*1000*About!$A$33</f>
        <v>4818163.5130767515</v>
      </c>
      <c r="E24" s="4">
        <f>'EIA Costs'!$D$17*INDEX('Cost Improvement and Off Wnd'!$B$118:$AL$126,MATCH("hydro",'Cost Improvement and Off Wnd'!$A$118:$A$126,0),MATCH('Capital Costs - US'!$A24,'Cost Improvement and Off Wnd'!$B$117:$AL$117,0))*1000*About!$A$33</f>
        <v>2319773.5745600271</v>
      </c>
      <c r="F24" s="4">
        <v>0</v>
      </c>
      <c r="G24" s="4">
        <v>0</v>
      </c>
      <c r="H24" s="4">
        <f>'Anexo Tabla 4.2.11.'!$C$14*INDEX('Cost Improvement and Off Wnd'!$B$118:$AL$126,MATCH("solar thermal",'Cost Improvement and Off Wnd'!$A$118:$A$126,0),MATCH('Capital Costs - US'!$A24,'Cost Improvement and Off Wnd'!$B$117:$AL$117,0))*1000*About!$A$33</f>
        <v>3879160.6227199817</v>
      </c>
      <c r="I24" s="4">
        <f>'EIA Costs'!$D$14*INDEX('Cost Improvement and Off Wnd'!$B$118:$AL$126,MATCH("biomass",'Cost Improvement and Off Wnd'!$A$118:$A$126,0),MATCH('Capital Costs - US'!$A24,'Cost Improvement and Off Wnd'!$B$117:$AL$117,0))*1000*About!$A$33</f>
        <v>3359693.9843631904</v>
      </c>
      <c r="J24" s="4">
        <f>'EIA Costs'!$D$15*INDEX('Cost Improvement and Off Wnd'!$B$118:$AL$126,MATCH("geothermal",'Cost Improvement and Off Wnd'!$A$118:$A$126,0),MATCH('Capital Costs - US'!$A24,'Cost Improvement and Off Wnd'!$B$117:$AL$117,0))*1000*About!$A$33</f>
        <v>2319528.96</v>
      </c>
      <c r="K24" s="4">
        <f>'EIA Costs'!$D$9*INDEX('Cost Improvement and Off Wnd'!$B$118:$AL$126,MATCH("natural gas peaker",'Cost Improvement and Off Wnd'!$A$118:$A$126,0),MATCH('Capital Costs - US'!$A24,'Cost Improvement and Off Wnd'!$B$117:$AL$117,0))*1000*About!$A$33</f>
        <v>592434.16432381817</v>
      </c>
      <c r="L24" s="4">
        <f>'EIA Costs'!$D$9*INDEX('Cost Improvement and Off Wnd'!$B$118:$AL$126,MATCH("natural gas peaker",'Cost Improvement and Off Wnd'!$A$118:$A$126,0),MATCH('Capital Costs - US'!$A24,'Cost Improvement and Off Wnd'!$B$117:$AL$117,0))*1000*About!$A$33</f>
        <v>592434.16432381817</v>
      </c>
      <c r="M24" s="4">
        <f>B24*'Coal Cost Multipliers'!$B$33</f>
        <v>6295799.8181579839</v>
      </c>
      <c r="N24" s="4">
        <v>0</v>
      </c>
    </row>
    <row r="25" spans="1:14">
      <c r="A25" s="1">
        <v>2040</v>
      </c>
      <c r="B25" s="4">
        <f>'EIA Costs'!$D$4*INDEX('Cost Improvement and Off Wnd'!$B$118:$AL$126,MATCH("coal",'Cost Improvement and Off Wnd'!$A$118:$A$126,0),MATCH('Capital Costs - US'!$A25,'Cost Improvement and Off Wnd'!$B$117:$AL$117,0))*1000*About!$A$33</f>
        <v>5398484.411653229</v>
      </c>
      <c r="C25" s="4">
        <f>'EIA Costs'!$D$6*INDEX('Cost Improvement and Off Wnd'!$B$118:$AL$126,MATCH("natural gas nonpeaker",'Cost Improvement and Off Wnd'!$A$118:$A$126,0),MATCH('Capital Costs - US'!$A25,'Cost Improvement and Off Wnd'!$B$117:$AL$117,0))*1000*About!$A$33</f>
        <v>901093.79633118142</v>
      </c>
      <c r="D25" s="4">
        <f>'EIA Costs'!$D$11*INDEX('Cost Improvement and Off Wnd'!$B$118:$AL$126,MATCH("nuclear",'Cost Improvement and Off Wnd'!$A$118:$A$126,0),MATCH('Capital Costs - US'!$A25,'Cost Improvement and Off Wnd'!$B$117:$AL$117,0))*1000*About!$A$33</f>
        <v>4790037.5216986742</v>
      </c>
      <c r="E25" s="4">
        <f>'EIA Costs'!$D$17*INDEX('Cost Improvement and Off Wnd'!$B$118:$AL$126,MATCH("hydro",'Cost Improvement and Off Wnd'!$A$118:$A$126,0),MATCH('Capital Costs - US'!$A25,'Cost Improvement and Off Wnd'!$B$117:$AL$117,0))*1000*About!$A$33</f>
        <v>2315255.9573592143</v>
      </c>
      <c r="F25" s="4">
        <v>0</v>
      </c>
      <c r="G25" s="4">
        <v>0</v>
      </c>
      <c r="H25" s="4">
        <f>'Anexo Tabla 4.2.11.'!$C$14*INDEX('Cost Improvement and Off Wnd'!$B$118:$AL$126,MATCH("solar thermal",'Cost Improvement and Off Wnd'!$A$118:$A$126,0),MATCH('Capital Costs - US'!$A25,'Cost Improvement and Off Wnd'!$B$117:$AL$117,0))*1000*About!$A$33</f>
        <v>3871715.5893358057</v>
      </c>
      <c r="I25" s="4">
        <f>'EIA Costs'!$D$14*INDEX('Cost Improvement and Off Wnd'!$B$118:$AL$126,MATCH("biomass",'Cost Improvement and Off Wnd'!$A$118:$A$126,0),MATCH('Capital Costs - US'!$A25,'Cost Improvement and Off Wnd'!$B$117:$AL$117,0))*1000*About!$A$33</f>
        <v>3349700.2550786757</v>
      </c>
      <c r="J25" s="4">
        <f>'EIA Costs'!$D$15*INDEX('Cost Improvement and Off Wnd'!$B$118:$AL$126,MATCH("geothermal",'Cost Improvement and Off Wnd'!$A$118:$A$126,0),MATCH('Capital Costs - US'!$A25,'Cost Improvement and Off Wnd'!$B$117:$AL$117,0))*1000*About!$A$33</f>
        <v>2315502.0000000005</v>
      </c>
      <c r="K25" s="4">
        <f>'EIA Costs'!$D$9*INDEX('Cost Improvement and Off Wnd'!$B$118:$AL$126,MATCH("natural gas peaker",'Cost Improvement and Off Wnd'!$A$118:$A$126,0),MATCH('Capital Costs - US'!$A25,'Cost Improvement and Off Wnd'!$B$117:$AL$117,0))*1000*About!$A$33</f>
        <v>590089.47107294935</v>
      </c>
      <c r="L25" s="4">
        <f>'EIA Costs'!$D$9*INDEX('Cost Improvement and Off Wnd'!$B$118:$AL$126,MATCH("natural gas peaker",'Cost Improvement and Off Wnd'!$A$118:$A$126,0),MATCH('Capital Costs - US'!$A25,'Cost Improvement and Off Wnd'!$B$117:$AL$117,0))*1000*About!$A$33</f>
        <v>590089.47107294935</v>
      </c>
      <c r="M25" s="4">
        <f>B25*'Coal Cost Multipliers'!$B$33</f>
        <v>6256531.8344892133</v>
      </c>
      <c r="N25" s="4">
        <v>0</v>
      </c>
    </row>
    <row r="26" spans="1:14">
      <c r="A26" s="1">
        <v>2041</v>
      </c>
      <c r="B26" s="4">
        <f>'EIA Costs'!$D$4*INDEX('Cost Improvement and Off Wnd'!$B$118:$AL$126,MATCH("coal",'Cost Improvement and Off Wnd'!$A$118:$A$126,0),MATCH('Capital Costs - US'!$A26,'Cost Improvement and Off Wnd'!$B$117:$AL$117,0))*1000*About!$A$33</f>
        <v>5362891.0931715863</v>
      </c>
      <c r="C26" s="4">
        <f>'EIA Costs'!$D$6*INDEX('Cost Improvement and Off Wnd'!$B$118:$AL$126,MATCH("natural gas nonpeaker",'Cost Improvement and Off Wnd'!$A$118:$A$126,0),MATCH('Capital Costs - US'!$A26,'Cost Improvement and Off Wnd'!$B$117:$AL$117,0))*1000*About!$A$33</f>
        <v>897770.77270304237</v>
      </c>
      <c r="D26" s="4">
        <f>'EIA Costs'!$D$11*INDEX('Cost Improvement and Off Wnd'!$B$118:$AL$126,MATCH("nuclear",'Cost Improvement and Off Wnd'!$A$118:$A$126,0),MATCH('Capital Costs - US'!$A26,'Cost Improvement and Off Wnd'!$B$117:$AL$117,0))*1000*About!$A$33</f>
        <v>4761914.8773502056</v>
      </c>
      <c r="E26" s="4">
        <f>'EIA Costs'!$D$17*INDEX('Cost Improvement and Off Wnd'!$B$118:$AL$126,MATCH("hydro",'Cost Improvement and Off Wnd'!$A$118:$A$126,0),MATCH('Capital Costs - US'!$A26,'Cost Improvement and Off Wnd'!$B$117:$AL$117,0))*1000*About!$A$33</f>
        <v>2310744.4297301131</v>
      </c>
      <c r="F26" s="4">
        <v>0</v>
      </c>
      <c r="G26" s="4">
        <v>0</v>
      </c>
      <c r="H26" s="4">
        <f>'Anexo Tabla 4.2.11.'!$C$14*INDEX('Cost Improvement and Off Wnd'!$B$118:$AL$126,MATCH("solar thermal",'Cost Improvement and Off Wnd'!$A$118:$A$126,0),MATCH('Capital Costs - US'!$A26,'Cost Improvement and Off Wnd'!$B$117:$AL$117,0))*1000*About!$A$33</f>
        <v>3864577.864309547</v>
      </c>
      <c r="I26" s="4">
        <f>'EIA Costs'!$D$14*INDEX('Cost Improvement and Off Wnd'!$B$118:$AL$126,MATCH("biomass",'Cost Improvement and Off Wnd'!$A$118:$A$126,0),MATCH('Capital Costs - US'!$A26,'Cost Improvement and Off Wnd'!$B$117:$AL$117,0))*1000*About!$A$33</f>
        <v>3339708.5144618037</v>
      </c>
      <c r="J26" s="4">
        <f>'EIA Costs'!$D$15*INDEX('Cost Improvement and Off Wnd'!$B$118:$AL$126,MATCH("geothermal",'Cost Improvement and Off Wnd'!$A$118:$A$126,0),MATCH('Capital Costs - US'!$A26,'Cost Improvement and Off Wnd'!$B$117:$AL$117,0))*1000*About!$A$33</f>
        <v>2311475.04</v>
      </c>
      <c r="K26" s="4">
        <f>'EIA Costs'!$D$9*INDEX('Cost Improvement and Off Wnd'!$B$118:$AL$126,MATCH("natural gas peaker",'Cost Improvement and Off Wnd'!$A$118:$A$126,0),MATCH('Capital Costs - US'!$A26,'Cost Improvement and Off Wnd'!$B$117:$AL$117,0))*1000*About!$A$33</f>
        <v>587788.019180667</v>
      </c>
      <c r="L26" s="4">
        <f>'EIA Costs'!$D$9*INDEX('Cost Improvement and Off Wnd'!$B$118:$AL$126,MATCH("natural gas peaker",'Cost Improvement and Off Wnd'!$A$118:$A$126,0),MATCH('Capital Costs - US'!$A26,'Cost Improvement and Off Wnd'!$B$117:$AL$117,0))*1000*About!$A$33</f>
        <v>587788.019180667</v>
      </c>
      <c r="M26" s="4">
        <f>B26*'Coal Cost Multipliers'!$B$33</f>
        <v>6215281.2328027831</v>
      </c>
      <c r="N26" s="4">
        <v>0</v>
      </c>
    </row>
    <row r="27" spans="1:14">
      <c r="A27" s="1">
        <v>2042</v>
      </c>
      <c r="B27" s="4">
        <f>'EIA Costs'!$D$4*INDEX('Cost Improvement and Off Wnd'!$B$118:$AL$126,MATCH("coal",'Cost Improvement and Off Wnd'!$A$118:$A$126,0),MATCH('Capital Costs - US'!$A27,'Cost Improvement and Off Wnd'!$B$117:$AL$117,0))*1000*About!$A$33</f>
        <v>5327297.7746899435</v>
      </c>
      <c r="C27" s="4">
        <f>'EIA Costs'!$D$6*INDEX('Cost Improvement and Off Wnd'!$B$118:$AL$126,MATCH("natural gas nonpeaker",'Cost Improvement and Off Wnd'!$A$118:$A$126,0),MATCH('Capital Costs - US'!$A27,'Cost Improvement and Off Wnd'!$B$117:$AL$117,0))*1000*About!$A$33</f>
        <v>894447.74907490343</v>
      </c>
      <c r="D27" s="4">
        <f>'EIA Costs'!$D$11*INDEX('Cost Improvement and Off Wnd'!$B$118:$AL$126,MATCH("nuclear",'Cost Improvement and Off Wnd'!$A$118:$A$126,0),MATCH('Capital Costs - US'!$A27,'Cost Improvement and Off Wnd'!$B$117:$AL$117,0))*1000*About!$A$33</f>
        <v>4733792.2330017341</v>
      </c>
      <c r="E27" s="4">
        <f>'EIA Costs'!$D$17*INDEX('Cost Improvement and Off Wnd'!$B$118:$AL$126,MATCH("hydro",'Cost Improvement and Off Wnd'!$A$118:$A$126,0),MATCH('Capital Costs - US'!$A27,'Cost Improvement and Off Wnd'!$B$117:$AL$117,0))*1000*About!$A$33</f>
        <v>2306232.9021010105</v>
      </c>
      <c r="F27" s="4">
        <v>0</v>
      </c>
      <c r="G27" s="4">
        <v>0</v>
      </c>
      <c r="H27" s="4">
        <f>'Anexo Tabla 4.2.11.'!$C$14*INDEX('Cost Improvement and Off Wnd'!$B$118:$AL$126,MATCH("solar thermal",'Cost Improvement and Off Wnd'!$A$118:$A$126,0),MATCH('Capital Costs - US'!$A27,'Cost Improvement and Off Wnd'!$B$117:$AL$117,0))*1000*About!$A$33</f>
        <v>3857725.1853854554</v>
      </c>
      <c r="I27" s="4">
        <f>'EIA Costs'!$D$14*INDEX('Cost Improvement and Off Wnd'!$B$118:$AL$126,MATCH("biomass",'Cost Improvement and Off Wnd'!$A$118:$A$126,0),MATCH('Capital Costs - US'!$A27,'Cost Improvement and Off Wnd'!$B$117:$AL$117,0))*1000*About!$A$33</f>
        <v>3329716.7738449299</v>
      </c>
      <c r="J27" s="4">
        <f>'EIA Costs'!$D$15*INDEX('Cost Improvement and Off Wnd'!$B$118:$AL$126,MATCH("geothermal",'Cost Improvement and Off Wnd'!$A$118:$A$126,0),MATCH('Capital Costs - US'!$A27,'Cost Improvement and Off Wnd'!$B$117:$AL$117,0))*1000*About!$A$33</f>
        <v>2307448.0799999996</v>
      </c>
      <c r="K27" s="4">
        <f>'EIA Costs'!$D$9*INDEX('Cost Improvement and Off Wnd'!$B$118:$AL$126,MATCH("natural gas peaker",'Cost Improvement and Off Wnd'!$A$118:$A$126,0),MATCH('Capital Costs - US'!$A27,'Cost Improvement and Off Wnd'!$B$117:$AL$117,0))*1000*About!$A$33</f>
        <v>585486.56728838454</v>
      </c>
      <c r="L27" s="4">
        <f>'EIA Costs'!$D$9*INDEX('Cost Improvement and Off Wnd'!$B$118:$AL$126,MATCH("natural gas peaker",'Cost Improvement and Off Wnd'!$A$118:$A$126,0),MATCH('Capital Costs - US'!$A27,'Cost Improvement and Off Wnd'!$B$117:$AL$117,0))*1000*About!$A$33</f>
        <v>585486.56728838454</v>
      </c>
      <c r="M27" s="4">
        <f>B27*'Coal Cost Multipliers'!$B$33</f>
        <v>6174030.631116352</v>
      </c>
      <c r="N27" s="4">
        <v>0</v>
      </c>
    </row>
    <row r="28" spans="1:14">
      <c r="A28" s="1">
        <v>2043</v>
      </c>
      <c r="B28" s="4">
        <f>'EIA Costs'!$D$4*INDEX('Cost Improvement and Off Wnd'!$B$118:$AL$126,MATCH("coal",'Cost Improvement and Off Wnd'!$A$118:$A$126,0),MATCH('Capital Costs - US'!$A28,'Cost Improvement and Off Wnd'!$B$117:$AL$117,0))*1000*About!$A$33</f>
        <v>5291704.4562082998</v>
      </c>
      <c r="C28" s="4">
        <f>'EIA Costs'!$D$6*INDEX('Cost Improvement and Off Wnd'!$B$118:$AL$126,MATCH("natural gas nonpeaker",'Cost Improvement and Off Wnd'!$A$118:$A$126,0),MATCH('Capital Costs - US'!$A28,'Cost Improvement and Off Wnd'!$B$117:$AL$117,0))*1000*About!$A$33</f>
        <v>891124.72544676426</v>
      </c>
      <c r="D28" s="4">
        <f>'EIA Costs'!$D$11*INDEX('Cost Improvement and Off Wnd'!$B$118:$AL$126,MATCH("nuclear",'Cost Improvement and Off Wnd'!$A$118:$A$126,0),MATCH('Capital Costs - US'!$A28,'Cost Improvement and Off Wnd'!$B$117:$AL$117,0))*1000*About!$A$33</f>
        <v>4705669.5886532655</v>
      </c>
      <c r="E28" s="4">
        <f>'EIA Costs'!$D$17*INDEX('Cost Improvement and Off Wnd'!$B$118:$AL$126,MATCH("hydro",'Cost Improvement and Off Wnd'!$A$118:$A$126,0),MATCH('Capital Costs - US'!$A28,'Cost Improvement and Off Wnd'!$B$117:$AL$117,0))*1000*About!$A$33</f>
        <v>2301727.4344226797</v>
      </c>
      <c r="F28" s="4">
        <v>0</v>
      </c>
      <c r="G28" s="4">
        <v>0</v>
      </c>
      <c r="H28" s="4">
        <f>'Anexo Tabla 4.2.11.'!$C$14*INDEX('Cost Improvement and Off Wnd'!$B$118:$AL$126,MATCH("solar thermal",'Cost Improvement and Off Wnd'!$A$118:$A$126,0),MATCH('Capital Costs - US'!$A28,'Cost Improvement and Off Wnd'!$B$117:$AL$117,0))*1000*About!$A$33</f>
        <v>3851137.5896744733</v>
      </c>
      <c r="I28" s="4">
        <f>'EIA Costs'!$D$14*INDEX('Cost Improvement and Off Wnd'!$B$118:$AL$126,MATCH("biomass",'Cost Improvement and Off Wnd'!$A$118:$A$126,0),MATCH('Capital Costs - US'!$A28,'Cost Improvement and Off Wnd'!$B$117:$AL$117,0))*1000*About!$A$33</f>
        <v>3319725.0332280574</v>
      </c>
      <c r="J28" s="4">
        <f>'EIA Costs'!$D$15*INDEX('Cost Improvement and Off Wnd'!$B$118:$AL$126,MATCH("geothermal",'Cost Improvement and Off Wnd'!$A$118:$A$126,0),MATCH('Capital Costs - US'!$A28,'Cost Improvement and Off Wnd'!$B$117:$AL$117,0))*1000*About!$A$33</f>
        <v>2303421.12</v>
      </c>
      <c r="K28" s="4">
        <f>'EIA Costs'!$D$9*INDEX('Cost Improvement and Off Wnd'!$B$118:$AL$126,MATCH("natural gas peaker",'Cost Improvement and Off Wnd'!$A$118:$A$126,0),MATCH('Capital Costs - US'!$A28,'Cost Improvement and Off Wnd'!$B$117:$AL$117,0))*1000*About!$A$33</f>
        <v>583185.11539610196</v>
      </c>
      <c r="L28" s="4">
        <f>'EIA Costs'!$D$9*INDEX('Cost Improvement and Off Wnd'!$B$118:$AL$126,MATCH("natural gas peaker",'Cost Improvement and Off Wnd'!$A$118:$A$126,0),MATCH('Capital Costs - US'!$A28,'Cost Improvement and Off Wnd'!$B$117:$AL$117,0))*1000*About!$A$33</f>
        <v>583185.11539610196</v>
      </c>
      <c r="M28" s="4">
        <f>B28*'Coal Cost Multipliers'!$B$33</f>
        <v>6132780.0294299209</v>
      </c>
      <c r="N28" s="4">
        <v>0</v>
      </c>
    </row>
    <row r="29" spans="1:14">
      <c r="A29" s="1">
        <v>2044</v>
      </c>
      <c r="B29" s="4">
        <f>'EIA Costs'!$D$4*INDEX('Cost Improvement and Off Wnd'!$B$118:$AL$126,MATCH("coal",'Cost Improvement and Off Wnd'!$A$118:$A$126,0),MATCH('Capital Costs - US'!$A29,'Cost Improvement and Off Wnd'!$B$117:$AL$117,0))*1000*About!$A$33</f>
        <v>5256111.1377266571</v>
      </c>
      <c r="C29" s="4">
        <f>'EIA Costs'!$D$6*INDEX('Cost Improvement and Off Wnd'!$B$118:$AL$126,MATCH("natural gas nonpeaker",'Cost Improvement and Off Wnd'!$A$118:$A$126,0),MATCH('Capital Costs - US'!$A29,'Cost Improvement and Off Wnd'!$B$117:$AL$117,0))*1000*About!$A$33</f>
        <v>887801.70181862509</v>
      </c>
      <c r="D29" s="4">
        <f>'EIA Costs'!$D$11*INDEX('Cost Improvement and Off Wnd'!$B$118:$AL$126,MATCH("nuclear",'Cost Improvement and Off Wnd'!$A$118:$A$126,0),MATCH('Capital Costs - US'!$A29,'Cost Improvement and Off Wnd'!$B$117:$AL$117,0))*1000*About!$A$33</f>
        <v>4677546.9443047941</v>
      </c>
      <c r="E29" s="4">
        <f>'EIA Costs'!$D$17*INDEX('Cost Improvement and Off Wnd'!$B$118:$AL$126,MATCH("hydro",'Cost Improvement and Off Wnd'!$A$118:$A$126,0),MATCH('Capital Costs - US'!$A29,'Cost Improvement and Off Wnd'!$B$117:$AL$117,0))*1000*About!$A$33</f>
        <v>2297221.9667443484</v>
      </c>
      <c r="F29" s="4">
        <v>0</v>
      </c>
      <c r="G29" s="4">
        <v>0</v>
      </c>
      <c r="H29" s="4">
        <f>'Anexo Tabla 4.2.11.'!$C$14*INDEX('Cost Improvement and Off Wnd'!$B$118:$AL$126,MATCH("solar thermal",'Cost Improvement and Off Wnd'!$A$118:$A$126,0),MATCH('Capital Costs - US'!$A29,'Cost Improvement and Off Wnd'!$B$117:$AL$117,0))*1000*About!$A$33</f>
        <v>3844797.1079127924</v>
      </c>
      <c r="I29" s="4">
        <f>'EIA Costs'!$D$14*INDEX('Cost Improvement and Off Wnd'!$B$118:$AL$126,MATCH("biomass",'Cost Improvement and Off Wnd'!$A$118:$A$126,0),MATCH('Capital Costs - US'!$A29,'Cost Improvement and Off Wnd'!$B$117:$AL$117,0))*1000*About!$A$33</f>
        <v>3309733.2926111841</v>
      </c>
      <c r="J29" s="4">
        <f>'EIA Costs'!$D$15*INDEX('Cost Improvement and Off Wnd'!$B$118:$AL$126,MATCH("geothermal",'Cost Improvement and Off Wnd'!$A$118:$A$126,0),MATCH('Capital Costs - US'!$A29,'Cost Improvement and Off Wnd'!$B$117:$AL$117,0))*1000*About!$A$33</f>
        <v>2299394.1600000006</v>
      </c>
      <c r="K29" s="4">
        <f>'EIA Costs'!$D$9*INDEX('Cost Improvement and Off Wnd'!$B$118:$AL$126,MATCH("natural gas peaker",'Cost Improvement and Off Wnd'!$A$118:$A$126,0),MATCH('Capital Costs - US'!$A29,'Cost Improvement and Off Wnd'!$B$117:$AL$117,0))*1000*About!$A$33</f>
        <v>580883.66350381961</v>
      </c>
      <c r="L29" s="4">
        <f>'EIA Costs'!$D$9*INDEX('Cost Improvement and Off Wnd'!$B$118:$AL$126,MATCH("natural gas peaker",'Cost Improvement and Off Wnd'!$A$118:$A$126,0),MATCH('Capital Costs - US'!$A29,'Cost Improvement and Off Wnd'!$B$117:$AL$117,0))*1000*About!$A$33</f>
        <v>580883.66350381961</v>
      </c>
      <c r="M29" s="4">
        <f>B29*'Coal Cost Multipliers'!$B$33</f>
        <v>6091529.4277434908</v>
      </c>
      <c r="N29" s="4">
        <v>0</v>
      </c>
    </row>
    <row r="30" spans="1:14">
      <c r="A30" s="1">
        <v>2045</v>
      </c>
      <c r="B30" s="4">
        <f>'EIA Costs'!$D$4*INDEX('Cost Improvement and Off Wnd'!$B$118:$AL$126,MATCH("coal",'Cost Improvement and Off Wnd'!$A$118:$A$126,0),MATCH('Capital Costs - US'!$A30,'Cost Improvement and Off Wnd'!$B$117:$AL$117,0))*1000*About!$A$33</f>
        <v>5220517.8192450143</v>
      </c>
      <c r="C30" s="4">
        <f>'EIA Costs'!$D$6*INDEX('Cost Improvement and Off Wnd'!$B$118:$AL$126,MATCH("natural gas nonpeaker",'Cost Improvement and Off Wnd'!$A$118:$A$126,0),MATCH('Capital Costs - US'!$A30,'Cost Improvement and Off Wnd'!$B$117:$AL$117,0))*1000*About!$A$33</f>
        <v>884478.67819048627</v>
      </c>
      <c r="D30" s="4">
        <f>'EIA Costs'!$D$11*INDEX('Cost Improvement and Off Wnd'!$B$118:$AL$126,MATCH("nuclear",'Cost Improvement and Off Wnd'!$A$118:$A$126,0),MATCH('Capital Costs - US'!$A30,'Cost Improvement and Off Wnd'!$B$117:$AL$117,0))*1000*About!$A$33</f>
        <v>4649424.2999563245</v>
      </c>
      <c r="E30" s="4">
        <f>'EIA Costs'!$D$17*INDEX('Cost Improvement and Off Wnd'!$B$118:$AL$126,MATCH("hydro",'Cost Improvement and Off Wnd'!$A$118:$A$126,0),MATCH('Capital Costs - US'!$A30,'Cost Improvement and Off Wnd'!$B$117:$AL$117,0))*1000*About!$A$33</f>
        <v>2292722.5293958476</v>
      </c>
      <c r="F30" s="4">
        <v>0</v>
      </c>
      <c r="G30" s="4">
        <v>0</v>
      </c>
      <c r="H30" s="4">
        <f>'Anexo Tabla 4.2.11.'!$C$14*INDEX('Cost Improvement and Off Wnd'!$B$118:$AL$126,MATCH("solar thermal",'Cost Improvement and Off Wnd'!$A$118:$A$126,0),MATCH('Capital Costs - US'!$A30,'Cost Improvement and Off Wnd'!$B$117:$AL$117,0))*1000*About!$A$33</f>
        <v>3838687.5079656285</v>
      </c>
      <c r="I30" s="4">
        <f>'EIA Costs'!$D$14*INDEX('Cost Improvement and Off Wnd'!$B$118:$AL$126,MATCH("biomass",'Cost Improvement and Off Wnd'!$A$118:$A$126,0),MATCH('Capital Costs - US'!$A30,'Cost Improvement and Off Wnd'!$B$117:$AL$117,0))*1000*About!$A$33</f>
        <v>3299741.5519943121</v>
      </c>
      <c r="J30" s="4">
        <f>'EIA Costs'!$D$15*INDEX('Cost Improvement and Off Wnd'!$B$118:$AL$126,MATCH("geothermal",'Cost Improvement and Off Wnd'!$A$118:$A$126,0),MATCH('Capital Costs - US'!$A30,'Cost Improvement and Off Wnd'!$B$117:$AL$117,0))*1000*About!$A$33</f>
        <v>2295367.2000000007</v>
      </c>
      <c r="K30" s="4">
        <f>'EIA Costs'!$D$9*INDEX('Cost Improvement and Off Wnd'!$B$118:$AL$126,MATCH("natural gas peaker",'Cost Improvement and Off Wnd'!$A$118:$A$126,0),MATCH('Capital Costs - US'!$A30,'Cost Improvement and Off Wnd'!$B$117:$AL$117,0))*1000*About!$A$33</f>
        <v>578582.21161153703</v>
      </c>
      <c r="L30" s="4">
        <f>'EIA Costs'!$D$9*INDEX('Cost Improvement and Off Wnd'!$B$118:$AL$126,MATCH("natural gas peaker",'Cost Improvement and Off Wnd'!$A$118:$A$126,0),MATCH('Capital Costs - US'!$A30,'Cost Improvement and Off Wnd'!$B$117:$AL$117,0))*1000*About!$A$33</f>
        <v>578582.21161153703</v>
      </c>
      <c r="M30" s="4">
        <f>B30*'Coal Cost Multipliers'!$B$33</f>
        <v>6050278.8260570597</v>
      </c>
      <c r="N30" s="4">
        <v>0</v>
      </c>
    </row>
    <row r="31" spans="1:14">
      <c r="A31" s="1">
        <v>2046</v>
      </c>
      <c r="B31" s="4">
        <f>'EIA Costs'!$D$4*INDEX('Cost Improvement and Off Wnd'!$B$118:$AL$126,MATCH("coal",'Cost Improvement and Off Wnd'!$A$118:$A$126,0),MATCH('Capital Costs - US'!$A31,'Cost Improvement and Off Wnd'!$B$117:$AL$117,0))*1000*About!$A$33</f>
        <v>5184924.5007633707</v>
      </c>
      <c r="C31" s="4">
        <f>'EIA Costs'!$D$6*INDEX('Cost Improvement and Off Wnd'!$B$118:$AL$126,MATCH("natural gas nonpeaker",'Cost Improvement and Off Wnd'!$A$118:$A$126,0),MATCH('Capital Costs - US'!$A31,'Cost Improvement and Off Wnd'!$B$117:$AL$117,0))*1000*About!$A$33</f>
        <v>881155.6545623471</v>
      </c>
      <c r="D31" s="4">
        <f>'EIA Costs'!$D$11*INDEX('Cost Improvement and Off Wnd'!$B$118:$AL$126,MATCH("nuclear",'Cost Improvement and Off Wnd'!$A$118:$A$126,0),MATCH('Capital Costs - US'!$A31,'Cost Improvement and Off Wnd'!$B$117:$AL$117,0))*1000*About!$A$33</f>
        <v>4621301.655607854</v>
      </c>
      <c r="E31" s="4">
        <f>'EIA Costs'!$D$17*INDEX('Cost Improvement and Off Wnd'!$B$118:$AL$126,MATCH("hydro",'Cost Improvement and Off Wnd'!$A$118:$A$126,0),MATCH('Capital Costs - US'!$A31,'Cost Improvement and Off Wnd'!$B$117:$AL$117,0))*1000*About!$A$33</f>
        <v>2288223.0920473468</v>
      </c>
      <c r="F31" s="4">
        <v>0</v>
      </c>
      <c r="G31" s="4">
        <v>0</v>
      </c>
      <c r="H31" s="4">
        <f>'Anexo Tabla 4.2.11.'!$C$14*INDEX('Cost Improvement and Off Wnd'!$B$118:$AL$126,MATCH("solar thermal",'Cost Improvement and Off Wnd'!$A$118:$A$126,0),MATCH('Capital Costs - US'!$A31,'Cost Improvement and Off Wnd'!$B$117:$AL$117,0))*1000*About!$A$33</f>
        <v>3832794.0783428955</v>
      </c>
      <c r="I31" s="4">
        <f>'EIA Costs'!$D$14*INDEX('Cost Improvement and Off Wnd'!$B$118:$AL$126,MATCH("biomass",'Cost Improvement and Off Wnd'!$A$118:$A$126,0),MATCH('Capital Costs - US'!$A31,'Cost Improvement and Off Wnd'!$B$117:$AL$117,0))*1000*About!$A$33</f>
        <v>3289749.8113774383</v>
      </c>
      <c r="J31" s="4">
        <f>'EIA Costs'!$D$15*INDEX('Cost Improvement and Off Wnd'!$B$118:$AL$126,MATCH("geothermal",'Cost Improvement and Off Wnd'!$A$118:$A$126,0),MATCH('Capital Costs - US'!$A31,'Cost Improvement and Off Wnd'!$B$117:$AL$117,0))*1000*About!$A$33</f>
        <v>2291340.2399999998</v>
      </c>
      <c r="K31" s="4">
        <f>'EIA Costs'!$D$9*INDEX('Cost Improvement and Off Wnd'!$B$118:$AL$126,MATCH("natural gas peaker",'Cost Improvement and Off Wnd'!$A$118:$A$126,0),MATCH('Capital Costs - US'!$A31,'Cost Improvement and Off Wnd'!$B$117:$AL$117,0))*1000*About!$A$33</f>
        <v>576280.75971925457</v>
      </c>
      <c r="L31" s="4">
        <f>'EIA Costs'!$D$9*INDEX('Cost Improvement and Off Wnd'!$B$118:$AL$126,MATCH("natural gas peaker",'Cost Improvement and Off Wnd'!$A$118:$A$126,0),MATCH('Capital Costs - US'!$A31,'Cost Improvement and Off Wnd'!$B$117:$AL$117,0))*1000*About!$A$33</f>
        <v>576280.75971925457</v>
      </c>
      <c r="M31" s="4">
        <f>B31*'Coal Cost Multipliers'!$B$33</f>
        <v>6009028.2243706286</v>
      </c>
      <c r="N31" s="4">
        <v>0</v>
      </c>
    </row>
    <row r="32" spans="1:14">
      <c r="A32" s="1">
        <v>2047</v>
      </c>
      <c r="B32" s="4">
        <f>'EIA Costs'!$D$4*INDEX('Cost Improvement and Off Wnd'!$B$118:$AL$126,MATCH("coal",'Cost Improvement and Off Wnd'!$A$118:$A$126,0),MATCH('Capital Costs - US'!$A32,'Cost Improvement and Off Wnd'!$B$117:$AL$117,0))*1000*About!$A$33</f>
        <v>5149331.1822817288</v>
      </c>
      <c r="C32" s="4">
        <f>'EIA Costs'!$D$6*INDEX('Cost Improvement and Off Wnd'!$B$118:$AL$126,MATCH("natural gas nonpeaker",'Cost Improvement and Off Wnd'!$A$118:$A$126,0),MATCH('Capital Costs - US'!$A32,'Cost Improvement and Off Wnd'!$B$117:$AL$117,0))*1000*About!$A$33</f>
        <v>877832.63093420805</v>
      </c>
      <c r="D32" s="4">
        <f>'EIA Costs'!$D$11*INDEX('Cost Improvement and Off Wnd'!$B$118:$AL$126,MATCH("nuclear",'Cost Improvement and Off Wnd'!$A$118:$A$126,0),MATCH('Capital Costs - US'!$A32,'Cost Improvement and Off Wnd'!$B$117:$AL$117,0))*1000*About!$A$33</f>
        <v>4593179.0112593845</v>
      </c>
      <c r="E32" s="4">
        <f>'EIA Costs'!$D$17*INDEX('Cost Improvement and Off Wnd'!$B$118:$AL$126,MATCH("hydro",'Cost Improvement and Off Wnd'!$A$118:$A$126,0),MATCH('Capital Costs - US'!$A32,'Cost Improvement and Off Wnd'!$B$117:$AL$117,0))*1000*About!$A$33</f>
        <v>2283729.6504709106</v>
      </c>
      <c r="F32" s="4">
        <v>0</v>
      </c>
      <c r="G32" s="4">
        <v>0</v>
      </c>
      <c r="H32" s="4">
        <f>'Anexo Tabla 4.2.11.'!$C$14*INDEX('Cost Improvement and Off Wnd'!$B$118:$AL$126,MATCH("solar thermal",'Cost Improvement and Off Wnd'!$A$118:$A$126,0),MATCH('Capital Costs - US'!$A32,'Cost Improvement and Off Wnd'!$B$117:$AL$117,0))*1000*About!$A$33</f>
        <v>3827103.4444558835</v>
      </c>
      <c r="I32" s="4">
        <f>'EIA Costs'!$D$14*INDEX('Cost Improvement and Off Wnd'!$B$118:$AL$126,MATCH("biomass",'Cost Improvement and Off Wnd'!$A$118:$A$126,0),MATCH('Capital Costs - US'!$A32,'Cost Improvement and Off Wnd'!$B$117:$AL$117,0))*1000*About!$A$33</f>
        <v>3279758.0707605658</v>
      </c>
      <c r="J32" s="4">
        <f>'EIA Costs'!$D$15*INDEX('Cost Improvement and Off Wnd'!$B$118:$AL$126,MATCH("geothermal",'Cost Improvement and Off Wnd'!$A$118:$A$126,0),MATCH('Capital Costs - US'!$A32,'Cost Improvement and Off Wnd'!$B$117:$AL$117,0))*1000*About!$A$33</f>
        <v>2287313.2799999993</v>
      </c>
      <c r="K32" s="4">
        <f>'EIA Costs'!$D$9*INDEX('Cost Improvement and Off Wnd'!$B$118:$AL$126,MATCH("natural gas peaker",'Cost Improvement and Off Wnd'!$A$118:$A$126,0),MATCH('Capital Costs - US'!$A32,'Cost Improvement and Off Wnd'!$B$117:$AL$117,0))*1000*About!$A$33</f>
        <v>573979.3078269721</v>
      </c>
      <c r="L32" s="4">
        <f>'EIA Costs'!$D$9*INDEX('Cost Improvement and Off Wnd'!$B$118:$AL$126,MATCH("natural gas peaker",'Cost Improvement and Off Wnd'!$A$118:$A$126,0),MATCH('Capital Costs - US'!$A32,'Cost Improvement and Off Wnd'!$B$117:$AL$117,0))*1000*About!$A$33</f>
        <v>573979.3078269721</v>
      </c>
      <c r="M32" s="4">
        <f>B32*'Coal Cost Multipliers'!$B$33</f>
        <v>5967777.6226841994</v>
      </c>
      <c r="N32" s="4">
        <v>0</v>
      </c>
    </row>
    <row r="33" spans="1:14">
      <c r="A33" s="1">
        <v>2048</v>
      </c>
      <c r="B33" s="4">
        <f>'EIA Costs'!$D$4*INDEX('Cost Improvement and Off Wnd'!$B$118:$AL$126,MATCH("coal",'Cost Improvement and Off Wnd'!$A$118:$A$126,0),MATCH('Capital Costs - US'!$A33,'Cost Improvement and Off Wnd'!$B$117:$AL$117,0))*1000*About!$A$33</f>
        <v>5113737.8638000861</v>
      </c>
      <c r="C33" s="4">
        <f>'EIA Costs'!$D$6*INDEX('Cost Improvement and Off Wnd'!$B$118:$AL$126,MATCH("natural gas nonpeaker",'Cost Improvement and Off Wnd'!$A$118:$A$126,0),MATCH('Capital Costs - US'!$A33,'Cost Improvement and Off Wnd'!$B$117:$AL$117,0))*1000*About!$A$33</f>
        <v>874509.60730606911</v>
      </c>
      <c r="D33" s="4">
        <f>'EIA Costs'!$D$11*INDEX('Cost Improvement and Off Wnd'!$B$118:$AL$126,MATCH("nuclear",'Cost Improvement and Off Wnd'!$A$118:$A$126,0),MATCH('Capital Costs - US'!$A33,'Cost Improvement and Off Wnd'!$B$117:$AL$117,0))*1000*About!$A$33</f>
        <v>4565056.366910913</v>
      </c>
      <c r="E33" s="4">
        <f>'EIA Costs'!$D$17*INDEX('Cost Improvement and Off Wnd'!$B$118:$AL$126,MATCH("hydro",'Cost Improvement and Off Wnd'!$A$118:$A$126,0),MATCH('Capital Costs - US'!$A33,'Cost Improvement and Off Wnd'!$B$117:$AL$117,0))*1000*About!$A$33</f>
        <v>2279236.2088944758</v>
      </c>
      <c r="F33" s="4">
        <v>0</v>
      </c>
      <c r="G33" s="4">
        <v>0</v>
      </c>
      <c r="H33" s="4">
        <f>'Anexo Tabla 4.2.11.'!$C$14*INDEX('Cost Improvement and Off Wnd'!$B$118:$AL$126,MATCH("solar thermal",'Cost Improvement and Off Wnd'!$A$118:$A$126,0),MATCH('Capital Costs - US'!$A33,'Cost Improvement and Off Wnd'!$B$117:$AL$117,0))*1000*About!$A$33</f>
        <v>3821603.4118388924</v>
      </c>
      <c r="I33" s="4">
        <f>'EIA Costs'!$D$14*INDEX('Cost Improvement and Off Wnd'!$B$118:$AL$126,MATCH("biomass",'Cost Improvement and Off Wnd'!$A$118:$A$126,0),MATCH('Capital Costs - US'!$A33,'Cost Improvement and Off Wnd'!$B$117:$AL$117,0))*1000*About!$A$33</f>
        <v>3269766.3301436924</v>
      </c>
      <c r="J33" s="4">
        <f>'EIA Costs'!$D$15*INDEX('Cost Improvement and Off Wnd'!$B$118:$AL$126,MATCH("geothermal",'Cost Improvement and Off Wnd'!$A$118:$A$126,0),MATCH('Capital Costs - US'!$A33,'Cost Improvement and Off Wnd'!$B$117:$AL$117,0))*1000*About!$A$33</f>
        <v>2283286.3199999994</v>
      </c>
      <c r="K33" s="4">
        <f>'EIA Costs'!$D$9*INDEX('Cost Improvement and Off Wnd'!$B$118:$AL$126,MATCH("natural gas peaker",'Cost Improvement and Off Wnd'!$A$118:$A$126,0),MATCH('Capital Costs - US'!$A33,'Cost Improvement and Off Wnd'!$B$117:$AL$117,0))*1000*About!$A$33</f>
        <v>571677.85593468964</v>
      </c>
      <c r="L33" s="4">
        <f>'EIA Costs'!$D$9*INDEX('Cost Improvement and Off Wnd'!$B$118:$AL$126,MATCH("natural gas peaker",'Cost Improvement and Off Wnd'!$A$118:$A$126,0),MATCH('Capital Costs - US'!$A33,'Cost Improvement and Off Wnd'!$B$117:$AL$117,0))*1000*About!$A$33</f>
        <v>571677.85593468964</v>
      </c>
      <c r="M33" s="4">
        <f>B33*'Coal Cost Multipliers'!$B$33</f>
        <v>5926527.0209977683</v>
      </c>
      <c r="N33" s="4">
        <v>0</v>
      </c>
    </row>
    <row r="34" spans="1:14">
      <c r="A34" s="1">
        <v>2049</v>
      </c>
      <c r="B34" s="4">
        <f>'EIA Costs'!$D$4*INDEX('Cost Improvement and Off Wnd'!$B$118:$AL$126,MATCH("coal",'Cost Improvement and Off Wnd'!$A$118:$A$126,0),MATCH('Capital Costs - US'!$A34,'Cost Improvement and Off Wnd'!$B$117:$AL$117,0))*1000*About!$A$33</f>
        <v>5078144.5453184424</v>
      </c>
      <c r="C34" s="4">
        <f>'EIA Costs'!$D$6*INDEX('Cost Improvement and Off Wnd'!$B$118:$AL$126,MATCH("natural gas nonpeaker",'Cost Improvement and Off Wnd'!$A$118:$A$126,0),MATCH('Capital Costs - US'!$A34,'Cost Improvement and Off Wnd'!$B$117:$AL$117,0))*1000*About!$A$33</f>
        <v>871186.58367792994</v>
      </c>
      <c r="D34" s="4">
        <f>'EIA Costs'!$D$11*INDEX('Cost Improvement and Off Wnd'!$B$118:$AL$126,MATCH("nuclear",'Cost Improvement and Off Wnd'!$A$118:$A$126,0),MATCH('Capital Costs - US'!$A34,'Cost Improvement and Off Wnd'!$B$117:$AL$117,0))*1000*About!$A$33</f>
        <v>4536933.7225624444</v>
      </c>
      <c r="E34" s="4">
        <f>'EIA Costs'!$D$17*INDEX('Cost Improvement and Off Wnd'!$B$118:$AL$126,MATCH("hydro",'Cost Improvement and Off Wnd'!$A$118:$A$126,0),MATCH('Capital Costs - US'!$A34,'Cost Improvement and Off Wnd'!$B$117:$AL$117,0))*1000*About!$A$33</f>
        <v>2274748.7359375772</v>
      </c>
      <c r="F34" s="4">
        <v>0</v>
      </c>
      <c r="G34" s="4">
        <v>0</v>
      </c>
      <c r="H34" s="4">
        <f>'Anexo Tabla 4.2.11.'!$C$14*INDEX('Cost Improvement and Off Wnd'!$B$118:$AL$126,MATCH("solar thermal",'Cost Improvement and Off Wnd'!$A$118:$A$126,0),MATCH('Capital Costs - US'!$A34,'Cost Improvement and Off Wnd'!$B$117:$AL$117,0))*1000*About!$A$33</f>
        <v>3816282.8317178655</v>
      </c>
      <c r="I34" s="4">
        <f>'EIA Costs'!$D$14*INDEX('Cost Improvement and Off Wnd'!$B$118:$AL$126,MATCH("biomass",'Cost Improvement and Off Wnd'!$A$118:$A$126,0),MATCH('Capital Costs - US'!$A34,'Cost Improvement and Off Wnd'!$B$117:$AL$117,0))*1000*About!$A$33</f>
        <v>3259774.5895268191</v>
      </c>
      <c r="J34" s="4">
        <f>'EIA Costs'!$D$15*INDEX('Cost Improvement and Off Wnd'!$B$118:$AL$126,MATCH("geothermal",'Cost Improvement and Off Wnd'!$A$118:$A$126,0),MATCH('Capital Costs - US'!$A34,'Cost Improvement and Off Wnd'!$B$117:$AL$117,0))*1000*About!$A$33</f>
        <v>2279259.36</v>
      </c>
      <c r="K34" s="4">
        <f>'EIA Costs'!$D$9*INDEX('Cost Improvement and Off Wnd'!$B$118:$AL$126,MATCH("natural gas peaker",'Cost Improvement and Off Wnd'!$A$118:$A$126,0),MATCH('Capital Costs - US'!$A34,'Cost Improvement and Off Wnd'!$B$117:$AL$117,0))*1000*About!$A$33</f>
        <v>569376.40404240706</v>
      </c>
      <c r="L34" s="4">
        <f>'EIA Costs'!$D$9*INDEX('Cost Improvement and Off Wnd'!$B$118:$AL$126,MATCH("natural gas peaker",'Cost Improvement and Off Wnd'!$A$118:$A$126,0),MATCH('Capital Costs - US'!$A34,'Cost Improvement and Off Wnd'!$B$117:$AL$117,0))*1000*About!$A$33</f>
        <v>569376.40404240706</v>
      </c>
      <c r="M34" s="4">
        <f>B34*'Coal Cost Multipliers'!$B$33</f>
        <v>5885276.4193113372</v>
      </c>
      <c r="N34" s="4">
        <v>0</v>
      </c>
    </row>
    <row r="35" spans="1:14">
      <c r="A35" s="1">
        <v>2050</v>
      </c>
      <c r="B35" s="4">
        <f>'EIA Costs'!$D$4*INDEX('Cost Improvement and Off Wnd'!$B$118:$AL$126,MATCH("coal",'Cost Improvement and Off Wnd'!$A$118:$A$126,0),MATCH('Capital Costs - US'!$A35,'Cost Improvement and Off Wnd'!$B$117:$AL$117,0))*1000*About!$A$33</f>
        <v>5042551.2268367996</v>
      </c>
      <c r="C35" s="4">
        <f>'EIA Costs'!$D$6*INDEX('Cost Improvement and Off Wnd'!$B$118:$AL$126,MATCH("natural gas nonpeaker",'Cost Improvement and Off Wnd'!$A$118:$A$126,0),MATCH('Capital Costs - US'!$A35,'Cost Improvement and Off Wnd'!$B$117:$AL$117,0))*1000*About!$A$33</f>
        <v>867863.56004979089</v>
      </c>
      <c r="D35" s="4">
        <f>'EIA Costs'!$D$11*INDEX('Cost Improvement and Off Wnd'!$B$118:$AL$126,MATCH("nuclear",'Cost Improvement and Off Wnd'!$A$118:$A$126,0),MATCH('Capital Costs - US'!$A35,'Cost Improvement and Off Wnd'!$B$117:$AL$117,0))*1000*About!$A$33</f>
        <v>4508811.0782139739</v>
      </c>
      <c r="E35" s="4">
        <f>'EIA Costs'!$D$17*INDEX('Cost Improvement and Off Wnd'!$B$118:$AL$126,MATCH("hydro",'Cost Improvement and Off Wnd'!$A$118:$A$126,0),MATCH('Capital Costs - US'!$A35,'Cost Improvement and Off Wnd'!$B$117:$AL$117,0))*1000*About!$A$33</f>
        <v>2270261.2629806786</v>
      </c>
      <c r="F35" s="4">
        <v>0</v>
      </c>
      <c r="G35" s="4">
        <v>0</v>
      </c>
      <c r="H35" s="4">
        <f>'Anexo Tabla 4.2.11.'!$C$14*INDEX('Cost Improvement and Off Wnd'!$B$118:$AL$126,MATCH("solar thermal",'Cost Improvement and Off Wnd'!$A$118:$A$126,0),MATCH('Capital Costs - US'!$A35,'Cost Improvement and Off Wnd'!$B$117:$AL$117,0))*1000*About!$A$33</f>
        <v>3811131.485203845</v>
      </c>
      <c r="I35" s="4">
        <f>'EIA Costs'!$D$14*INDEX('Cost Improvement and Off Wnd'!$B$118:$AL$126,MATCH("biomass",'Cost Improvement and Off Wnd'!$A$118:$A$126,0),MATCH('Capital Costs - US'!$A35,'Cost Improvement and Off Wnd'!$B$117:$AL$117,0))*1000*About!$A$33</f>
        <v>3249782.8489099462</v>
      </c>
      <c r="J35" s="4">
        <f>'EIA Costs'!$D$15*INDEX('Cost Improvement and Off Wnd'!$B$118:$AL$126,MATCH("geothermal",'Cost Improvement and Off Wnd'!$A$118:$A$126,0),MATCH('Capital Costs - US'!$A35,'Cost Improvement and Off Wnd'!$B$117:$AL$117,0))*1000*About!$A$33</f>
        <v>2275232.4000000004</v>
      </c>
      <c r="K35" s="4">
        <f>'EIA Costs'!$D$9*INDEX('Cost Improvement and Off Wnd'!$B$118:$AL$126,MATCH("natural gas peaker",'Cost Improvement and Off Wnd'!$A$118:$A$126,0),MATCH('Capital Costs - US'!$A35,'Cost Improvement and Off Wnd'!$B$117:$AL$117,0))*1000*About!$A$33</f>
        <v>567074.95215012471</v>
      </c>
      <c r="L35" s="4">
        <f>'EIA Costs'!$D$9*INDEX('Cost Improvement and Off Wnd'!$B$118:$AL$126,MATCH("natural gas peaker",'Cost Improvement and Off Wnd'!$A$118:$A$126,0),MATCH('Capital Costs - US'!$A35,'Cost Improvement and Off Wnd'!$B$117:$AL$117,0))*1000*About!$A$33</f>
        <v>567074.95215012471</v>
      </c>
      <c r="M35" s="4">
        <f>B35*'Coal Cost Multipliers'!$B$33</f>
        <v>5844025.817624907</v>
      </c>
      <c r="N35" s="4">
        <v>0</v>
      </c>
    </row>
    <row r="36" spans="1:14">
      <c r="B36" s="12"/>
    </row>
    <row r="37" spans="1:14">
      <c r="B37" s="12"/>
    </row>
    <row r="38" spans="1:14">
      <c r="B38" s="12"/>
    </row>
    <row r="39" spans="1:14">
      <c r="B39" s="12"/>
    </row>
    <row r="40" spans="1:14">
      <c r="B40" s="12"/>
    </row>
    <row r="41" spans="1:14">
      <c r="B41" s="12"/>
    </row>
    <row r="42" spans="1:14">
      <c r="B42" s="12"/>
    </row>
    <row r="43" spans="1:14">
      <c r="B43" s="12"/>
    </row>
    <row r="44" spans="1:14">
      <c r="B44" s="12"/>
    </row>
    <row r="45" spans="1:14">
      <c r="B45" s="12"/>
    </row>
    <row r="46" spans="1:14">
      <c r="B46" s="12"/>
    </row>
    <row r="47" spans="1:14">
      <c r="B47" s="12"/>
    </row>
    <row r="48" spans="1:14">
      <c r="B48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C29" sqref="C29"/>
    </sheetView>
  </sheetViews>
  <sheetFormatPr defaultRowHeight="14.5"/>
  <cols>
    <col min="1" max="1" width="33.26953125" customWidth="1"/>
    <col min="2" max="2" width="23.1796875" customWidth="1"/>
    <col min="3" max="3" width="28.54296875" customWidth="1"/>
    <col min="4" max="4" width="23.1796875" customWidth="1"/>
  </cols>
  <sheetData>
    <row r="1" spans="1:4">
      <c r="A1" s="5" t="s">
        <v>21</v>
      </c>
      <c r="B1" s="16" t="s">
        <v>68</v>
      </c>
      <c r="C1" s="16" t="s">
        <v>71</v>
      </c>
      <c r="D1" s="16" t="s">
        <v>69</v>
      </c>
    </row>
    <row r="2" spans="1:4">
      <c r="A2" t="s">
        <v>113</v>
      </c>
      <c r="B2" s="4">
        <f>('Anexo Tabla 4.2.10.'!C5*10^3)*(About!$A$39)</f>
        <v>31571.523159486616</v>
      </c>
      <c r="C2">
        <v>0</v>
      </c>
      <c r="D2" s="4">
        <f>B2*'FIixed O&amp;M - US'!D2/'FIixed O&amp;M - US'!B2</f>
        <v>73761.453337953339</v>
      </c>
    </row>
    <row r="3" spans="1:4">
      <c r="A3" t="s">
        <v>29</v>
      </c>
      <c r="B3" s="4">
        <f>('Anexo Tabla 4.2.10.'!C6*10^3)*(About!$A$39)</f>
        <v>17714.282907865338</v>
      </c>
      <c r="C3">
        <v>0</v>
      </c>
      <c r="D3" s="4">
        <f>B3*'FIixed O&amp;M - US'!D3/'FIixed O&amp;M - US'!B3</f>
        <v>20675.63719337474</v>
      </c>
    </row>
    <row r="4" spans="1:4">
      <c r="A4" t="s">
        <v>16</v>
      </c>
      <c r="B4" s="4">
        <f>('Anexo Tabla 4.2.10.'!C11*10^3)*(About!$A$39)</f>
        <v>94477.5</v>
      </c>
      <c r="C4" s="20">
        <v>0</v>
      </c>
      <c r="D4" s="4">
        <f>B4*'FIixed O&amp;M - US'!D4/'FIixed O&amp;M - US'!B4</f>
        <v>94477.5</v>
      </c>
    </row>
    <row r="5" spans="1:4">
      <c r="A5" t="s">
        <v>17</v>
      </c>
      <c r="B5" s="4">
        <f>('Anexo Tabla 4.2.10.'!C10*10^3)*(About!$A$39)</f>
        <v>22802.294201226501</v>
      </c>
      <c r="C5" s="20">
        <v>0</v>
      </c>
      <c r="D5" s="4">
        <f>B5*'FIixed O&amp;M - US'!D5/'FIixed O&amp;M - US'!B5</f>
        <v>22802.294201226501</v>
      </c>
    </row>
    <row r="6" spans="1:4">
      <c r="A6" t="s">
        <v>115</v>
      </c>
      <c r="B6" s="4">
        <f>('Anexo Tabla 4.2.10.'!C8*10^3)*(About!$A$39)</f>
        <v>35625</v>
      </c>
      <c r="C6" s="20">
        <v>0</v>
      </c>
      <c r="D6" s="4">
        <f>B6*'FIixed O&amp;M - US'!D6/'FIixed O&amp;M - US'!B6</f>
        <v>35625</v>
      </c>
    </row>
    <row r="7" spans="1:4">
      <c r="A7" t="s">
        <v>18</v>
      </c>
      <c r="B7" s="4">
        <f>('Anexo Tabla 4.2.10.'!C12*10^3)*(About!$A$39)</f>
        <v>9975</v>
      </c>
      <c r="C7" s="20">
        <v>0</v>
      </c>
      <c r="D7" s="4">
        <f>B7*'FIixed O&amp;M - US'!D7/'FIixed O&amp;M - US'!B7</f>
        <v>9975</v>
      </c>
    </row>
    <row r="8" spans="1:4">
      <c r="A8" t="s">
        <v>19</v>
      </c>
      <c r="B8" s="4">
        <f>('Anexo Tabla 4.2.10.'!C14*10^3)*(About!$A$39)</f>
        <v>45380.769230769234</v>
      </c>
      <c r="C8" s="20">
        <v>0</v>
      </c>
      <c r="D8" s="4">
        <f>B8*'FIixed O&amp;M - US'!D8/'FIixed O&amp;M - US'!B8</f>
        <v>45380.769230769234</v>
      </c>
    </row>
    <row r="9" spans="1:4">
      <c r="A9" t="s">
        <v>20</v>
      </c>
      <c r="B9" s="19">
        <f>'EIA Costs'!F14*1000</f>
        <v>105580</v>
      </c>
      <c r="C9" s="20">
        <v>0</v>
      </c>
      <c r="D9" s="4">
        <f>B9*'FIixed O&amp;M - US'!D9/'FIixed O&amp;M - US'!B9</f>
        <v>105580</v>
      </c>
    </row>
    <row r="10" spans="1:4">
      <c r="A10" t="s">
        <v>30</v>
      </c>
      <c r="B10" s="4">
        <f>('Anexo Tabla 4.2.10.'!C9*10^3)*(About!$A$39)</f>
        <v>98197.362555773361</v>
      </c>
      <c r="C10" s="20">
        <v>0</v>
      </c>
      <c r="D10" s="4">
        <f>B10*'FIixed O&amp;M - US'!D10/'FIixed O&amp;M - US'!B10</f>
        <v>98197.362555773361</v>
      </c>
    </row>
    <row r="11" spans="1:4">
      <c r="A11" t="s">
        <v>31</v>
      </c>
      <c r="B11" s="4">
        <f>('Anexo Tabla 4.2.10.'!C13*10^3)*(About!$A$39)</f>
        <v>33496.1146529752</v>
      </c>
      <c r="C11" s="20">
        <v>0</v>
      </c>
      <c r="D11" s="4">
        <f>B11*'FIixed O&amp;M - US'!D11/'FIixed O&amp;M - US'!B11</f>
        <v>32127.063645360409</v>
      </c>
    </row>
    <row r="12" spans="1:4">
      <c r="A12" t="s">
        <v>32</v>
      </c>
      <c r="B12" s="4">
        <f>('Anexo Tabla 4.2.10.'!C15*10^3)*(About!$A$39)</f>
        <v>4750</v>
      </c>
      <c r="C12" s="20">
        <v>0</v>
      </c>
      <c r="D12" s="4">
        <f>B12*'FIixed O&amp;M - US'!D12/'FIixed O&amp;M - US'!B12</f>
        <v>4555.8583106267033</v>
      </c>
    </row>
    <row r="13" spans="1:4">
      <c r="A13" t="s">
        <v>127</v>
      </c>
      <c r="B13" s="4">
        <f>(B2)*(About!$A$39)</f>
        <v>29992.947001512282</v>
      </c>
      <c r="C13" s="4">
        <f>C2*'Coal Cost Multipliers'!$B$35</f>
        <v>0</v>
      </c>
      <c r="D13" s="4">
        <f>B13*'FIixed O&amp;M - US'!D13/'FIixed O&amp;M - US'!B13</f>
        <v>70073.380671055653</v>
      </c>
    </row>
    <row r="14" spans="1:4">
      <c r="A14" t="s">
        <v>114</v>
      </c>
      <c r="B14" s="59">
        <f>'EIA Costs'!F19*1000</f>
        <v>73960</v>
      </c>
      <c r="C14">
        <v>0</v>
      </c>
      <c r="D14" s="4">
        <f>B14*'FIixed O&amp;M - US'!D14/'FIixed O&amp;M - US'!B14</f>
        <v>73960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22" sqref="B22"/>
    </sheetView>
  </sheetViews>
  <sheetFormatPr defaultColWidth="9.1796875" defaultRowHeight="14.5"/>
  <cols>
    <col min="1" max="1" width="33.26953125" style="20" customWidth="1"/>
    <col min="2" max="4" width="24" style="20" customWidth="1"/>
    <col min="5" max="16384" width="9.1796875" style="20"/>
  </cols>
  <sheetData>
    <row r="1" spans="1:4">
      <c r="A1" s="5" t="s">
        <v>22</v>
      </c>
      <c r="B1" s="16" t="s">
        <v>68</v>
      </c>
      <c r="C1" s="16" t="s">
        <v>71</v>
      </c>
      <c r="D1" s="16" t="s">
        <v>69</v>
      </c>
    </row>
    <row r="2" spans="1:4">
      <c r="A2" s="20" t="s">
        <v>15</v>
      </c>
      <c r="B2" s="12">
        <f>('Anexo Tabla 4.2.12.'!C5)*(About!$A$39)</f>
        <v>2.2845080433213623</v>
      </c>
      <c r="C2" s="20">
        <v>0</v>
      </c>
      <c r="D2" s="15">
        <f>B2*'Variable O&amp;M - US'!D2/'Variable O&amp;M - US'!B2</f>
        <v>4.313478274190671</v>
      </c>
    </row>
    <row r="3" spans="1:4">
      <c r="A3" s="20" t="s">
        <v>29</v>
      </c>
      <c r="B3" s="12">
        <f>('Anexo Tabla 4.2.12.'!C6)*(About!$A$39)</f>
        <v>3.1304571741298215</v>
      </c>
      <c r="C3" s="20">
        <v>0</v>
      </c>
      <c r="D3" s="15">
        <f>B3*'Variable O&amp;M - US'!D3/'Variable O&amp;M - US'!B3</f>
        <v>2.8434985998345881</v>
      </c>
    </row>
    <row r="4" spans="1:4">
      <c r="A4" s="20" t="s">
        <v>16</v>
      </c>
      <c r="B4" s="12">
        <f>('Anexo Tabla 4.2.12.'!C9)*(About!$A$39)</f>
        <v>2.2609999999999997</v>
      </c>
      <c r="C4" s="20">
        <v>0</v>
      </c>
      <c r="D4" s="15">
        <f>B4*'Variable O&amp;M - US'!D4/'Variable O&amp;M - US'!B4</f>
        <v>2.2609999999999997</v>
      </c>
    </row>
    <row r="5" spans="1:4">
      <c r="A5" s="20" t="s">
        <v>17</v>
      </c>
      <c r="B5" s="12">
        <f>(0)*(About!$A$39)</f>
        <v>0</v>
      </c>
      <c r="C5" s="20">
        <v>0</v>
      </c>
      <c r="D5" s="15">
        <f>B5*'Variable O&amp;M - US'!D5/'Variable O&amp;M - US'!B5</f>
        <v>0</v>
      </c>
    </row>
    <row r="6" spans="1:4">
      <c r="A6" s="20" t="s">
        <v>115</v>
      </c>
      <c r="B6" s="4">
        <f>'EIA Costs'!E18</f>
        <v>0</v>
      </c>
      <c r="C6" s="20">
        <v>0</v>
      </c>
      <c r="D6" s="15">
        <v>0</v>
      </c>
    </row>
    <row r="7" spans="1:4">
      <c r="A7" s="20" t="s">
        <v>18</v>
      </c>
      <c r="B7" s="4">
        <f>'EIA Costs'!E21</f>
        <v>0</v>
      </c>
      <c r="C7" s="20">
        <v>0</v>
      </c>
      <c r="D7" s="15">
        <v>0</v>
      </c>
    </row>
    <row r="8" spans="1:4">
      <c r="A8" s="20" t="s">
        <v>19</v>
      </c>
      <c r="B8" s="4">
        <f>'EIA Costs'!E20</f>
        <v>0</v>
      </c>
      <c r="C8" s="20">
        <v>0</v>
      </c>
      <c r="D8" s="15">
        <v>0</v>
      </c>
    </row>
    <row r="9" spans="1:4">
      <c r="A9" s="20" t="s">
        <v>20</v>
      </c>
      <c r="B9" s="60">
        <f>'EIA Costs'!E14</f>
        <v>5.26</v>
      </c>
      <c r="C9" s="20">
        <v>0</v>
      </c>
      <c r="D9" s="15">
        <f>B9*'Variable O&amp;M - US'!D9/'Variable O&amp;M - US'!B9</f>
        <v>5.26</v>
      </c>
    </row>
    <row r="10" spans="1:4">
      <c r="A10" s="20" t="s">
        <v>30</v>
      </c>
      <c r="B10" s="12">
        <f>('Anexo Tabla 4.2.12.'!C8)*(About!$A$39)</f>
        <v>4.7500000000000001E-2</v>
      </c>
      <c r="C10" s="20">
        <v>0</v>
      </c>
      <c r="D10" s="15">
        <v>0</v>
      </c>
    </row>
    <row r="11" spans="1:4">
      <c r="A11" s="20" t="s">
        <v>31</v>
      </c>
      <c r="B11" s="12">
        <f>('Anexo Tabla 4.2.12.'!C10)*(About!$A$39)</f>
        <v>2.8367451308904221</v>
      </c>
      <c r="C11" s="20">
        <v>0</v>
      </c>
      <c r="D11" s="15">
        <f>B11*'Variable O&amp;M - US'!D11/'Variable O&amp;M - US'!B11</f>
        <v>1.9052491585060671</v>
      </c>
    </row>
    <row r="12" spans="1:4">
      <c r="A12" s="20" t="s">
        <v>32</v>
      </c>
      <c r="B12" s="12">
        <f>('Anexo Tabla 4.2.12.'!C11)*(About!$A$39)</f>
        <v>4.4649999999999999</v>
      </c>
      <c r="C12" s="20">
        <v>0</v>
      </c>
      <c r="D12" s="15">
        <f>B12*'Variable O&amp;M - US'!D12/'Variable O&amp;M - US'!B12</f>
        <v>2.9988374352331602</v>
      </c>
    </row>
    <row r="13" spans="1:4">
      <c r="A13" s="20" t="s">
        <v>127</v>
      </c>
      <c r="B13" s="12">
        <f>(B2)*(About!$A$39)</f>
        <v>2.170282641155294</v>
      </c>
      <c r="C13" s="15">
        <f>C2*'Coal Cost Multipliers'!$B$34</f>
        <v>0</v>
      </c>
      <c r="D13" s="15">
        <f>B13*'Variable O&amp;M - US'!D13/'Variable O&amp;M - US'!B13</f>
        <v>4.0978043604811365</v>
      </c>
    </row>
    <row r="14" spans="1:4">
      <c r="A14" s="20" t="s">
        <v>114</v>
      </c>
      <c r="B14" s="20">
        <f>'EIA Costs'!E19*1000</f>
        <v>0</v>
      </c>
      <c r="C14" s="20">
        <v>0</v>
      </c>
      <c r="D14" s="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8"/>
  <sheetViews>
    <sheetView workbookViewId="0">
      <selection activeCell="C32" sqref="C32"/>
    </sheetView>
  </sheetViews>
  <sheetFormatPr defaultRowHeight="14.5"/>
  <cols>
    <col min="2" max="2" width="17.26953125" customWidth="1"/>
    <col min="3" max="3" width="31" customWidth="1"/>
    <col min="4" max="5" width="17.26953125" customWidth="1"/>
    <col min="6" max="6" width="23.1796875" customWidth="1"/>
    <col min="7" max="7" width="17.26953125" customWidth="1"/>
    <col min="8" max="8" width="22.54296875" customWidth="1"/>
    <col min="9" max="9" width="17.26953125" customWidth="1"/>
    <col min="10" max="10" width="22.453125" customWidth="1"/>
    <col min="11" max="11" width="20.81640625" customWidth="1"/>
    <col min="12" max="12" width="28.1796875" customWidth="1"/>
    <col min="13" max="13" width="19.1796875" bestFit="1" customWidth="1"/>
    <col min="14" max="14" width="22.1796875" bestFit="1" customWidth="1"/>
  </cols>
  <sheetData>
    <row r="1" spans="1:14">
      <c r="A1" s="13" t="s">
        <v>3</v>
      </c>
      <c r="B1" s="13" t="s">
        <v>116</v>
      </c>
      <c r="C1" s="13" t="s">
        <v>33</v>
      </c>
      <c r="D1" s="13" t="s">
        <v>6</v>
      </c>
      <c r="E1" s="13" t="s">
        <v>7</v>
      </c>
      <c r="F1" s="13" t="s">
        <v>125</v>
      </c>
      <c r="G1" s="13" t="s">
        <v>10</v>
      </c>
      <c r="H1" s="13" t="s">
        <v>11</v>
      </c>
      <c r="I1" s="13" t="s">
        <v>8</v>
      </c>
      <c r="J1" s="13" t="s">
        <v>34</v>
      </c>
      <c r="K1" s="13" t="s">
        <v>35</v>
      </c>
      <c r="L1" s="13" t="s">
        <v>36</v>
      </c>
      <c r="M1" s="13" t="s">
        <v>128</v>
      </c>
      <c r="N1" s="13" t="s">
        <v>117</v>
      </c>
    </row>
    <row r="2" spans="1:14">
      <c r="A2" s="1">
        <v>2017</v>
      </c>
      <c r="B2" s="4">
        <f>('Anexo Tabla 4.2.11.'!$C$5*INDEX('Cost Improvement and Off Wnd'!$B$118:$AL$126,MATCH("coal",'Cost Improvement and Off Wnd'!$A$118:$A$126,0),MATCH('CCaMC-BCCpUC'!$A2,'Cost Improvement and Off Wnd'!$B$117:$AL$117,0))*1000*About!$A$33)*(About!$A$39)</f>
        <v>1315001.8930135139</v>
      </c>
      <c r="C2" s="4">
        <f>('Anexo Tabla 4.2.11.'!$C$6*INDEX('Cost Improvement and Off Wnd'!$B$118:$AL$126,MATCH("natural gas nonpeaker",'Cost Improvement and Off Wnd'!$A$118:$A$126,0),MATCH('CCaMC-BCCpUC'!$A2,'Cost Improvement and Off Wnd'!$B$117:$AL$117,0))*1000*About!$A$33)*(About!$A$39)</f>
        <v>888274.357482463</v>
      </c>
      <c r="D2" s="4">
        <f>('Anexo Tabla 4.2.11.'!$C$11*INDEX('Cost Improvement and Off Wnd'!$B$118:$AL$126,MATCH("nuclear",'Cost Improvement and Off Wnd'!$A$118:$A$126,0),MATCH('CCaMC-BCCpUC'!$A2,'Cost Improvement and Off Wnd'!$B$117:$AL$117,0))*1000*About!$A$33)*(About!$A$39)</f>
        <v>3679338.5999999996</v>
      </c>
      <c r="E2" s="4">
        <f>('Anexo Tabla 4.2.11.'!$C$10*INDEX('Cost Improvement and Off Wnd'!$B$118:$AL$126,MATCH("hydro",'Cost Improvement and Off Wnd'!$A$118:$A$126,0),MATCH('CCaMC-BCCpUC'!$A2,'Cost Improvement and Off Wnd'!$B$117:$AL$117,0))*1000*About!$A$33)*(About!$A$39)</f>
        <v>1762523.0960922004</v>
      </c>
      <c r="F2" s="19">
        <f>'Anexo Tabla 4.2.11.'!C8*10^3*About!A39</f>
        <v>1330000</v>
      </c>
      <c r="G2" s="19">
        <f>'Anexo Tabla 4.2.11.'!C12*10^3*About!A39</f>
        <v>1306250</v>
      </c>
      <c r="H2" s="4">
        <f>('Anexo Tabla 4.2.11.'!$C$14*INDEX('Cost Improvement and Off Wnd'!$B$118:$AL$126,MATCH("solar thermal",'Cost Improvement and Off Wnd'!$A$118:$A$126,0),MATCH('CCaMC-BCCpUC'!$A2,'Cost Improvement and Off Wnd'!$B$117:$AL$117,0))*1000*About!$A$33)*(About!$A$39)</f>
        <v>5454273.6725663729</v>
      </c>
      <c r="I2" s="61">
        <f>'EIA Costs'!$D$14*INDEX('Cost Improvement and Off Wnd'!$B$118:$AL$126,MATCH("biomass",'Cost Improvement and Off Wnd'!$A$118:$A$126,0),MATCH('CCaMC-BCCpUC'!$A2,'Cost Improvement and Off Wnd'!$B$117:$AL$117,0))*1000*About!$A$33</f>
        <v>3563598.6740940069</v>
      </c>
      <c r="J2" s="4">
        <f>('Anexo Tabla 4.2.11.'!$C$9*INDEX('Cost Improvement and Off Wnd'!$B$118:$AL$126,MATCH("geothermal",'Cost Improvement and Off Wnd'!$A$118:$A$126,0),MATCH('CCaMC-BCCpUC'!$A2,'Cost Improvement and Off Wnd'!$B$117:$AL$117,0))*1000*About!$A$33)*(About!$A$39)</f>
        <v>1737281.0454999998</v>
      </c>
      <c r="K2" s="4">
        <f>('Anexo Tabla 4.2.11.'!$C$13*INDEX('Cost Improvement and Off Wnd'!$B$118:$AL$126,MATCH("natural gas peaker",'Cost Improvement and Off Wnd'!$A$118:$A$126,0),MATCH('CCaMC-BCCpUC'!$A2,'Cost Improvement and Off Wnd'!$B$117:$AL$117,0))*1000*About!$A$33)*(About!$A$39)</f>
        <v>1494547.2313330011</v>
      </c>
      <c r="L2" s="4">
        <f>('Anexo Tabla 4.2.11.'!$C$15*INDEX('Cost Improvement and Off Wnd'!$B$118:$AL$126,MATCH("natural gas peaker",'Cost Improvement and Off Wnd'!$A$118:$A$126,0),MATCH('CCaMC-BCCpUC'!$A2,'Cost Improvement and Off Wnd'!$B$117:$AL$117,0))*1000*About!$A$33)*(About!$A$39)</f>
        <v>741000.50676326454</v>
      </c>
      <c r="M2" s="4">
        <f>(B2*'Coal Cost Multipliers'!$B$33)*(About!$A$39)</f>
        <v>1447810.7279291807</v>
      </c>
      <c r="N2" s="19">
        <f>AVERAGE('Cost Improvement and Off Wnd'!$C$85:$C$113)*INDEX('Cost Improvement and Off Wnd'!$B$118:$AL$126,MATCH("offshore wind",'Cost Improvement and Off Wnd'!$A$118:$A$126,0),MATCH('CCaMC-BCCpUC'!$A2,'Cost Improvement and Off Wnd'!$B$117:$AL$117,0))*10^3*About!$A$35</f>
        <v>5406106.509524825</v>
      </c>
    </row>
    <row r="3" spans="1:14">
      <c r="A3" s="1">
        <v>2018</v>
      </c>
      <c r="B3" s="4">
        <f>('Anexo Tabla 4.2.11.'!$C$5*INDEX('Cost Improvement and Off Wnd'!$B$118:$AL$126,MATCH("coal",'Cost Improvement and Off Wnd'!$A$118:$A$126,0),MATCH('CCaMC-BCCpUC'!$A3,'Cost Improvement and Off Wnd'!$B$117:$AL$117,0))*1000*About!$A$33)*(About!$A$39)</f>
        <v>1297947.075224526</v>
      </c>
      <c r="C3" s="4">
        <f>('Anexo Tabla 4.2.11.'!$C$6*INDEX('Cost Improvement and Off Wnd'!$B$118:$AL$126,MATCH("natural gas nonpeaker",'Cost Improvement and Off Wnd'!$A$118:$A$126,0),MATCH('CCaMC-BCCpUC'!$A3,'Cost Improvement and Off Wnd'!$B$117:$AL$117,0))*1000*About!$A$33)*(About!$A$39)</f>
        <v>885805.00606326875</v>
      </c>
      <c r="D3" s="4">
        <f>('Anexo Tabla 4.2.11.'!$C$11*INDEX('Cost Improvement and Off Wnd'!$B$118:$AL$126,MATCH("nuclear",'Cost Improvement and Off Wnd'!$A$118:$A$126,0),MATCH('CCaMC-BCCpUC'!$A3,'Cost Improvement and Off Wnd'!$B$117:$AL$117,0))*1000*About!$A$33)*(About!$A$39)</f>
        <v>3679338.5999999996</v>
      </c>
      <c r="E3" s="4">
        <f>('Anexo Tabla 4.2.11.'!$C$10*INDEX('Cost Improvement and Off Wnd'!$B$118:$AL$126,MATCH("hydro",'Cost Improvement and Off Wnd'!$A$118:$A$126,0),MATCH('CCaMC-BCCpUC'!$A3,'Cost Improvement and Off Wnd'!$B$117:$AL$117,0))*1000*About!$A$33)*(About!$A$39)</f>
        <v>1753018.7970872556</v>
      </c>
      <c r="F3" s="4">
        <v>0</v>
      </c>
      <c r="G3" s="4">
        <v>0</v>
      </c>
      <c r="H3" s="4">
        <f>('Anexo Tabla 4.2.11.'!$C$14*INDEX('Cost Improvement and Off Wnd'!$B$118:$AL$126,MATCH("solar thermal",'Cost Improvement and Off Wnd'!$A$118:$A$126,0),MATCH('CCaMC-BCCpUC'!$A3,'Cost Improvement and Off Wnd'!$B$117:$AL$117,0))*1000*About!$A$33)*(About!$A$39)</f>
        <v>5240789.8967551608</v>
      </c>
      <c r="I3" s="61">
        <f>'EIA Costs'!$D$14*INDEX('Cost Improvement and Off Wnd'!$B$118:$AL$126,MATCH("biomass",'Cost Improvement and Off Wnd'!$A$118:$A$126,0),MATCH('CCaMC-BCCpUC'!$A3,'Cost Improvement and Off Wnd'!$B$117:$AL$117,0))*1000*About!$A$33</f>
        <v>3552150.0543228374</v>
      </c>
      <c r="J3" s="4">
        <f>('Anexo Tabla 4.2.11.'!$C$9*INDEX('Cost Improvement and Off Wnd'!$B$118:$AL$126,MATCH("geothermal",'Cost Improvement and Off Wnd'!$A$118:$A$126,0),MATCH('CCaMC-BCCpUC'!$A3,'Cost Improvement and Off Wnd'!$B$117:$AL$117,0))*1000*About!$A$33)*(About!$A$39)</f>
        <v>1734375.8932500004</v>
      </c>
      <c r="K3" s="4">
        <f>('Anexo Tabla 4.2.11.'!$C$13*INDEX('Cost Improvement and Off Wnd'!$B$118:$AL$126,MATCH("natural gas peaker",'Cost Improvement and Off Wnd'!$A$118:$A$126,0),MATCH('CCaMC-BCCpUC'!$A3,'Cost Improvement and Off Wnd'!$B$117:$AL$117,0))*1000*About!$A$33)*(About!$A$39)</f>
        <v>1490085.4464716474</v>
      </c>
      <c r="L3" s="4">
        <f>('Anexo Tabla 4.2.11.'!$C$15*INDEX('Cost Improvement and Off Wnd'!$B$118:$AL$126,MATCH("natural gas peaker",'Cost Improvement and Off Wnd'!$A$118:$A$126,0),MATCH('CCaMC-BCCpUC'!$A3,'Cost Improvement and Off Wnd'!$B$117:$AL$117,0))*1000*About!$A$33)*(About!$A$39)</f>
        <v>738788.3419189438</v>
      </c>
      <c r="M3" s="4">
        <f>(B3*'Coal Cost Multipliers'!$B$33)*(About!$A$39)</f>
        <v>1429033.4559807817</v>
      </c>
      <c r="N3" s="4">
        <v>0</v>
      </c>
    </row>
    <row r="4" spans="1:14">
      <c r="A4" s="1">
        <v>2019</v>
      </c>
      <c r="B4" s="4">
        <f>('Anexo Tabla 4.2.11.'!$C$5*INDEX('Cost Improvement and Off Wnd'!$B$118:$AL$126,MATCH("coal",'Cost Improvement and Off Wnd'!$A$118:$A$126,0),MATCH('CCaMC-BCCpUC'!$A4,'Cost Improvement and Off Wnd'!$B$117:$AL$117,0))*1000*About!$A$33)*(About!$A$39)</f>
        <v>1278133.3952573121</v>
      </c>
      <c r="C4" s="4">
        <f>('Anexo Tabla 4.2.11.'!$C$6*INDEX('Cost Improvement and Off Wnd'!$B$118:$AL$126,MATCH("natural gas nonpeaker",'Cost Improvement and Off Wnd'!$A$118:$A$126,0),MATCH('CCaMC-BCCpUC'!$A4,'Cost Improvement and Off Wnd'!$B$117:$AL$117,0))*1000*About!$A$33)*(About!$A$39)</f>
        <v>882647.79837746487</v>
      </c>
      <c r="D4" s="4">
        <f>('Anexo Tabla 4.2.11.'!$C$11*INDEX('Cost Improvement and Off Wnd'!$B$118:$AL$126,MATCH("nuclear",'Cost Improvement and Off Wnd'!$A$118:$A$126,0),MATCH('CCaMC-BCCpUC'!$A4,'Cost Improvement and Off Wnd'!$B$117:$AL$117,0))*1000*About!$A$33)*(About!$A$39)</f>
        <v>3679338.5999999996</v>
      </c>
      <c r="E4" s="4">
        <f>('Anexo Tabla 4.2.11.'!$C$10*INDEX('Cost Improvement and Off Wnd'!$B$118:$AL$126,MATCH("hydro",'Cost Improvement and Off Wnd'!$A$118:$A$126,0),MATCH('CCaMC-BCCpUC'!$A4,'Cost Improvement and Off Wnd'!$B$117:$AL$117,0))*1000*About!$A$33)*(About!$A$39)</f>
        <v>1743518.8846575769</v>
      </c>
      <c r="F4" s="4">
        <v>0</v>
      </c>
      <c r="G4" s="4">
        <v>0</v>
      </c>
      <c r="H4" s="4">
        <f>('Anexo Tabla 4.2.11.'!$C$14*INDEX('Cost Improvement and Off Wnd'!$B$118:$AL$126,MATCH("solar thermal",'Cost Improvement and Off Wnd'!$A$118:$A$126,0),MATCH('CCaMC-BCCpUC'!$A4,'Cost Improvement and Off Wnd'!$B$117:$AL$117,0))*1000*About!$A$33)*(About!$A$39)</f>
        <v>5027306.1209439524</v>
      </c>
      <c r="I4" s="61">
        <f>'EIA Costs'!$D$14*INDEX('Cost Improvement and Off Wnd'!$B$118:$AL$126,MATCH("biomass",'Cost Improvement and Off Wnd'!$A$118:$A$126,0),MATCH('CCaMC-BCCpUC'!$A4,'Cost Improvement and Off Wnd'!$B$117:$AL$117,0))*1000*About!$A$33</f>
        <v>3559522.4329931699</v>
      </c>
      <c r="J4" s="4">
        <f>('Anexo Tabla 4.2.11.'!$C$9*INDEX('Cost Improvement and Off Wnd'!$B$118:$AL$126,MATCH("geothermal",'Cost Improvement and Off Wnd'!$A$118:$A$126,0),MATCH('CCaMC-BCCpUC'!$A4,'Cost Improvement and Off Wnd'!$B$117:$AL$117,0))*1000*About!$A$33)*(About!$A$39)</f>
        <v>1731470.7410000002</v>
      </c>
      <c r="K4" s="4">
        <f>('Anexo Tabla 4.2.11.'!$C$13*INDEX('Cost Improvement and Off Wnd'!$B$118:$AL$126,MATCH("natural gas peaker",'Cost Improvement and Off Wnd'!$A$118:$A$126,0),MATCH('CCaMC-BCCpUC'!$A4,'Cost Improvement and Off Wnd'!$B$117:$AL$117,0))*1000*About!$A$33)*(About!$A$39)</f>
        <v>1484464.6579664669</v>
      </c>
      <c r="L4" s="4">
        <f>('Anexo Tabla 4.2.11.'!$C$15*INDEX('Cost Improvement and Off Wnd'!$B$118:$AL$126,MATCH("natural gas peaker",'Cost Improvement and Off Wnd'!$A$118:$A$126,0),MATCH('CCaMC-BCCpUC'!$A4,'Cost Improvement and Off Wnd'!$B$117:$AL$117,0))*1000*About!$A$33)*(About!$A$39)</f>
        <v>736001.53997422825</v>
      </c>
      <c r="M4" s="4">
        <f>(B4*'Coal Cost Multipliers'!$B$33)*(About!$A$39)</f>
        <v>1407218.6901095717</v>
      </c>
      <c r="N4" s="4">
        <v>0</v>
      </c>
    </row>
    <row r="5" spans="1:14">
      <c r="A5" s="1">
        <v>2020</v>
      </c>
      <c r="B5" s="4">
        <f>('Anexo Tabla 4.2.11.'!$C$5*INDEX('Cost Improvement and Off Wnd'!$B$118:$AL$126,MATCH("coal",'Cost Improvement and Off Wnd'!$A$118:$A$126,0),MATCH('CCaMC-BCCpUC'!$A5,'Cost Improvement and Off Wnd'!$B$117:$AL$117,0))*1000*About!$A$33)*(About!$A$39)</f>
        <v>1256845.1487208931</v>
      </c>
      <c r="C5" s="4">
        <f>('Anexo Tabla 4.2.11.'!$C$6*INDEX('Cost Improvement and Off Wnd'!$B$118:$AL$126,MATCH("natural gas nonpeaker",'Cost Improvement and Off Wnd'!$A$118:$A$126,0),MATCH('CCaMC-BCCpUC'!$A5,'Cost Improvement and Off Wnd'!$B$117:$AL$117,0))*1000*About!$A$33)*(About!$A$39)</f>
        <v>877268.1426343458</v>
      </c>
      <c r="D5" s="4">
        <f>('Anexo Tabla 4.2.11.'!$C$11*INDEX('Cost Improvement and Off Wnd'!$B$118:$AL$126,MATCH("nuclear",'Cost Improvement and Off Wnd'!$A$118:$A$126,0),MATCH('CCaMC-BCCpUC'!$A5,'Cost Improvement and Off Wnd'!$B$117:$AL$117,0))*1000*About!$A$33)*(About!$A$39)</f>
        <v>3679338.5999999996</v>
      </c>
      <c r="E5" s="4">
        <f>('Anexo Tabla 4.2.11.'!$C$10*INDEX('Cost Improvement and Off Wnd'!$B$118:$AL$126,MATCH("hydro",'Cost Improvement and Off Wnd'!$A$118:$A$126,0),MATCH('CCaMC-BCCpUC'!$A5,'Cost Improvement and Off Wnd'!$B$117:$AL$117,0))*1000*About!$A$33)*(About!$A$39)</f>
        <v>1734018.9722278984</v>
      </c>
      <c r="F5" s="4">
        <v>0</v>
      </c>
      <c r="G5" s="4">
        <v>0</v>
      </c>
      <c r="H5" s="4">
        <f>('Anexo Tabla 4.2.11.'!$C$14*INDEX('Cost Improvement and Off Wnd'!$B$118:$AL$126,MATCH("solar thermal",'Cost Improvement and Off Wnd'!$A$118:$A$126,0),MATCH('CCaMC-BCCpUC'!$A5,'Cost Improvement and Off Wnd'!$B$117:$AL$117,0))*1000*About!$A$33)*(About!$A$39)</f>
        <v>4813822.345132743</v>
      </c>
      <c r="I5" s="61">
        <f>'EIA Costs'!$D$14*INDEX('Cost Improvement and Off Wnd'!$B$118:$AL$126,MATCH("biomass",'Cost Improvement and Off Wnd'!$A$118:$A$126,0),MATCH('CCaMC-BCCpUC'!$A5,'Cost Improvement and Off Wnd'!$B$117:$AL$117,0))*1000*About!$A$33</f>
        <v>3549532.803845725</v>
      </c>
      <c r="J5" s="4">
        <f>('Anexo Tabla 4.2.11.'!$C$9*INDEX('Cost Improvement and Off Wnd'!$B$118:$AL$126,MATCH("geothermal",'Cost Improvement and Off Wnd'!$A$118:$A$126,0),MATCH('CCaMC-BCCpUC'!$A5,'Cost Improvement and Off Wnd'!$B$117:$AL$117,0))*1000*About!$A$33)*(About!$A$39)</f>
        <v>1728565.5887500001</v>
      </c>
      <c r="K5" s="4">
        <f>('Anexo Tabla 4.2.11.'!$C$13*INDEX('Cost Improvement and Off Wnd'!$B$118:$AL$126,MATCH("natural gas peaker",'Cost Improvement and Off Wnd'!$A$118:$A$126,0),MATCH('CCaMC-BCCpUC'!$A5,'Cost Improvement and Off Wnd'!$B$117:$AL$117,0))*1000*About!$A$33)*(About!$A$39)</f>
        <v>1474365.2435810198</v>
      </c>
      <c r="L5" s="4">
        <f>('Anexo Tabla 4.2.11.'!$C$15*INDEX('Cost Improvement and Off Wnd'!$B$118:$AL$126,MATCH("natural gas peaker",'Cost Improvement and Off Wnd'!$A$118:$A$126,0),MATCH('CCaMC-BCCpUC'!$A5,'Cost Improvement and Off Wnd'!$B$117:$AL$117,0))*1000*About!$A$33)*(About!$A$39)</f>
        <v>730994.2233630605</v>
      </c>
      <c r="M5" s="4">
        <f>(B5*'Coal Cost Multipliers'!$B$33)*(About!$A$39)</f>
        <v>1383780.4335732278</v>
      </c>
      <c r="N5" s="4">
        <v>0</v>
      </c>
    </row>
    <row r="6" spans="1:14">
      <c r="A6" s="1">
        <v>2021</v>
      </c>
      <c r="B6" s="4">
        <f>('Anexo Tabla 4.2.11.'!$C$5*INDEX('Cost Improvement and Off Wnd'!$B$118:$AL$126,MATCH("coal",'Cost Improvement and Off Wnd'!$A$118:$A$126,0),MATCH('CCaMC-BCCpUC'!$A6,'Cost Improvement and Off Wnd'!$B$117:$AL$117,0))*1000*About!$A$33)*(About!$A$39)</f>
        <v>1249423.7273491202</v>
      </c>
      <c r="C6" s="4">
        <f>('Anexo Tabla 4.2.11.'!$C$6*INDEX('Cost Improvement and Off Wnd'!$B$118:$AL$126,MATCH("natural gas nonpeaker",'Cost Improvement and Off Wnd'!$A$118:$A$126,0),MATCH('CCaMC-BCCpUC'!$A6,'Cost Improvement and Off Wnd'!$B$117:$AL$117,0))*1000*About!$A$33)*(About!$A$39)</f>
        <v>874686.05827723618</v>
      </c>
      <c r="D6" s="4">
        <f>('Anexo Tabla 4.2.11.'!$C$11*INDEX('Cost Improvement and Off Wnd'!$B$118:$AL$126,MATCH("nuclear",'Cost Improvement and Off Wnd'!$A$118:$A$126,0),MATCH('CCaMC-BCCpUC'!$A6,'Cost Improvement and Off Wnd'!$B$117:$AL$117,0))*1000*About!$A$33)*(About!$A$39)</f>
        <v>3679338.5999999996</v>
      </c>
      <c r="E6" s="4">
        <f>('Anexo Tabla 4.2.11.'!$C$10*INDEX('Cost Improvement and Off Wnd'!$B$118:$AL$126,MATCH("hydro",'Cost Improvement and Off Wnd'!$A$118:$A$126,0),MATCH('CCaMC-BCCpUC'!$A6,'Cost Improvement and Off Wnd'!$B$117:$AL$117,0))*1000*About!$A$33)*(About!$A$39)</f>
        <v>1724523.4278860034</v>
      </c>
      <c r="F6" s="4">
        <v>0</v>
      </c>
      <c r="G6" s="4">
        <v>0</v>
      </c>
      <c r="H6" s="4">
        <f>('Anexo Tabla 4.2.11.'!$C$14*INDEX('Cost Improvement and Off Wnd'!$B$118:$AL$126,MATCH("solar thermal",'Cost Improvement and Off Wnd'!$A$118:$A$126,0),MATCH('CCaMC-BCCpUC'!$A6,'Cost Improvement and Off Wnd'!$B$117:$AL$117,0))*1000*About!$A$33)*(About!$A$39)</f>
        <v>4667343.6946902648</v>
      </c>
      <c r="I6" s="61">
        <f>'EIA Costs'!$D$14*INDEX('Cost Improvement and Off Wnd'!$B$118:$AL$126,MATCH("biomass",'Cost Improvement and Off Wnd'!$A$118:$A$126,0),MATCH('CCaMC-BCCpUC'!$A6,'Cost Improvement and Off Wnd'!$B$117:$AL$117,0))*1000*About!$A$33</f>
        <v>3539540.8623545752</v>
      </c>
      <c r="J6" s="4">
        <f>('Anexo Tabla 4.2.11.'!$C$9*INDEX('Cost Improvement and Off Wnd'!$B$118:$AL$126,MATCH("geothermal",'Cost Improvement and Off Wnd'!$A$118:$A$126,0),MATCH('CCaMC-BCCpUC'!$A6,'Cost Improvement and Off Wnd'!$B$117:$AL$117,0))*1000*About!$A$33)*(About!$A$39)</f>
        <v>1725660.4364999996</v>
      </c>
      <c r="K6" s="4">
        <f>('Anexo Tabla 4.2.11.'!$C$13*INDEX('Cost Improvement and Off Wnd'!$B$118:$AL$126,MATCH("natural gas peaker",'Cost Improvement and Off Wnd'!$A$118:$A$126,0),MATCH('CCaMC-BCCpUC'!$A6,'Cost Improvement and Off Wnd'!$B$117:$AL$117,0))*1000*About!$A$33)*(About!$A$39)</f>
        <v>1469903.1169812931</v>
      </c>
      <c r="L6" s="4">
        <f>('Anexo Tabla 4.2.11.'!$C$15*INDEX('Cost Improvement and Off Wnd'!$B$118:$AL$126,MATCH("natural gas peaker",'Cost Improvement and Off Wnd'!$A$118:$A$126,0),MATCH('CCaMC-BCCpUC'!$A6,'Cost Improvement and Off Wnd'!$B$117:$AL$117,0))*1000*About!$A$33)*(About!$A$39)</f>
        <v>728781.88908394205</v>
      </c>
      <c r="M6" s="4">
        <f>(B6*'Coal Cost Multipliers'!$B$33)*(About!$A$39)</f>
        <v>1375609.484515571</v>
      </c>
      <c r="N6" s="4">
        <v>0</v>
      </c>
    </row>
    <row r="7" spans="1:14">
      <c r="A7" s="1">
        <v>2022</v>
      </c>
      <c r="B7" s="4">
        <f>('Anexo Tabla 4.2.11.'!$C$5*INDEX('Cost Improvement and Off Wnd'!$B$118:$AL$126,MATCH("coal",'Cost Improvement and Off Wnd'!$A$118:$A$126,0),MATCH('CCaMC-BCCpUC'!$A7,'Cost Improvement and Off Wnd'!$B$117:$AL$117,0))*1000*About!$A$33)*(About!$A$39)</f>
        <v>1243057.1568441805</v>
      </c>
      <c r="C7" s="4">
        <f>('Anexo Tabla 4.2.11.'!$C$6*INDEX('Cost Improvement and Off Wnd'!$B$118:$AL$126,MATCH("natural gas nonpeaker",'Cost Improvement and Off Wnd'!$A$118:$A$126,0),MATCH('CCaMC-BCCpUC'!$A7,'Cost Improvement and Off Wnd'!$B$117:$AL$117,0))*1000*About!$A$33)*(About!$A$39)</f>
        <v>872056.59538526309</v>
      </c>
      <c r="D7" s="4">
        <f>('Anexo Tabla 4.2.11.'!$C$11*INDEX('Cost Improvement and Off Wnd'!$B$118:$AL$126,MATCH("nuclear",'Cost Improvement and Off Wnd'!$A$118:$A$126,0),MATCH('CCaMC-BCCpUC'!$A7,'Cost Improvement and Off Wnd'!$B$117:$AL$117,0))*1000*About!$A$33)*(About!$A$39)</f>
        <v>3679338.5999999996</v>
      </c>
      <c r="E7" s="4">
        <f>('Anexo Tabla 4.2.11.'!$C$10*INDEX('Cost Improvement and Off Wnd'!$B$118:$AL$126,MATCH("hydro",'Cost Improvement and Off Wnd'!$A$118:$A$126,0),MATCH('CCaMC-BCCpUC'!$A7,'Cost Improvement and Off Wnd'!$B$117:$AL$117,0))*1000*About!$A$33)*(About!$A$39)</f>
        <v>1715027.8835441088</v>
      </c>
      <c r="F7" s="4">
        <v>0</v>
      </c>
      <c r="G7" s="4">
        <v>0</v>
      </c>
      <c r="H7" s="4">
        <f>('Anexo Tabla 4.2.11.'!$C$14*INDEX('Cost Improvement and Off Wnd'!$B$118:$AL$126,MATCH("solar thermal",'Cost Improvement and Off Wnd'!$A$118:$A$126,0),MATCH('CCaMC-BCCpUC'!$A7,'Cost Improvement and Off Wnd'!$B$117:$AL$117,0))*1000*About!$A$33)*(About!$A$39)</f>
        <v>4520865.0442477865</v>
      </c>
      <c r="I7" s="61">
        <f>'EIA Costs'!$D$14*INDEX('Cost Improvement and Off Wnd'!$B$118:$AL$126,MATCH("biomass",'Cost Improvement and Off Wnd'!$A$118:$A$126,0),MATCH('CCaMC-BCCpUC'!$A7,'Cost Improvement and Off Wnd'!$B$117:$AL$117,0))*1000*About!$A$33</f>
        <v>3529549.3347471482</v>
      </c>
      <c r="J7" s="4">
        <f>('Anexo Tabla 4.2.11.'!$C$9*INDEX('Cost Improvement and Off Wnd'!$B$118:$AL$126,MATCH("geothermal",'Cost Improvement and Off Wnd'!$A$118:$A$126,0),MATCH('CCaMC-BCCpUC'!$A7,'Cost Improvement and Off Wnd'!$B$117:$AL$117,0))*1000*About!$A$33)*(About!$A$39)</f>
        <v>1722755.2842499998</v>
      </c>
      <c r="K7" s="4">
        <f>('Anexo Tabla 4.2.11.'!$C$13*INDEX('Cost Improvement and Off Wnd'!$B$118:$AL$126,MATCH("natural gas peaker",'Cost Improvement and Off Wnd'!$A$118:$A$126,0),MATCH('CCaMC-BCCpUC'!$A7,'Cost Improvement and Off Wnd'!$B$117:$AL$117,0))*1000*About!$A$33)*(About!$A$39)</f>
        <v>1465345.58566711</v>
      </c>
      <c r="L7" s="4">
        <f>('Anexo Tabla 4.2.11.'!$C$15*INDEX('Cost Improvement and Off Wnd'!$B$118:$AL$126,MATCH("natural gas peaker",'Cost Improvement and Off Wnd'!$A$118:$A$126,0),MATCH('CCaMC-BCCpUC'!$A7,'Cost Improvement and Off Wnd'!$B$117:$AL$117,0))*1000*About!$A$33)*(About!$A$39)</f>
        <v>726522.25289272796</v>
      </c>
      <c r="M7" s="4">
        <f>(B7*'Coal Cost Multipliers'!$B$33)*(About!$A$39)</f>
        <v>1368599.9211635017</v>
      </c>
      <c r="N7" s="4">
        <v>0</v>
      </c>
    </row>
    <row r="8" spans="1:14">
      <c r="A8" s="1">
        <v>2023</v>
      </c>
      <c r="B8" s="4">
        <f>('Anexo Tabla 4.2.11.'!$C$5*INDEX('Cost Improvement and Off Wnd'!$B$118:$AL$126,MATCH("coal",'Cost Improvement and Off Wnd'!$A$118:$A$126,0),MATCH('CCaMC-BCCpUC'!$A8,'Cost Improvement and Off Wnd'!$B$117:$AL$117,0))*1000*About!$A$33)*(About!$A$39)</f>
        <v>1236690.811345262</v>
      </c>
      <c r="C8" s="4">
        <f>('Anexo Tabla 4.2.11.'!$C$6*INDEX('Cost Improvement and Off Wnd'!$B$118:$AL$126,MATCH("natural gas nonpeaker",'Cost Improvement and Off Wnd'!$A$118:$A$126,0),MATCH('CCaMC-BCCpUC'!$A8,'Cost Improvement and Off Wnd'!$B$117:$AL$117,0))*1000*About!$A$33)*(About!$A$39)</f>
        <v>869474.14791185327</v>
      </c>
      <c r="D8" s="4">
        <f>('Anexo Tabla 4.2.11.'!$C$11*INDEX('Cost Improvement and Off Wnd'!$B$118:$AL$126,MATCH("nuclear",'Cost Improvement and Off Wnd'!$A$118:$A$126,0),MATCH('CCaMC-BCCpUC'!$A8,'Cost Improvement and Off Wnd'!$B$117:$AL$117,0))*1000*About!$A$33)*(About!$A$39)</f>
        <v>3659799.7576992041</v>
      </c>
      <c r="E8" s="4">
        <f>('Anexo Tabla 4.2.11.'!$C$10*INDEX('Cost Improvement and Off Wnd'!$B$118:$AL$126,MATCH("hydro",'Cost Improvement and Off Wnd'!$A$118:$A$126,0),MATCH('CCaMC-BCCpUC'!$A8,'Cost Improvement and Off Wnd'!$B$117:$AL$117,0))*1000*About!$A$33)*(About!$A$39)</f>
        <v>1705536.680399115</v>
      </c>
      <c r="F8" s="4">
        <v>0</v>
      </c>
      <c r="G8" s="4">
        <v>0</v>
      </c>
      <c r="H8" s="4">
        <f>('Anexo Tabla 4.2.11.'!$C$14*INDEX('Cost Improvement and Off Wnd'!$B$118:$AL$126,MATCH("solar thermal",'Cost Improvement and Off Wnd'!$A$118:$A$126,0),MATCH('CCaMC-BCCpUC'!$A8,'Cost Improvement and Off Wnd'!$B$117:$AL$117,0))*1000*About!$A$33)*(About!$A$39)</f>
        <v>4374386.3938053083</v>
      </c>
      <c r="I8" s="61">
        <f>'EIA Costs'!$D$14*INDEX('Cost Improvement and Off Wnd'!$B$118:$AL$126,MATCH("biomass",'Cost Improvement and Off Wnd'!$A$118:$A$126,0),MATCH('CCaMC-BCCpUC'!$A8,'Cost Improvement and Off Wnd'!$B$117:$AL$117,0))*1000*About!$A$33</f>
        <v>3519555.68758268</v>
      </c>
      <c r="J8" s="4">
        <f>('Anexo Tabla 4.2.11.'!$C$9*INDEX('Cost Improvement and Off Wnd'!$B$118:$AL$126,MATCH("geothermal",'Cost Improvement and Off Wnd'!$A$118:$A$126,0),MATCH('CCaMC-BCCpUC'!$A8,'Cost Improvement and Off Wnd'!$B$117:$AL$117,0))*1000*About!$A$33)*(About!$A$39)</f>
        <v>1719850.1319999998</v>
      </c>
      <c r="K8" s="4">
        <f>('Anexo Tabla 4.2.11.'!$C$13*INDEX('Cost Improvement and Off Wnd'!$B$118:$AL$126,MATCH("natural gas peaker",'Cost Improvement and Off Wnd'!$A$118:$A$126,0),MATCH('CCaMC-BCCpUC'!$A8,'Cost Improvement and Off Wnd'!$B$117:$AL$117,0))*1000*About!$A$33)*(About!$A$39)</f>
        <v>1460882.8915970239</v>
      </c>
      <c r="L8" s="4">
        <f>('Anexo Tabla 4.2.11.'!$C$15*INDEX('Cost Improvement and Off Wnd'!$B$118:$AL$126,MATCH("natural gas peaker",'Cost Improvement and Off Wnd'!$A$118:$A$126,0),MATCH('CCaMC-BCCpUC'!$A8,'Cost Improvement and Off Wnd'!$B$117:$AL$117,0))*1000*About!$A$33)*(About!$A$39)</f>
        <v>724309.63726029068</v>
      </c>
      <c r="M8" s="4">
        <f>(B8*'Coal Cost Multipliers'!$B$33)*(About!$A$39)</f>
        <v>1361590.6055419743</v>
      </c>
      <c r="N8" s="4">
        <v>0</v>
      </c>
    </row>
    <row r="9" spans="1:14">
      <c r="A9" s="1">
        <v>2024</v>
      </c>
      <c r="B9" s="4">
        <f>('Anexo Tabla 4.2.11.'!$C$5*INDEX('Cost Improvement and Off Wnd'!$B$118:$AL$126,MATCH("coal",'Cost Improvement and Off Wnd'!$A$118:$A$126,0),MATCH('CCaMC-BCCpUC'!$A9,'Cost Improvement and Off Wnd'!$B$117:$AL$117,0))*1000*About!$A$33)*(About!$A$39)</f>
        <v>1228940.8312831954</v>
      </c>
      <c r="C9" s="4">
        <f>('Anexo Tabla 4.2.11.'!$C$6*INDEX('Cost Improvement and Off Wnd'!$B$118:$AL$126,MATCH("natural gas nonpeaker",'Cost Improvement and Off Wnd'!$A$118:$A$126,0),MATCH('CCaMC-BCCpUC'!$A9,'Cost Improvement and Off Wnd'!$B$117:$AL$117,0))*1000*About!$A$33)*(About!$A$39)</f>
        <v>866892.88617219659</v>
      </c>
      <c r="D9" s="4">
        <f>('Anexo Tabla 4.2.11.'!$C$11*INDEX('Cost Improvement and Off Wnd'!$B$118:$AL$126,MATCH("nuclear",'Cost Improvement and Off Wnd'!$A$118:$A$126,0),MATCH('CCaMC-BCCpUC'!$A9,'Cost Improvement and Off Wnd'!$B$117:$AL$117,0))*1000*About!$A$33)*(About!$A$39)</f>
        <v>3640264.9861259125</v>
      </c>
      <c r="E9" s="4">
        <f>('Anexo Tabla 4.2.11.'!$C$10*INDEX('Cost Improvement and Off Wnd'!$B$118:$AL$126,MATCH("hydro",'Cost Improvement and Off Wnd'!$A$118:$A$126,0),MATCH('CCaMC-BCCpUC'!$A9,'Cost Improvement and Off Wnd'!$B$117:$AL$117,0))*1000*About!$A$33)*(About!$A$39)</f>
        <v>1696045.4772541216</v>
      </c>
      <c r="F9" s="4">
        <v>0</v>
      </c>
      <c r="G9" s="4">
        <v>0</v>
      </c>
      <c r="H9" s="4">
        <f>('Anexo Tabla 4.2.11.'!$C$14*INDEX('Cost Improvement and Off Wnd'!$B$118:$AL$126,MATCH("solar thermal",'Cost Improvement and Off Wnd'!$A$118:$A$126,0),MATCH('CCaMC-BCCpUC'!$A9,'Cost Improvement and Off Wnd'!$B$117:$AL$117,0))*1000*About!$A$33)*(About!$A$39)</f>
        <v>4227907.743362831</v>
      </c>
      <c r="I9" s="61">
        <f>'EIA Costs'!$D$14*INDEX('Cost Improvement and Off Wnd'!$B$118:$AL$126,MATCH("biomass",'Cost Improvement and Off Wnd'!$A$118:$A$126,0),MATCH('CCaMC-BCCpUC'!$A9,'Cost Improvement and Off Wnd'!$B$117:$AL$117,0))*1000*About!$A$33</f>
        <v>3509566.3027282432</v>
      </c>
      <c r="J9" s="4">
        <f>('Anexo Tabla 4.2.11.'!$C$9*INDEX('Cost Improvement and Off Wnd'!$B$118:$AL$126,MATCH("geothermal",'Cost Improvement and Off Wnd'!$A$118:$A$126,0),MATCH('CCaMC-BCCpUC'!$A9,'Cost Improvement and Off Wnd'!$B$117:$AL$117,0))*1000*About!$A$33)*(About!$A$39)</f>
        <v>1716944.9797500002</v>
      </c>
      <c r="K9" s="4">
        <f>('Anexo Tabla 4.2.11.'!$C$13*INDEX('Cost Improvement and Off Wnd'!$B$118:$AL$126,MATCH("natural gas peaker",'Cost Improvement and Off Wnd'!$A$118:$A$126,0),MATCH('CCaMC-BCCpUC'!$A9,'Cost Improvement and Off Wnd'!$B$117:$AL$117,0))*1000*About!$A$33)*(About!$A$39)</f>
        <v>1456421.9096033084</v>
      </c>
      <c r="L9" s="4">
        <f>('Anexo Tabla 4.2.11.'!$C$15*INDEX('Cost Improvement and Off Wnd'!$B$118:$AL$126,MATCH("natural gas peaker",'Cost Improvement and Off Wnd'!$A$118:$A$126,0),MATCH('CCaMC-BCCpUC'!$A9,'Cost Improvement and Off Wnd'!$B$117:$AL$117,0))*1000*About!$A$33)*(About!$A$39)</f>
        <v>722097.87047988817</v>
      </c>
      <c r="M9" s="4">
        <f>(B9*'Coal Cost Multipliers'!$B$33)*(About!$A$39)</f>
        <v>1353057.9149544467</v>
      </c>
      <c r="N9" s="4">
        <v>0</v>
      </c>
    </row>
    <row r="10" spans="1:14">
      <c r="A10" s="1">
        <v>2025</v>
      </c>
      <c r="B10" s="4">
        <f>('Anexo Tabla 4.2.11.'!$C$5*INDEX('Cost Improvement and Off Wnd'!$B$118:$AL$126,MATCH("coal",'Cost Improvement and Off Wnd'!$A$118:$A$126,0),MATCH('CCaMC-BCCpUC'!$A10,'Cost Improvement and Off Wnd'!$B$117:$AL$117,0))*1000*About!$A$33)*(About!$A$39)</f>
        <v>1222261.1668001905</v>
      </c>
      <c r="C10" s="4">
        <f>('Anexo Tabla 4.2.11.'!$C$6*INDEX('Cost Improvement and Off Wnd'!$B$118:$AL$126,MATCH("natural gas nonpeaker",'Cost Improvement and Off Wnd'!$A$118:$A$126,0),MATCH('CCaMC-BCCpUC'!$A10,'Cost Improvement and Off Wnd'!$B$117:$AL$117,0))*1000*About!$A$33)*(About!$A$39)</f>
        <v>864196.91149313201</v>
      </c>
      <c r="D10" s="4">
        <f>('Anexo Tabla 4.2.11.'!$C$11*INDEX('Cost Improvement and Off Wnd'!$B$118:$AL$126,MATCH("nuclear",'Cost Improvement and Off Wnd'!$A$118:$A$126,0),MATCH('CCaMC-BCCpUC'!$A10,'Cost Improvement and Off Wnd'!$B$117:$AL$117,0))*1000*About!$A$33)*(About!$A$39)</f>
        <v>3620726.6606433014</v>
      </c>
      <c r="E10" s="4">
        <f>('Anexo Tabla 4.2.11.'!$C$10*INDEX('Cost Improvement and Off Wnd'!$B$118:$AL$126,MATCH("hydro",'Cost Improvement and Off Wnd'!$A$118:$A$126,0),MATCH('CCaMC-BCCpUC'!$A10,'Cost Improvement and Off Wnd'!$B$117:$AL$117,0))*1000*About!$A$33)*(About!$A$39)</f>
        <v>1686558.5951378664</v>
      </c>
      <c r="F10" s="4">
        <v>0</v>
      </c>
      <c r="G10" s="4">
        <v>0</v>
      </c>
      <c r="H10" s="4">
        <f>('Anexo Tabla 4.2.11.'!$C$14*INDEX('Cost Improvement and Off Wnd'!$B$118:$AL$126,MATCH("solar thermal",'Cost Improvement and Off Wnd'!$A$118:$A$126,0),MATCH('CCaMC-BCCpUC'!$A10,'Cost Improvement and Off Wnd'!$B$117:$AL$117,0))*1000*About!$A$33)*(About!$A$39)</f>
        <v>4081429.0929203541</v>
      </c>
      <c r="I10" s="61">
        <f>'EIA Costs'!$D$14*INDEX('Cost Improvement and Off Wnd'!$B$118:$AL$126,MATCH("biomass",'Cost Improvement and Off Wnd'!$A$118:$A$126,0),MATCH('CCaMC-BCCpUC'!$A10,'Cost Improvement and Off Wnd'!$B$117:$AL$117,0))*1000*About!$A$33</f>
        <v>3499572.9801377142</v>
      </c>
      <c r="J10" s="4">
        <f>('Anexo Tabla 4.2.11.'!$C$9*INDEX('Cost Improvement and Off Wnd'!$B$118:$AL$126,MATCH("geothermal",'Cost Improvement and Off Wnd'!$A$118:$A$126,0),MATCH('CCaMC-BCCpUC'!$A10,'Cost Improvement and Off Wnd'!$B$117:$AL$117,0))*1000*About!$A$33)*(About!$A$39)</f>
        <v>1714039.8275000001</v>
      </c>
      <c r="K10" s="4">
        <f>('Anexo Tabla 4.2.11.'!$C$13*INDEX('Cost Improvement and Off Wnd'!$B$118:$AL$126,MATCH("natural gas peaker",'Cost Improvement and Off Wnd'!$A$118:$A$126,0),MATCH('CCaMC-BCCpUC'!$A10,'Cost Improvement and Off Wnd'!$B$117:$AL$117,0))*1000*About!$A$33)*(About!$A$39)</f>
        <v>1451730.6755951282</v>
      </c>
      <c r="L10" s="4">
        <f>('Anexo Tabla 4.2.11.'!$C$15*INDEX('Cost Improvement and Off Wnd'!$B$118:$AL$126,MATCH("natural gas peaker",'Cost Improvement and Off Wnd'!$A$118:$A$126,0),MATCH('CCaMC-BCCpUC'!$A10,'Cost Improvement and Off Wnd'!$B$117:$AL$117,0))*1000*About!$A$33)*(About!$A$39)</f>
        <v>719771.94413609104</v>
      </c>
      <c r="M10" s="4">
        <f>(B10*'Coal Cost Multipliers'!$B$33)*(About!$A$39)</f>
        <v>1345703.6366459192</v>
      </c>
      <c r="N10" s="4">
        <v>0</v>
      </c>
    </row>
    <row r="11" spans="1:14">
      <c r="A11" s="1">
        <v>2026</v>
      </c>
      <c r="B11" s="4">
        <f>('Anexo Tabla 4.2.11.'!$C$5*INDEX('Cost Improvement and Off Wnd'!$B$118:$AL$126,MATCH("coal",'Cost Improvement and Off Wnd'!$A$118:$A$126,0),MATCH('CCaMC-BCCpUC'!$A11,'Cost Improvement and Off Wnd'!$B$117:$AL$117,0))*1000*About!$A$33)*(About!$A$39)</f>
        <v>1214266.5771671399</v>
      </c>
      <c r="C11" s="4">
        <f>('Anexo Tabla 4.2.11.'!$C$6*INDEX('Cost Improvement and Off Wnd'!$B$118:$AL$126,MATCH("natural gas nonpeaker",'Cost Improvement and Off Wnd'!$A$118:$A$126,0),MATCH('CCaMC-BCCpUC'!$A11,'Cost Improvement and Off Wnd'!$B$117:$AL$117,0))*1000*About!$A$33)*(About!$A$39)</f>
        <v>856496.04929151363</v>
      </c>
      <c r="D11" s="4">
        <f>('Anexo Tabla 4.2.11.'!$C$11*INDEX('Cost Improvement and Off Wnd'!$B$118:$AL$126,MATCH("nuclear",'Cost Improvement and Off Wnd'!$A$118:$A$126,0),MATCH('CCaMC-BCCpUC'!$A11,'Cost Improvement and Off Wnd'!$B$117:$AL$117,0))*1000*About!$A$33)*(About!$A$39)</f>
        <v>3601191.5109902075</v>
      </c>
      <c r="E11" s="4">
        <f>('Anexo Tabla 4.2.11.'!$C$10*INDEX('Cost Improvement and Off Wnd'!$B$118:$AL$126,MATCH("hydro",'Cost Improvement and Off Wnd'!$A$118:$A$126,0),MATCH('CCaMC-BCCpUC'!$A11,'Cost Improvement and Off Wnd'!$B$117:$AL$117,0))*1000*About!$A$33)*(About!$A$39)</f>
        <v>1677071.7130216116</v>
      </c>
      <c r="F11" s="4">
        <v>0</v>
      </c>
      <c r="G11" s="4">
        <v>0</v>
      </c>
      <c r="H11" s="4">
        <f>('Anexo Tabla 4.2.11.'!$C$14*INDEX('Cost Improvement and Off Wnd'!$B$118:$AL$126,MATCH("solar thermal",'Cost Improvement and Off Wnd'!$A$118:$A$126,0),MATCH('CCaMC-BCCpUC'!$A11,'Cost Improvement and Off Wnd'!$B$117:$AL$117,0))*1000*About!$A$33)*(About!$A$39)</f>
        <v>4016272.2053793203</v>
      </c>
      <c r="I11" s="61">
        <f>'EIA Costs'!$D$14*INDEX('Cost Improvement and Off Wnd'!$B$118:$AL$126,MATCH("biomass",'Cost Improvement and Off Wnd'!$A$118:$A$126,0),MATCH('CCaMC-BCCpUC'!$A11,'Cost Improvement and Off Wnd'!$B$117:$AL$117,0))*1000*About!$A$33</f>
        <v>3489583.4989846051</v>
      </c>
      <c r="J11" s="4">
        <f>('Anexo Tabla 4.2.11.'!$C$9*INDEX('Cost Improvement and Off Wnd'!$B$118:$AL$126,MATCH("geothermal",'Cost Improvement and Off Wnd'!$A$118:$A$126,0),MATCH('CCaMC-BCCpUC'!$A11,'Cost Improvement and Off Wnd'!$B$117:$AL$117,0))*1000*About!$A$33)*(About!$A$39)</f>
        <v>1711134.6752499996</v>
      </c>
      <c r="K11" s="4">
        <f>('Anexo Tabla 4.2.11.'!$C$13*INDEX('Cost Improvement and Off Wnd'!$B$118:$AL$126,MATCH("natural gas peaker",'Cost Improvement and Off Wnd'!$A$118:$A$126,0),MATCH('CCaMC-BCCpUC'!$A11,'Cost Improvement and Off Wnd'!$B$117:$AL$117,0))*1000*About!$A$33)*(About!$A$39)</f>
        <v>1436954.2655505482</v>
      </c>
      <c r="L11" s="4">
        <f>('Anexo Tabla 4.2.11.'!$C$15*INDEX('Cost Improvement and Off Wnd'!$B$118:$AL$126,MATCH("natural gas peaker",'Cost Improvement and Off Wnd'!$A$118:$A$126,0),MATCH('CCaMC-BCCpUC'!$A11,'Cost Improvement and Off Wnd'!$B$117:$AL$117,0))*1000*About!$A$33)*(About!$A$39)</f>
        <v>712445.76059259067</v>
      </c>
      <c r="M11" s="4">
        <f>(B11*'Coal Cost Multipliers'!$B$33)*(About!$A$39)</f>
        <v>1336901.632103099</v>
      </c>
      <c r="N11" s="4">
        <v>0</v>
      </c>
    </row>
    <row r="12" spans="1:14">
      <c r="A12" s="1">
        <v>2027</v>
      </c>
      <c r="B12" s="4">
        <f>('Anexo Tabla 4.2.11.'!$C$5*INDEX('Cost Improvement and Off Wnd'!$B$118:$AL$126,MATCH("coal",'Cost Improvement and Off Wnd'!$A$118:$A$126,0),MATCH('CCaMC-BCCpUC'!$A12,'Cost Improvement and Off Wnd'!$B$117:$AL$117,0))*1000*About!$A$33)*(About!$A$39)</f>
        <v>1204457.3922962325</v>
      </c>
      <c r="C12" s="4">
        <f>('Anexo Tabla 4.2.11.'!$C$6*INDEX('Cost Improvement and Off Wnd'!$B$118:$AL$126,MATCH("natural gas nonpeaker",'Cost Improvement and Off Wnd'!$A$118:$A$126,0),MATCH('CCaMC-BCCpUC'!$A12,'Cost Improvement and Off Wnd'!$B$117:$AL$117,0))*1000*About!$A$33)*(About!$A$39)</f>
        <v>850561.82182691107</v>
      </c>
      <c r="D12" s="4">
        <f>('Anexo Tabla 4.2.11.'!$C$11*INDEX('Cost Improvement and Off Wnd'!$B$118:$AL$126,MATCH("nuclear",'Cost Improvement and Off Wnd'!$A$118:$A$126,0),MATCH('CCaMC-BCCpUC'!$A12,'Cost Improvement and Off Wnd'!$B$117:$AL$117,0))*1000*About!$A$33)*(About!$A$39)</f>
        <v>3581654.5976749575</v>
      </c>
      <c r="E12" s="4">
        <f>('Anexo Tabla 4.2.11.'!$C$10*INDEX('Cost Improvement and Off Wnd'!$B$118:$AL$126,MATCH("hydro",'Cost Improvement and Off Wnd'!$A$118:$A$126,0),MATCH('CCaMC-BCCpUC'!$A12,'Cost Improvement and Off Wnd'!$B$117:$AL$117,0))*1000*About!$A$33)*(About!$A$39)</f>
        <v>1667589.1300852529</v>
      </c>
      <c r="F12" s="4">
        <v>0</v>
      </c>
      <c r="G12" s="4">
        <v>0</v>
      </c>
      <c r="H12" s="4">
        <f>('Anexo Tabla 4.2.11.'!$C$14*INDEX('Cost Improvement and Off Wnd'!$B$118:$AL$126,MATCH("solar thermal",'Cost Improvement and Off Wnd'!$A$118:$A$126,0),MATCH('CCaMC-BCCpUC'!$A12,'Cost Improvement and Off Wnd'!$B$117:$AL$117,0))*1000*About!$A$33)*(About!$A$39)</f>
        <v>3952440.4960989235</v>
      </c>
      <c r="I12" s="61">
        <f>'EIA Costs'!$D$14*INDEX('Cost Improvement and Off Wnd'!$B$118:$AL$126,MATCH("biomass",'Cost Improvement and Off Wnd'!$A$118:$A$126,0),MATCH('CCaMC-BCCpUC'!$A12,'Cost Improvement and Off Wnd'!$B$117:$AL$117,0))*1000*About!$A$33</f>
        <v>3479591.4337126394</v>
      </c>
      <c r="J12" s="4">
        <f>('Anexo Tabla 4.2.11.'!$C$9*INDEX('Cost Improvement and Off Wnd'!$B$118:$AL$126,MATCH("geothermal",'Cost Improvement and Off Wnd'!$A$118:$A$126,0),MATCH('CCaMC-BCCpUC'!$A12,'Cost Improvement and Off Wnd'!$B$117:$AL$117,0))*1000*About!$A$33)*(About!$A$39)</f>
        <v>1708229.523</v>
      </c>
      <c r="K12" s="4">
        <f>('Anexo Tabla 4.2.11.'!$C$13*INDEX('Cost Improvement and Off Wnd'!$B$118:$AL$126,MATCH("natural gas peaker",'Cost Improvement and Off Wnd'!$A$118:$A$126,0),MATCH('CCaMC-BCCpUC'!$A12,'Cost Improvement and Off Wnd'!$B$117:$AL$117,0))*1000*About!$A$33)*(About!$A$39)</f>
        <v>1425737.6613516165</v>
      </c>
      <c r="L12" s="4">
        <f>('Anexo Tabla 4.2.11.'!$C$15*INDEX('Cost Improvement and Off Wnd'!$B$118:$AL$126,MATCH("natural gas peaker",'Cost Improvement and Off Wnd'!$A$118:$A$126,0),MATCH('CCaMC-BCCpUC'!$A12,'Cost Improvement and Off Wnd'!$B$117:$AL$117,0))*1000*About!$A$33)*(About!$A$39)</f>
        <v>706884.53828972776</v>
      </c>
      <c r="M12" s="4">
        <f>(B12*'Coal Cost Multipliers'!$B$33)*(About!$A$39)</f>
        <v>1326101.7669745442</v>
      </c>
      <c r="N12" s="4">
        <v>0</v>
      </c>
    </row>
    <row r="13" spans="1:14">
      <c r="A13" s="1">
        <v>2028</v>
      </c>
      <c r="B13" s="4">
        <f>('Anexo Tabla 4.2.11.'!$C$5*INDEX('Cost Improvement and Off Wnd'!$B$118:$AL$126,MATCH("coal",'Cost Improvement and Off Wnd'!$A$118:$A$126,0),MATCH('CCaMC-BCCpUC'!$A13,'Cost Improvement and Off Wnd'!$B$117:$AL$117,0))*1000*About!$A$33)*(About!$A$39)</f>
        <v>1197817.8295837587</v>
      </c>
      <c r="C13" s="4">
        <f>('Anexo Tabla 4.2.11.'!$C$6*INDEX('Cost Improvement and Off Wnd'!$B$118:$AL$126,MATCH("natural gas nonpeaker",'Cost Improvement and Off Wnd'!$A$118:$A$126,0),MATCH('CCaMC-BCCpUC'!$A13,'Cost Improvement and Off Wnd'!$B$117:$AL$117,0))*1000*About!$A$33)*(About!$A$39)</f>
        <v>845059.63519311696</v>
      </c>
      <c r="D13" s="4">
        <f>('Anexo Tabla 4.2.11.'!$C$11*INDEX('Cost Improvement and Off Wnd'!$B$118:$AL$126,MATCH("nuclear",'Cost Improvement and Off Wnd'!$A$118:$A$126,0),MATCH('CCaMC-BCCpUC'!$A13,'Cost Improvement and Off Wnd'!$B$117:$AL$117,0))*1000*About!$A$33)*(About!$A$39)</f>
        <v>3562116.9108131197</v>
      </c>
      <c r="E13" s="4">
        <f>('Anexo Tabla 4.2.11.'!$C$10*INDEX('Cost Improvement and Off Wnd'!$B$118:$AL$126,MATCH("hydro",'Cost Improvement and Off Wnd'!$A$118:$A$126,0),MATCH('CCaMC-BCCpUC'!$A13,'Cost Improvement and Off Wnd'!$B$117:$AL$117,0))*1000*About!$A$33)*(About!$A$39)</f>
        <v>1658106.5471488943</v>
      </c>
      <c r="F13" s="4">
        <v>0</v>
      </c>
      <c r="G13" s="4">
        <v>0</v>
      </c>
      <c r="H13" s="4">
        <f>('Anexo Tabla 4.2.11.'!$C$14*INDEX('Cost Improvement and Off Wnd'!$B$118:$AL$126,MATCH("solar thermal",'Cost Improvement and Off Wnd'!$A$118:$A$126,0),MATCH('CCaMC-BCCpUC'!$A13,'Cost Improvement and Off Wnd'!$B$117:$AL$117,0))*1000*About!$A$33)*(About!$A$39)</f>
        <v>3889744.45024978</v>
      </c>
      <c r="I13" s="61">
        <f>'EIA Costs'!$D$14*INDEX('Cost Improvement and Off Wnd'!$B$118:$AL$126,MATCH("biomass",'Cost Improvement and Off Wnd'!$A$118:$A$126,0),MATCH('CCaMC-BCCpUC'!$A13,'Cost Improvement and Off Wnd'!$B$117:$AL$117,0))*1000*About!$A$33</f>
        <v>3469599.1172907539</v>
      </c>
      <c r="J13" s="4">
        <f>('Anexo Tabla 4.2.11.'!$C$9*INDEX('Cost Improvement and Off Wnd'!$B$118:$AL$126,MATCH("geothermal",'Cost Improvement and Off Wnd'!$A$118:$A$126,0),MATCH('CCaMC-BCCpUC'!$A13,'Cost Improvement and Off Wnd'!$B$117:$AL$117,0))*1000*About!$A$33)*(About!$A$39)</f>
        <v>1705324.3707499995</v>
      </c>
      <c r="K13" s="4">
        <f>('Anexo Tabla 4.2.11.'!$C$13*INDEX('Cost Improvement and Off Wnd'!$B$118:$AL$126,MATCH("natural gas peaker",'Cost Improvement and Off Wnd'!$A$118:$A$126,0),MATCH('CCaMC-BCCpUC'!$A13,'Cost Improvement and Off Wnd'!$B$117:$AL$117,0))*1000*About!$A$33)*(About!$A$39)</f>
        <v>1415391.7867671819</v>
      </c>
      <c r="L13" s="4">
        <f>('Anexo Tabla 4.2.11.'!$C$15*INDEX('Cost Improvement and Off Wnd'!$B$118:$AL$126,MATCH("natural gas peaker",'Cost Improvement and Off Wnd'!$A$118:$A$126,0),MATCH('CCaMC-BCCpUC'!$A13,'Cost Improvement and Off Wnd'!$B$117:$AL$117,0))*1000*About!$A$33)*(About!$A$39)</f>
        <v>701755.02605401364</v>
      </c>
      <c r="M13" s="4">
        <f>(B13*'Coal Cost Multipliers'!$B$33)*(About!$A$39)</f>
        <v>1318791.6405215329</v>
      </c>
      <c r="N13" s="4">
        <v>0</v>
      </c>
    </row>
    <row r="14" spans="1:14">
      <c r="A14" s="1">
        <v>2029</v>
      </c>
      <c r="B14" s="4">
        <f>('Anexo Tabla 4.2.11.'!$C$5*INDEX('Cost Improvement and Off Wnd'!$B$118:$AL$126,MATCH("coal",'Cost Improvement and Off Wnd'!$A$118:$A$126,0),MATCH('CCaMC-BCCpUC'!$A14,'Cost Improvement and Off Wnd'!$B$117:$AL$117,0))*1000*About!$A$33)*(About!$A$39)</f>
        <v>1189811.4510639843</v>
      </c>
      <c r="C14" s="4">
        <f>('Anexo Tabla 4.2.11.'!$C$6*INDEX('Cost Improvement and Off Wnd'!$B$118:$AL$126,MATCH("natural gas nonpeaker",'Cost Improvement and Off Wnd'!$A$118:$A$126,0),MATCH('CCaMC-BCCpUC'!$A14,'Cost Improvement and Off Wnd'!$B$117:$AL$117,0))*1000*About!$A$33)*(About!$A$39)</f>
        <v>841146.47525654896</v>
      </c>
      <c r="D14" s="4">
        <f>('Anexo Tabla 4.2.11.'!$C$11*INDEX('Cost Improvement and Off Wnd'!$B$118:$AL$126,MATCH("nuclear",'Cost Improvement and Off Wnd'!$A$118:$A$126,0),MATCH('CCaMC-BCCpUC'!$A14,'Cost Improvement and Off Wnd'!$B$117:$AL$117,0))*1000*About!$A$33)*(About!$A$39)</f>
        <v>3542582.3367096358</v>
      </c>
      <c r="E14" s="4">
        <f>('Anexo Tabla 4.2.11.'!$C$10*INDEX('Cost Improvement and Off Wnd'!$B$118:$AL$126,MATCH("hydro",'Cost Improvement and Off Wnd'!$A$118:$A$126,0),MATCH('CCaMC-BCCpUC'!$A14,'Cost Improvement and Off Wnd'!$B$117:$AL$117,0))*1000*About!$A$33)*(About!$A$39)</f>
        <v>1648628.2415435903</v>
      </c>
      <c r="F14" s="4">
        <v>0</v>
      </c>
      <c r="G14" s="4">
        <v>0</v>
      </c>
      <c r="H14" s="4">
        <f>('Anexo Tabla 4.2.11.'!$C$14*INDEX('Cost Improvement and Off Wnd'!$B$118:$AL$126,MATCH("solar thermal",'Cost Improvement and Off Wnd'!$A$118:$A$126,0),MATCH('CCaMC-BCCpUC'!$A14,'Cost Improvement and Off Wnd'!$B$117:$AL$117,0))*1000*About!$A$33)*(About!$A$39)</f>
        <v>3828032.3935707267</v>
      </c>
      <c r="I14" s="61">
        <f>'EIA Costs'!$D$14*INDEX('Cost Improvement and Off Wnd'!$B$118:$AL$126,MATCH("biomass",'Cost Improvement and Off Wnd'!$A$118:$A$126,0),MATCH('CCaMC-BCCpUC'!$A14,'Cost Improvement and Off Wnd'!$B$117:$AL$117,0))*1000*About!$A$33</f>
        <v>3459609.8970702845</v>
      </c>
      <c r="J14" s="4">
        <f>('Anexo Tabla 4.2.11.'!$C$9*INDEX('Cost Improvement and Off Wnd'!$B$118:$AL$126,MATCH("geothermal",'Cost Improvement and Off Wnd'!$A$118:$A$126,0),MATCH('CCaMC-BCCpUC'!$A14,'Cost Improvement and Off Wnd'!$B$117:$AL$117,0))*1000*About!$A$33)*(About!$A$39)</f>
        <v>1702419.2185000004</v>
      </c>
      <c r="K14" s="4">
        <f>('Anexo Tabla 4.2.11.'!$C$13*INDEX('Cost Improvement and Off Wnd'!$B$118:$AL$126,MATCH("natural gas peaker",'Cost Improvement and Off Wnd'!$A$118:$A$126,0),MATCH('CCaMC-BCCpUC'!$A14,'Cost Improvement and Off Wnd'!$B$117:$AL$117,0))*1000*About!$A$33)*(About!$A$39)</f>
        <v>1408247.3012234776</v>
      </c>
      <c r="L14" s="4">
        <f>('Anexo Tabla 4.2.11.'!$C$15*INDEX('Cost Improvement and Off Wnd'!$B$118:$AL$126,MATCH("natural gas peaker",'Cost Improvement and Off Wnd'!$A$118:$A$126,0),MATCH('CCaMC-BCCpUC'!$A14,'Cost Improvement and Off Wnd'!$B$117:$AL$117,0))*1000*About!$A$33)*(About!$A$39)</f>
        <v>698212.77105031861</v>
      </c>
      <c r="M14" s="4">
        <f>(B14*'Coal Cost Multipliers'!$B$33)*(About!$A$39)</f>
        <v>1309976.6564714133</v>
      </c>
      <c r="N14" s="4">
        <v>0</v>
      </c>
    </row>
    <row r="15" spans="1:14">
      <c r="A15" s="1">
        <v>2030</v>
      </c>
      <c r="B15" s="4">
        <f>('Anexo Tabla 4.2.11.'!$C$5*INDEX('Cost Improvement and Off Wnd'!$B$118:$AL$126,MATCH("coal",'Cost Improvement and Off Wnd'!$A$118:$A$126,0),MATCH('CCaMC-BCCpUC'!$A15,'Cost Improvement and Off Wnd'!$B$117:$AL$117,0))*1000*About!$A$33)*(About!$A$39)</f>
        <v>1180951.5744961568</v>
      </c>
      <c r="C15" s="4">
        <f>('Anexo Tabla 4.2.11.'!$C$6*INDEX('Cost Improvement and Off Wnd'!$B$118:$AL$126,MATCH("natural gas nonpeaker",'Cost Improvement and Off Wnd'!$A$118:$A$126,0),MATCH('CCaMC-BCCpUC'!$A15,'Cost Improvement and Off Wnd'!$B$117:$AL$117,0))*1000*About!$A$33)*(About!$A$39)</f>
        <v>836987.12872338598</v>
      </c>
      <c r="D15" s="4">
        <f>('Anexo Tabla 4.2.11.'!$C$11*INDEX('Cost Improvement and Off Wnd'!$B$118:$AL$126,MATCH("nuclear",'Cost Improvement and Off Wnd'!$A$118:$A$126,0),MATCH('CCaMC-BCCpUC'!$A15,'Cost Improvement and Off Wnd'!$B$117:$AL$117,0))*1000*About!$A$33)*(About!$A$39)</f>
        <v>3523044.6905349577</v>
      </c>
      <c r="E15" s="4">
        <f>('Anexo Tabla 4.2.11.'!$C$10*INDEX('Cost Improvement and Off Wnd'!$B$118:$AL$126,MATCH("hydro",'Cost Improvement and Off Wnd'!$A$118:$A$126,0),MATCH('CCaMC-BCCpUC'!$A15,'Cost Improvement and Off Wnd'!$B$117:$AL$117,0))*1000*About!$A$33)*(About!$A$39)</f>
        <v>1639149.9359382857</v>
      </c>
      <c r="F15" s="4">
        <v>0</v>
      </c>
      <c r="G15" s="4">
        <v>0</v>
      </c>
      <c r="H15" s="4">
        <f>('Anexo Tabla 4.2.11.'!$C$14*INDEX('Cost Improvement and Off Wnd'!$B$118:$AL$126,MATCH("solar thermal",'Cost Improvement and Off Wnd'!$A$118:$A$126,0),MATCH('CCaMC-BCCpUC'!$A15,'Cost Improvement and Off Wnd'!$B$117:$AL$117,0))*1000*About!$A$33)*(About!$A$39)</f>
        <v>3767181.0467565032</v>
      </c>
      <c r="I15" s="61">
        <f>'EIA Costs'!$D$14*INDEX('Cost Improvement and Off Wnd'!$B$118:$AL$126,MATCH("biomass",'Cost Improvement and Off Wnd'!$A$118:$A$126,0),MATCH('CCaMC-BCCpUC'!$A15,'Cost Improvement and Off Wnd'!$B$117:$AL$117,0))*1000*About!$A$33</f>
        <v>3449617.6612474057</v>
      </c>
      <c r="J15" s="4">
        <f>('Anexo Tabla 4.2.11.'!$C$9*INDEX('Cost Improvement and Off Wnd'!$B$118:$AL$126,MATCH("geothermal",'Cost Improvement and Off Wnd'!$A$118:$A$126,0),MATCH('CCaMC-BCCpUC'!$A15,'Cost Improvement and Off Wnd'!$B$117:$AL$117,0))*1000*About!$A$33)*(About!$A$39)</f>
        <v>1699514.0662499999</v>
      </c>
      <c r="K15" s="4">
        <f>('Anexo Tabla 4.2.11.'!$C$13*INDEX('Cost Improvement and Off Wnd'!$B$118:$AL$126,MATCH("natural gas peaker",'Cost Improvement and Off Wnd'!$A$118:$A$126,0),MATCH('CCaMC-BCCpUC'!$A15,'Cost Improvement and Off Wnd'!$B$117:$AL$117,0))*1000*About!$A$33)*(About!$A$39)</f>
        <v>1400607.1979971139</v>
      </c>
      <c r="L15" s="4">
        <f>('Anexo Tabla 4.2.11.'!$C$15*INDEX('Cost Improvement and Off Wnd'!$B$118:$AL$126,MATCH("natural gas peaker",'Cost Improvement and Off Wnd'!$A$118:$A$126,0),MATCH('CCaMC-BCCpUC'!$A15,'Cost Improvement and Off Wnd'!$B$117:$AL$117,0))*1000*About!$A$33)*(About!$A$39)</f>
        <v>694424.78747658455</v>
      </c>
      <c r="M15" s="4">
        <f>(B15*'Coal Cost Multipliers'!$B$33)*(About!$A$39)</f>
        <v>1300221.9751959108</v>
      </c>
      <c r="N15" s="4">
        <v>0</v>
      </c>
    </row>
    <row r="16" spans="1:14">
      <c r="A16" s="1">
        <v>2031</v>
      </c>
      <c r="B16" s="4">
        <f>('Anexo Tabla 4.2.11.'!$C$5*INDEX('Cost Improvement and Off Wnd'!$B$118:$AL$126,MATCH("coal",'Cost Improvement and Off Wnd'!$A$118:$A$126,0),MATCH('CCaMC-BCCpUC'!$A16,'Cost Improvement and Off Wnd'!$B$117:$AL$117,0))*1000*About!$A$33)*(About!$A$39)</f>
        <v>1173007.9740289073</v>
      </c>
      <c r="C16" s="4">
        <f>('Anexo Tabla 4.2.11.'!$C$6*INDEX('Cost Improvement and Off Wnd'!$B$118:$AL$126,MATCH("natural gas nonpeaker",'Cost Improvement and Off Wnd'!$A$118:$A$126,0),MATCH('CCaMC-BCCpUC'!$A16,'Cost Improvement and Off Wnd'!$B$117:$AL$117,0))*1000*About!$A$33)*(About!$A$39)</f>
        <v>833214.55675121839</v>
      </c>
      <c r="D16" s="4">
        <f>('Anexo Tabla 4.2.11.'!$C$11*INDEX('Cost Improvement and Off Wnd'!$B$118:$AL$126,MATCH("nuclear",'Cost Improvement and Off Wnd'!$A$118:$A$126,0),MATCH('CCaMC-BCCpUC'!$A16,'Cost Improvement and Off Wnd'!$B$117:$AL$117,0))*1000*About!$A$33)*(About!$A$39)</f>
        <v>3503505.4339833646</v>
      </c>
      <c r="E16" s="4">
        <f>('Anexo Tabla 4.2.11.'!$C$10*INDEX('Cost Improvement and Off Wnd'!$B$118:$AL$126,MATCH("hydro",'Cost Improvement and Off Wnd'!$A$118:$A$126,0),MATCH('CCaMC-BCCpUC'!$A16,'Cost Improvement and Off Wnd'!$B$117:$AL$117,0))*1000*About!$A$33)*(About!$A$39)</f>
        <v>1629675.8858151936</v>
      </c>
      <c r="F16" s="4">
        <v>0</v>
      </c>
      <c r="G16" s="4">
        <v>0</v>
      </c>
      <c r="H16" s="4">
        <f>('Anexo Tabla 4.2.11.'!$C$14*INDEX('Cost Improvement and Off Wnd'!$B$118:$AL$126,MATCH("solar thermal",'Cost Improvement and Off Wnd'!$A$118:$A$126,0),MATCH('CCaMC-BCCpUC'!$A16,'Cost Improvement and Off Wnd'!$B$117:$AL$117,0))*1000*About!$A$33)*(About!$A$39)</f>
        <v>3755915.068659829</v>
      </c>
      <c r="I16" s="61">
        <f>'EIA Costs'!$D$14*INDEX('Cost Improvement and Off Wnd'!$B$118:$AL$126,MATCH("biomass",'Cost Improvement and Off Wnd'!$A$118:$A$126,0),MATCH('CCaMC-BCCpUC'!$A16,'Cost Improvement and Off Wnd'!$B$117:$AL$117,0))*1000*About!$A$33</f>
        <v>3439623.6560018696</v>
      </c>
      <c r="J16" s="4">
        <f>('Anexo Tabla 4.2.11.'!$C$9*INDEX('Cost Improvement and Off Wnd'!$B$118:$AL$126,MATCH("geothermal",'Cost Improvement and Off Wnd'!$A$118:$A$126,0),MATCH('CCaMC-BCCpUC'!$A16,'Cost Improvement and Off Wnd'!$B$117:$AL$117,0))*1000*About!$A$33)*(About!$A$39)</f>
        <v>1696608.9139999999</v>
      </c>
      <c r="K16" s="4">
        <f>('Anexo Tabla 4.2.11.'!$C$13*INDEX('Cost Improvement and Off Wnd'!$B$118:$AL$126,MATCH("natural gas peaker",'Cost Improvement and Off Wnd'!$A$118:$A$126,0),MATCH('CCaMC-BCCpUC'!$A16,'Cost Improvement and Off Wnd'!$B$117:$AL$117,0))*1000*About!$A$33)*(About!$A$39)</f>
        <v>1393746.3310746192</v>
      </c>
      <c r="L16" s="4">
        <f>('Anexo Tabla 4.2.11.'!$C$15*INDEX('Cost Improvement and Off Wnd'!$B$118:$AL$126,MATCH("natural gas peaker",'Cost Improvement and Off Wnd'!$A$118:$A$126,0),MATCH('CCaMC-BCCpUC'!$A16,'Cost Improvement and Off Wnd'!$B$117:$AL$117,0))*1000*About!$A$33)*(About!$A$39)</f>
        <v>691023.15134236251</v>
      </c>
      <c r="M16" s="4">
        <f>(B16*'Coal Cost Multipliers'!$B$33)*(About!$A$39)</f>
        <v>1291476.1094781731</v>
      </c>
      <c r="N16" s="4">
        <v>0</v>
      </c>
    </row>
    <row r="17" spans="1:14">
      <c r="A17" s="1">
        <v>2032</v>
      </c>
      <c r="B17" s="4">
        <f>('Anexo Tabla 4.2.11.'!$C$5*INDEX('Cost Improvement and Off Wnd'!$B$118:$AL$126,MATCH("coal",'Cost Improvement and Off Wnd'!$A$118:$A$126,0),MATCH('CCaMC-BCCpUC'!$A17,'Cost Improvement and Off Wnd'!$B$117:$AL$117,0))*1000*About!$A$33)*(About!$A$39)</f>
        <v>1166249.4018203486</v>
      </c>
      <c r="C17" s="4">
        <f>('Anexo Tabla 4.2.11.'!$C$6*INDEX('Cost Improvement and Off Wnd'!$B$118:$AL$126,MATCH("natural gas nonpeaker",'Cost Improvement and Off Wnd'!$A$118:$A$126,0),MATCH('CCaMC-BCCpUC'!$A17,'Cost Improvement and Off Wnd'!$B$117:$AL$117,0))*1000*About!$A$33)*(About!$A$39)</f>
        <v>830212.80267452565</v>
      </c>
      <c r="D17" s="4">
        <f>('Anexo Tabla 4.2.11.'!$C$11*INDEX('Cost Improvement and Off Wnd'!$B$118:$AL$126,MATCH("nuclear",'Cost Improvement and Off Wnd'!$A$118:$A$126,0),MATCH('CCaMC-BCCpUC'!$A17,'Cost Improvement and Off Wnd'!$B$117:$AL$117,0))*1000*About!$A$33)*(About!$A$39)</f>
        <v>3483970.3175665531</v>
      </c>
      <c r="E17" s="4">
        <f>('Anexo Tabla 4.2.11.'!$C$10*INDEX('Cost Improvement and Off Wnd'!$B$118:$AL$126,MATCH("hydro",'Cost Improvement and Off Wnd'!$A$118:$A$126,0),MATCH('CCaMC-BCCpUC'!$A17,'Cost Improvement and Off Wnd'!$B$117:$AL$117,0))*1000*About!$A$33)*(About!$A$39)</f>
        <v>1620201.8356921014</v>
      </c>
      <c r="F17" s="4">
        <v>0</v>
      </c>
      <c r="G17" s="4">
        <v>0</v>
      </c>
      <c r="H17" s="4">
        <f>('Anexo Tabla 4.2.11.'!$C$14*INDEX('Cost Improvement and Off Wnd'!$B$118:$AL$126,MATCH("solar thermal",'Cost Improvement and Off Wnd'!$A$118:$A$126,0),MATCH('CCaMC-BCCpUC'!$A17,'Cost Improvement and Off Wnd'!$B$117:$AL$117,0))*1000*About!$A$33)*(About!$A$39)</f>
        <v>3745323.5832448881</v>
      </c>
      <c r="I17" s="61">
        <f>'EIA Costs'!$D$14*INDEX('Cost Improvement and Off Wnd'!$B$118:$AL$126,MATCH("biomass",'Cost Improvement and Off Wnd'!$A$118:$A$126,0),MATCH('CCaMC-BCCpUC'!$A17,'Cost Improvement and Off Wnd'!$B$117:$AL$117,0))*1000*About!$A$33</f>
        <v>3429633.6602299903</v>
      </c>
      <c r="J17" s="4">
        <f>('Anexo Tabla 4.2.11.'!$C$9*INDEX('Cost Improvement and Off Wnd'!$B$118:$AL$126,MATCH("geothermal",'Cost Improvement and Off Wnd'!$A$118:$A$126,0),MATCH('CCaMC-BCCpUC'!$A17,'Cost Improvement and Off Wnd'!$B$117:$AL$117,0))*1000*About!$A$33)*(About!$A$39)</f>
        <v>1693703.7617500001</v>
      </c>
      <c r="K17" s="4">
        <f>('Anexo Tabla 4.2.11.'!$C$13*INDEX('Cost Improvement and Off Wnd'!$B$118:$AL$126,MATCH("natural gas peaker",'Cost Improvement and Off Wnd'!$A$118:$A$126,0),MATCH('CCaMC-BCCpUC'!$A17,'Cost Improvement and Off Wnd'!$B$117:$AL$117,0))*1000*About!$A$33)*(About!$A$39)</f>
        <v>1388438.6452784364</v>
      </c>
      <c r="L17" s="4">
        <f>('Anexo Tabla 4.2.11.'!$C$15*INDEX('Cost Improvement and Off Wnd'!$B$118:$AL$126,MATCH("natural gas peaker",'Cost Improvement and Off Wnd'!$A$118:$A$126,0),MATCH('CCaMC-BCCpUC'!$A17,'Cost Improvement and Off Wnd'!$B$117:$AL$117,0))*1000*About!$A$33)*(About!$A$39)</f>
        <v>688391.5865565486</v>
      </c>
      <c r="M17" s="4">
        <f>(B17*'Coal Cost Multipliers'!$B$33)*(About!$A$39)</f>
        <v>1284034.9541452243</v>
      </c>
      <c r="N17" s="4">
        <v>0</v>
      </c>
    </row>
    <row r="18" spans="1:14">
      <c r="A18" s="1">
        <v>2033</v>
      </c>
      <c r="B18" s="4">
        <f>('Anexo Tabla 4.2.11.'!$C$5*INDEX('Cost Improvement and Off Wnd'!$B$118:$AL$126,MATCH("coal",'Cost Improvement and Off Wnd'!$A$118:$A$126,0),MATCH('CCaMC-BCCpUC'!$A18,'Cost Improvement and Off Wnd'!$B$117:$AL$117,0))*1000*About!$A$33)*(About!$A$39)</f>
        <v>1157920.4179777224</v>
      </c>
      <c r="C18" s="4">
        <f>('Anexo Tabla 4.2.11.'!$C$6*INDEX('Cost Improvement and Off Wnd'!$B$118:$AL$126,MATCH("natural gas nonpeaker",'Cost Improvement and Off Wnd'!$A$118:$A$126,0),MATCH('CCaMC-BCCpUC'!$A18,'Cost Improvement and Off Wnd'!$B$117:$AL$117,0))*1000*About!$A$33)*(About!$A$39)</f>
        <v>827544.73322826577</v>
      </c>
      <c r="D18" s="4">
        <f>('Anexo Tabla 4.2.11.'!$C$11*INDEX('Cost Improvement and Off Wnd'!$B$118:$AL$126,MATCH("nuclear",'Cost Improvement and Off Wnd'!$A$118:$A$126,0),MATCH('CCaMC-BCCpUC'!$A18,'Cost Improvement and Off Wnd'!$B$117:$AL$117,0))*1000*About!$A$33)*(About!$A$39)</f>
        <v>3464434.3017827231</v>
      </c>
      <c r="E18" s="4">
        <f>('Anexo Tabla 4.2.11.'!$C$10*INDEX('Cost Improvement and Off Wnd'!$B$118:$AL$126,MATCH("hydro",'Cost Improvement and Off Wnd'!$A$118:$A$126,0),MATCH('CCaMC-BCCpUC'!$A18,'Cost Improvement and Off Wnd'!$B$117:$AL$117,0))*1000*About!$A$33)*(About!$A$39)</f>
        <v>1610732.0175216985</v>
      </c>
      <c r="F18" s="4">
        <v>0</v>
      </c>
      <c r="G18" s="4">
        <v>0</v>
      </c>
      <c r="H18" s="4">
        <f>('Anexo Tabla 4.2.11.'!$C$14*INDEX('Cost Improvement and Off Wnd'!$B$118:$AL$126,MATCH("solar thermal",'Cost Improvement and Off Wnd'!$A$118:$A$126,0),MATCH('CCaMC-BCCpUC'!$A18,'Cost Improvement and Off Wnd'!$B$117:$AL$117,0))*1000*About!$A$33)*(About!$A$39)</f>
        <v>3735335.2753030341</v>
      </c>
      <c r="I18" s="61">
        <f>'EIA Costs'!$D$14*INDEX('Cost Improvement and Off Wnd'!$B$118:$AL$126,MATCH("biomass",'Cost Improvement and Off Wnd'!$A$118:$A$126,0),MATCH('CCaMC-BCCpUC'!$A18,'Cost Improvement and Off Wnd'!$B$117:$AL$117,0))*1000*About!$A$33</f>
        <v>3419643.3546162085</v>
      </c>
      <c r="J18" s="4">
        <f>('Anexo Tabla 4.2.11.'!$C$9*INDEX('Cost Improvement and Off Wnd'!$B$118:$AL$126,MATCH("geothermal",'Cost Improvement and Off Wnd'!$A$118:$A$126,0),MATCH('CCaMC-BCCpUC'!$A18,'Cost Improvement and Off Wnd'!$B$117:$AL$117,0))*1000*About!$A$33)*(About!$A$39)</f>
        <v>1690798.6095000005</v>
      </c>
      <c r="K18" s="4">
        <f>('Anexo Tabla 4.2.11.'!$C$13*INDEX('Cost Improvement and Off Wnd'!$B$118:$AL$126,MATCH("natural gas peaker",'Cost Improvement and Off Wnd'!$A$118:$A$126,0),MATCH('CCaMC-BCCpUC'!$A18,'Cost Improvement and Off Wnd'!$B$117:$AL$117,0))*1000*About!$A$33)*(About!$A$39)</f>
        <v>1383803.0137481987</v>
      </c>
      <c r="L18" s="4">
        <f>('Anexo Tabla 4.2.11.'!$C$15*INDEX('Cost Improvement and Off Wnd'!$B$118:$AL$126,MATCH("natural gas peaker",'Cost Improvement and Off Wnd'!$A$118:$A$126,0),MATCH('CCaMC-BCCpUC'!$A18,'Cost Improvement and Off Wnd'!$B$117:$AL$117,0))*1000*About!$A$33)*(About!$A$39)</f>
        <v>686093.2280697379</v>
      </c>
      <c r="M18" s="4">
        <f>(B18*'Coal Cost Multipliers'!$B$33)*(About!$A$39)</f>
        <v>1274864.7831940111</v>
      </c>
      <c r="N18" s="4">
        <v>0</v>
      </c>
    </row>
    <row r="19" spans="1:14">
      <c r="A19" s="1">
        <v>2034</v>
      </c>
      <c r="B19" s="4">
        <f>('Anexo Tabla 4.2.11.'!$C$5*INDEX('Cost Improvement and Off Wnd'!$B$118:$AL$126,MATCH("coal",'Cost Improvement and Off Wnd'!$A$118:$A$126,0),MATCH('CCaMC-BCCpUC'!$A19,'Cost Improvement and Off Wnd'!$B$117:$AL$117,0))*1000*About!$A$33)*(About!$A$39)</f>
        <v>1150567.8480594391</v>
      </c>
      <c r="C19" s="4">
        <f>('Anexo Tabla 4.2.11.'!$C$6*INDEX('Cost Improvement and Off Wnd'!$B$118:$AL$126,MATCH("natural gas nonpeaker",'Cost Improvement and Off Wnd'!$A$118:$A$126,0),MATCH('CCaMC-BCCpUC'!$A19,'Cost Improvement and Off Wnd'!$B$117:$AL$117,0))*1000*About!$A$33)*(About!$A$39)</f>
        <v>824837.92161627323</v>
      </c>
      <c r="D19" s="4">
        <f>('Anexo Tabla 4.2.11.'!$C$11*INDEX('Cost Improvement and Off Wnd'!$B$118:$AL$126,MATCH("nuclear",'Cost Improvement and Off Wnd'!$A$118:$A$126,0),MATCH('CCaMC-BCCpUC'!$A19,'Cost Improvement and Off Wnd'!$B$117:$AL$117,0))*1000*About!$A$33)*(About!$A$39)</f>
        <v>3444897.5353035224</v>
      </c>
      <c r="E19" s="4">
        <f>('Anexo Tabla 4.2.11.'!$C$10*INDEX('Cost Improvement and Off Wnd'!$B$118:$AL$126,MATCH("hydro",'Cost Improvement and Off Wnd'!$A$118:$A$126,0),MATCH('CCaMC-BCCpUC'!$A19,'Cost Improvement and Off Wnd'!$B$117:$AL$117,0))*1000*About!$A$33)*(About!$A$39)</f>
        <v>1601262.1993512949</v>
      </c>
      <c r="F19" s="4">
        <v>0</v>
      </c>
      <c r="G19" s="4">
        <v>0</v>
      </c>
      <c r="H19" s="4">
        <f>('Anexo Tabla 4.2.11.'!$C$14*INDEX('Cost Improvement and Off Wnd'!$B$118:$AL$126,MATCH("solar thermal",'Cost Improvement and Off Wnd'!$A$118:$A$126,0),MATCH('CCaMC-BCCpUC'!$A19,'Cost Improvement and Off Wnd'!$B$117:$AL$117,0))*1000*About!$A$33)*(About!$A$39)</f>
        <v>3725889.5070596579</v>
      </c>
      <c r="I19" s="61">
        <f>'EIA Costs'!$D$14*INDEX('Cost Improvement and Off Wnd'!$B$118:$AL$126,MATCH("biomass",'Cost Improvement and Off Wnd'!$A$118:$A$126,0),MATCH('CCaMC-BCCpUC'!$A19,'Cost Improvement and Off Wnd'!$B$117:$AL$117,0))*1000*About!$A$33</f>
        <v>3409651.5318734273</v>
      </c>
      <c r="J19" s="4">
        <f>('Anexo Tabla 4.2.11.'!$C$9*INDEX('Cost Improvement and Off Wnd'!$B$118:$AL$126,MATCH("geothermal",'Cost Improvement and Off Wnd'!$A$118:$A$126,0),MATCH('CCaMC-BCCpUC'!$A19,'Cost Improvement and Off Wnd'!$B$117:$AL$117,0))*1000*About!$A$33)*(About!$A$39)</f>
        <v>1687893.4572500002</v>
      </c>
      <c r="K19" s="4">
        <f>('Anexo Tabla 4.2.11.'!$C$13*INDEX('Cost Improvement and Off Wnd'!$B$118:$AL$126,MATCH("natural gas peaker",'Cost Improvement and Off Wnd'!$A$118:$A$126,0),MATCH('CCaMC-BCCpUC'!$A19,'Cost Improvement and Off Wnd'!$B$117:$AL$117,0))*1000*About!$A$33)*(About!$A$39)</f>
        <v>1379089.5250705886</v>
      </c>
      <c r="L19" s="4">
        <f>('Anexo Tabla 4.2.11.'!$C$15*INDEX('Cost Improvement and Off Wnd'!$B$118:$AL$126,MATCH("natural gas peaker",'Cost Improvement and Off Wnd'!$A$118:$A$126,0),MATCH('CCaMC-BCCpUC'!$A19,'Cost Improvement and Off Wnd'!$B$117:$AL$117,0))*1000*About!$A$33)*(About!$A$39)</f>
        <v>683756.26780143182</v>
      </c>
      <c r="M19" s="4">
        <f>(B19*'Coal Cost Multipliers'!$B$33)*(About!$A$39)</f>
        <v>1266769.6392538415</v>
      </c>
      <c r="N19" s="4">
        <v>0</v>
      </c>
    </row>
    <row r="20" spans="1:14">
      <c r="A20" s="1">
        <v>2035</v>
      </c>
      <c r="B20" s="4">
        <f>('Anexo Tabla 4.2.11.'!$C$5*INDEX('Cost Improvement and Off Wnd'!$B$118:$AL$126,MATCH("coal",'Cost Improvement and Off Wnd'!$A$118:$A$126,0),MATCH('CCaMC-BCCpUC'!$A20,'Cost Improvement and Off Wnd'!$B$117:$AL$117,0))*1000*About!$A$33)*(About!$A$39)</f>
        <v>1143545.6871413402</v>
      </c>
      <c r="C20" s="4">
        <f>('Anexo Tabla 4.2.11.'!$C$6*INDEX('Cost Improvement and Off Wnd'!$B$118:$AL$126,MATCH("natural gas nonpeaker",'Cost Improvement and Off Wnd'!$A$118:$A$126,0),MATCH('CCaMC-BCCpUC'!$A20,'Cost Improvement and Off Wnd'!$B$117:$AL$117,0))*1000*About!$A$33)*(About!$A$39)</f>
        <v>821801.02095011109</v>
      </c>
      <c r="D20" s="4">
        <f>('Anexo Tabla 4.2.11.'!$C$11*INDEX('Cost Improvement and Off Wnd'!$B$118:$AL$126,MATCH("nuclear",'Cost Improvement and Off Wnd'!$A$118:$A$126,0),MATCH('CCaMC-BCCpUC'!$A20,'Cost Improvement and Off Wnd'!$B$117:$AL$117,0))*1000*About!$A$33)*(About!$A$39)</f>
        <v>3425360.3213886307</v>
      </c>
      <c r="E20" s="4">
        <f>('Anexo Tabla 4.2.11.'!$C$10*INDEX('Cost Improvement and Off Wnd'!$B$118:$AL$126,MATCH("hydro",'Cost Improvement and Off Wnd'!$A$118:$A$126,0),MATCH('CCaMC-BCCpUC'!$A20,'Cost Improvement and Off Wnd'!$B$117:$AL$117,0))*1000*About!$A$33)*(About!$A$39)</f>
        <v>1591796.5929654192</v>
      </c>
      <c r="F20" s="4">
        <v>0</v>
      </c>
      <c r="G20" s="4">
        <v>0</v>
      </c>
      <c r="H20" s="4">
        <f>('Anexo Tabla 4.2.11.'!$C$14*INDEX('Cost Improvement and Off Wnd'!$B$118:$AL$126,MATCH("solar thermal",'Cost Improvement and Off Wnd'!$A$118:$A$126,0),MATCH('CCaMC-BCCpUC'!$A20,'Cost Improvement and Off Wnd'!$B$117:$AL$117,0))*1000*About!$A$33)*(About!$A$39)</f>
        <v>3716934.2862667637</v>
      </c>
      <c r="I20" s="61">
        <f>'EIA Costs'!$D$14*INDEX('Cost Improvement and Off Wnd'!$B$118:$AL$126,MATCH("biomass",'Cost Improvement and Off Wnd'!$A$118:$A$126,0),MATCH('CCaMC-BCCpUC'!$A20,'Cost Improvement and Off Wnd'!$B$117:$AL$117,0))*1000*About!$A$33</f>
        <v>3399659.5746953762</v>
      </c>
      <c r="J20" s="4">
        <f>('Anexo Tabla 4.2.11.'!$C$9*INDEX('Cost Improvement and Off Wnd'!$B$118:$AL$126,MATCH("geothermal",'Cost Improvement and Off Wnd'!$A$118:$A$126,0),MATCH('CCaMC-BCCpUC'!$A20,'Cost Improvement and Off Wnd'!$B$117:$AL$117,0))*1000*About!$A$33)*(About!$A$39)</f>
        <v>1684988.3050000002</v>
      </c>
      <c r="K20" s="4">
        <f>('Anexo Tabla 4.2.11.'!$C$13*INDEX('Cost Improvement and Off Wnd'!$B$118:$AL$126,MATCH("natural gas peaker",'Cost Improvement and Off Wnd'!$A$118:$A$126,0),MATCH('CCaMC-BCCpUC'!$A20,'Cost Improvement and Off Wnd'!$B$117:$AL$117,0))*1000*About!$A$33)*(About!$A$39)</f>
        <v>1373710.9289956281</v>
      </c>
      <c r="L20" s="4">
        <f>('Anexo Tabla 4.2.11.'!$C$15*INDEX('Cost Improvement and Off Wnd'!$B$118:$AL$126,MATCH("natural gas peaker",'Cost Improvement and Off Wnd'!$A$118:$A$126,0),MATCH('CCaMC-BCCpUC'!$A20,'Cost Improvement and Off Wnd'!$B$117:$AL$117,0))*1000*About!$A$33)*(About!$A$39)</f>
        <v>681089.54551011557</v>
      </c>
      <c r="M20" s="4">
        <f>(B20*'Coal Cost Multipliers'!$B$33)*(About!$A$39)</f>
        <v>1259038.2740257883</v>
      </c>
      <c r="N20" s="4">
        <v>0</v>
      </c>
    </row>
    <row r="21" spans="1:14">
      <c r="A21" s="1">
        <v>2036</v>
      </c>
      <c r="B21" s="4">
        <f>('Anexo Tabla 4.2.11.'!$C$5*INDEX('Cost Improvement and Off Wnd'!$B$118:$AL$126,MATCH("coal",'Cost Improvement and Off Wnd'!$A$118:$A$126,0),MATCH('CCaMC-BCCpUC'!$A21,'Cost Improvement and Off Wnd'!$B$117:$AL$117,0))*1000*About!$A$33)*(About!$A$39)</f>
        <v>1136766.7682601165</v>
      </c>
      <c r="C21" s="4">
        <f>('Anexo Tabla 4.2.11.'!$C$6*INDEX('Cost Improvement and Off Wnd'!$B$118:$AL$126,MATCH("natural gas nonpeaker",'Cost Improvement and Off Wnd'!$A$118:$A$126,0),MATCH('CCaMC-BCCpUC'!$A21,'Cost Improvement and Off Wnd'!$B$117:$AL$117,0))*1000*About!$A$33)*(About!$A$39)</f>
        <v>818743.54677183938</v>
      </c>
      <c r="D21" s="4">
        <f>('Anexo Tabla 4.2.11.'!$C$11*INDEX('Cost Improvement and Off Wnd'!$B$118:$AL$126,MATCH("nuclear",'Cost Improvement and Off Wnd'!$A$118:$A$126,0),MATCH('CCaMC-BCCpUC'!$A21,'Cost Improvement and Off Wnd'!$B$117:$AL$117,0))*1000*About!$A$33)*(About!$A$39)</f>
        <v>3405822.4870506488</v>
      </c>
      <c r="E21" s="4">
        <f>('Anexo Tabla 4.2.11.'!$C$10*INDEX('Cost Improvement and Off Wnd'!$B$118:$AL$126,MATCH("hydro",'Cost Improvement and Off Wnd'!$A$118:$A$126,0),MATCH('CCaMC-BCCpUC'!$A21,'Cost Improvement and Off Wnd'!$B$117:$AL$117,0))*1000*About!$A$33)*(About!$A$39)</f>
        <v>1588712.3000115638</v>
      </c>
      <c r="F21" s="4">
        <v>0</v>
      </c>
      <c r="G21" s="4">
        <v>0</v>
      </c>
      <c r="H21" s="4">
        <f>('Anexo Tabla 4.2.11.'!$C$14*INDEX('Cost Improvement and Off Wnd'!$B$118:$AL$126,MATCH("solar thermal",'Cost Improvement and Off Wnd'!$A$118:$A$126,0),MATCH('CCaMC-BCCpUC'!$A21,'Cost Improvement and Off Wnd'!$B$117:$AL$117,0))*1000*About!$A$33)*(About!$A$39)</f>
        <v>3708424.6959899771</v>
      </c>
      <c r="I21" s="61">
        <f>'EIA Costs'!$D$14*INDEX('Cost Improvement and Off Wnd'!$B$118:$AL$126,MATCH("biomass",'Cost Improvement and Off Wnd'!$A$118:$A$126,0),MATCH('CCaMC-BCCpUC'!$A21,'Cost Improvement and Off Wnd'!$B$117:$AL$117,0))*1000*About!$A$33</f>
        <v>3389666.8436114313</v>
      </c>
      <c r="J21" s="4">
        <f>('Anexo Tabla 4.2.11.'!$C$9*INDEX('Cost Improvement and Off Wnd'!$B$118:$AL$126,MATCH("geothermal",'Cost Improvement and Off Wnd'!$A$118:$A$126,0),MATCH('CCaMC-BCCpUC'!$A21,'Cost Improvement and Off Wnd'!$B$117:$AL$117,0))*1000*About!$A$33)*(About!$A$39)</f>
        <v>1682083.1527499999</v>
      </c>
      <c r="K21" s="4">
        <f>('Anexo Tabla 4.2.11.'!$C$13*INDEX('Cost Improvement and Off Wnd'!$B$118:$AL$126,MATCH("natural gas peaker",'Cost Improvement and Off Wnd'!$A$118:$A$126,0),MATCH('CCaMC-BCCpUC'!$A21,'Cost Improvement and Off Wnd'!$B$117:$AL$117,0))*1000*About!$A$33)*(About!$A$39)</f>
        <v>1368290.9041206436</v>
      </c>
      <c r="L21" s="4">
        <f>('Anexo Tabla 4.2.11.'!$C$15*INDEX('Cost Improvement and Off Wnd'!$B$118:$AL$126,MATCH("natural gas peaker",'Cost Improvement and Off Wnd'!$A$118:$A$126,0),MATCH('CCaMC-BCCpUC'!$A21,'Cost Improvement and Off Wnd'!$B$117:$AL$117,0))*1000*About!$A$33)*(About!$A$39)</f>
        <v>678402.28270915954</v>
      </c>
      <c r="M21" s="4">
        <f>(B21*'Coal Cost Multipliers'!$B$33)*(About!$A$39)</f>
        <v>1251574.7171045844</v>
      </c>
      <c r="N21" s="4">
        <v>0</v>
      </c>
    </row>
    <row r="22" spans="1:14">
      <c r="A22" s="1">
        <v>2037</v>
      </c>
      <c r="B22" s="4">
        <f>('Anexo Tabla 4.2.11.'!$C$5*INDEX('Cost Improvement and Off Wnd'!$B$118:$AL$126,MATCH("coal",'Cost Improvement and Off Wnd'!$A$118:$A$126,0),MATCH('CCaMC-BCCpUC'!$A22,'Cost Improvement and Off Wnd'!$B$117:$AL$117,0))*1000*About!$A$33)*(About!$A$39)</f>
        <v>1128822.3462784805</v>
      </c>
      <c r="C22" s="4">
        <f>('Anexo Tabla 4.2.11.'!$C$6*INDEX('Cost Improvement and Off Wnd'!$B$118:$AL$126,MATCH("natural gas nonpeaker",'Cost Improvement and Off Wnd'!$A$118:$A$126,0),MATCH('CCaMC-BCCpUC'!$A22,'Cost Improvement and Off Wnd'!$B$117:$AL$117,0))*1000*About!$A$33)*(About!$A$39)</f>
        <v>816105.83091891406</v>
      </c>
      <c r="D22" s="4">
        <f>('Anexo Tabla 4.2.11.'!$C$11*INDEX('Cost Improvement and Off Wnd'!$B$118:$AL$126,MATCH("nuclear",'Cost Improvement and Off Wnd'!$A$118:$A$126,0),MATCH('CCaMC-BCCpUC'!$A22,'Cost Improvement and Off Wnd'!$B$117:$AL$117,0))*1000*About!$A$33)*(About!$A$39)</f>
        <v>3386286.5304923616</v>
      </c>
      <c r="E22" s="4">
        <f>('Anexo Tabla 4.2.11.'!$C$10*INDEX('Cost Improvement and Off Wnd'!$B$118:$AL$126,MATCH("hydro",'Cost Improvement and Off Wnd'!$A$118:$A$126,0),MATCH('CCaMC-BCCpUC'!$A22,'Cost Improvement and Off Wnd'!$B$117:$AL$117,0))*1000*About!$A$33)*(About!$A$39)</f>
        <v>1585632.1969933934</v>
      </c>
      <c r="F22" s="4">
        <v>0</v>
      </c>
      <c r="G22" s="4">
        <v>0</v>
      </c>
      <c r="H22" s="4">
        <f>('Anexo Tabla 4.2.11.'!$C$14*INDEX('Cost Improvement and Off Wnd'!$B$118:$AL$126,MATCH("solar thermal",'Cost Improvement and Off Wnd'!$A$118:$A$126,0),MATCH('CCaMC-BCCpUC'!$A22,'Cost Improvement and Off Wnd'!$B$117:$AL$117,0))*1000*About!$A$33)*(About!$A$39)</f>
        <v>3700321.6656837747</v>
      </c>
      <c r="I22" s="61">
        <f>'EIA Costs'!$D$14*INDEX('Cost Improvement and Off Wnd'!$B$118:$AL$126,MATCH("biomass",'Cost Improvement and Off Wnd'!$A$118:$A$126,0),MATCH('CCaMC-BCCpUC'!$A22,'Cost Improvement and Off Wnd'!$B$117:$AL$117,0))*1000*About!$A$33</f>
        <v>3379676.3155708034</v>
      </c>
      <c r="J22" s="4">
        <f>('Anexo Tabla 4.2.11.'!$C$9*INDEX('Cost Improvement and Off Wnd'!$B$118:$AL$126,MATCH("geothermal",'Cost Improvement and Off Wnd'!$A$118:$A$126,0),MATCH('CCaMC-BCCpUC'!$A22,'Cost Improvement and Off Wnd'!$B$117:$AL$117,0))*1000*About!$A$33)*(About!$A$39)</f>
        <v>1679178.0004999998</v>
      </c>
      <c r="K22" s="4">
        <f>('Anexo Tabla 4.2.11.'!$C$13*INDEX('Cost Improvement and Off Wnd'!$B$118:$AL$126,MATCH("natural gas peaker",'Cost Improvement and Off Wnd'!$A$118:$A$126,0),MATCH('CCaMC-BCCpUC'!$A22,'Cost Improvement and Off Wnd'!$B$117:$AL$117,0))*1000*About!$A$33)*(About!$A$39)</f>
        <v>1363716.549586619</v>
      </c>
      <c r="L22" s="4">
        <f>('Anexo Tabla 4.2.11.'!$C$15*INDEX('Cost Improvement and Off Wnd'!$B$118:$AL$126,MATCH("natural gas peaker",'Cost Improvement and Off Wnd'!$A$118:$A$126,0),MATCH('CCaMC-BCCpUC'!$A22,'Cost Improvement and Off Wnd'!$B$117:$AL$117,0))*1000*About!$A$33)*(About!$A$39)</f>
        <v>676134.3055206408</v>
      </c>
      <c r="M22" s="4">
        <f>(B22*'Coal Cost Multipliers'!$B$33)*(About!$A$39)</f>
        <v>1242827.9469034781</v>
      </c>
      <c r="N22" s="4">
        <v>0</v>
      </c>
    </row>
    <row r="23" spans="1:14">
      <c r="A23" s="1">
        <v>2038</v>
      </c>
      <c r="B23" s="4">
        <f>('Anexo Tabla 4.2.11.'!$C$5*INDEX('Cost Improvement and Off Wnd'!$B$118:$AL$126,MATCH("coal",'Cost Improvement and Off Wnd'!$A$118:$A$126,0),MATCH('CCaMC-BCCpUC'!$A23,'Cost Improvement and Off Wnd'!$B$117:$AL$117,0))*1000*About!$A$33)*(About!$A$39)</f>
        <v>1122222.8305521358</v>
      </c>
      <c r="C23" s="4">
        <f>('Anexo Tabla 4.2.11.'!$C$6*INDEX('Cost Improvement and Off Wnd'!$B$118:$AL$126,MATCH("natural gas nonpeaker",'Cost Improvement and Off Wnd'!$A$118:$A$126,0),MATCH('CCaMC-BCCpUC'!$A23,'Cost Improvement and Off Wnd'!$B$117:$AL$117,0))*1000*About!$A$33)*(About!$A$39)</f>
        <v>812886.39680299233</v>
      </c>
      <c r="D23" s="4">
        <f>('Anexo Tabla 4.2.11.'!$C$11*INDEX('Cost Improvement and Off Wnd'!$B$118:$AL$126,MATCH("nuclear",'Cost Improvement and Off Wnd'!$A$118:$A$126,0),MATCH('CCaMC-BCCpUC'!$A23,'Cost Improvement and Off Wnd'!$B$117:$AL$117,0))*1000*About!$A$33)*(About!$A$39)</f>
        <v>3366749.1699741199</v>
      </c>
      <c r="E23" s="4">
        <f>('Anexo Tabla 4.2.11.'!$C$10*INDEX('Cost Improvement and Off Wnd'!$B$118:$AL$126,MATCH("hydro",'Cost Improvement and Off Wnd'!$A$118:$A$126,0),MATCH('CCaMC-BCCpUC'!$A23,'Cost Improvement and Off Wnd'!$B$117:$AL$117,0))*1000*About!$A$33)*(About!$A$39)</f>
        <v>1582552.0939752229</v>
      </c>
      <c r="F23" s="4">
        <v>0</v>
      </c>
      <c r="G23" s="4">
        <v>0</v>
      </c>
      <c r="H23" s="4">
        <f>('Anexo Tabla 4.2.11.'!$C$14*INDEX('Cost Improvement and Off Wnd'!$B$118:$AL$126,MATCH("solar thermal",'Cost Improvement and Off Wnd'!$A$118:$A$126,0),MATCH('CCaMC-BCCpUC'!$A23,'Cost Improvement and Off Wnd'!$B$117:$AL$117,0))*1000*About!$A$33)*(About!$A$39)</f>
        <v>3692590.9982425035</v>
      </c>
      <c r="I23" s="61">
        <f>'EIA Costs'!$D$14*INDEX('Cost Improvement and Off Wnd'!$B$118:$AL$126,MATCH("biomass",'Cost Improvement and Off Wnd'!$A$118:$A$126,0),MATCH('CCaMC-BCCpUC'!$A23,'Cost Improvement and Off Wnd'!$B$117:$AL$117,0))*1000*About!$A$33</f>
        <v>3369684.2256353949</v>
      </c>
      <c r="J23" s="4">
        <f>('Anexo Tabla 4.2.11.'!$C$9*INDEX('Cost Improvement and Off Wnd'!$B$118:$AL$126,MATCH("geothermal",'Cost Improvement and Off Wnd'!$A$118:$A$126,0),MATCH('CCaMC-BCCpUC'!$A23,'Cost Improvement and Off Wnd'!$B$117:$AL$117,0))*1000*About!$A$33)*(About!$A$39)</f>
        <v>1676272.8482499996</v>
      </c>
      <c r="K23" s="4">
        <f>('Anexo Tabla 4.2.11.'!$C$13*INDEX('Cost Improvement and Off Wnd'!$B$118:$AL$126,MATCH("natural gas peaker",'Cost Improvement and Off Wnd'!$A$118:$A$126,0),MATCH('CCaMC-BCCpUC'!$A23,'Cost Improvement and Off Wnd'!$B$117:$AL$117,0))*1000*About!$A$33)*(About!$A$39)</f>
        <v>1357970.374934667</v>
      </c>
      <c r="L23" s="4">
        <f>('Anexo Tabla 4.2.11.'!$C$15*INDEX('Cost Improvement and Off Wnd'!$B$118:$AL$126,MATCH("natural gas peaker",'Cost Improvement and Off Wnd'!$A$118:$A$126,0),MATCH('CCaMC-BCCpUC'!$A23,'Cost Improvement and Off Wnd'!$B$117:$AL$117,0))*1000*About!$A$33)*(About!$A$39)</f>
        <v>673285.33678965666</v>
      </c>
      <c r="M23" s="4">
        <f>(B23*'Coal Cost Multipliers'!$B$33)*(About!$A$39)</f>
        <v>1235561.9119886211</v>
      </c>
      <c r="N23" s="4">
        <v>0</v>
      </c>
    </row>
    <row r="24" spans="1:14">
      <c r="A24" s="1">
        <v>2039</v>
      </c>
      <c r="B24" s="4">
        <f>('Anexo Tabla 4.2.11.'!$C$5*INDEX('Cost Improvement and Off Wnd'!$B$118:$AL$126,MATCH("coal",'Cost Improvement and Off Wnd'!$A$118:$A$126,0),MATCH('CCaMC-BCCpUC'!$A24,'Cost Improvement and Off Wnd'!$B$117:$AL$117,0))*1000*About!$A$33)*(About!$A$39)</f>
        <v>1114858.6758219267</v>
      </c>
      <c r="C24" s="4">
        <f>('Anexo Tabla 4.2.11.'!$C$6*INDEX('Cost Improvement and Off Wnd'!$B$118:$AL$126,MATCH("natural gas nonpeaker",'Cost Improvement and Off Wnd'!$A$118:$A$126,0),MATCH('CCaMC-BCCpUC'!$A24,'Cost Improvement and Off Wnd'!$B$117:$AL$117,0))*1000*About!$A$33)*(About!$A$39)</f>
        <v>810244.76778443053</v>
      </c>
      <c r="D24" s="4">
        <f>('Anexo Tabla 4.2.11.'!$C$11*INDEX('Cost Improvement and Off Wnd'!$B$118:$AL$126,MATCH("nuclear",'Cost Improvement and Off Wnd'!$A$118:$A$126,0),MATCH('CCaMC-BCCpUC'!$A24,'Cost Improvement and Off Wnd'!$B$117:$AL$117,0))*1000*About!$A$33)*(About!$A$39)</f>
        <v>3347213.929192604</v>
      </c>
      <c r="E24" s="4">
        <f>('Anexo Tabla 4.2.11.'!$C$10*INDEX('Cost Improvement and Off Wnd'!$B$118:$AL$126,MATCH("hydro",'Cost Improvement and Off Wnd'!$A$118:$A$126,0),MATCH('CCaMC-BCCpUC'!$A24,'Cost Improvement and Off Wnd'!$B$117:$AL$117,0))*1000*About!$A$33)*(About!$A$39)</f>
        <v>1579476.1607245749</v>
      </c>
      <c r="F24" s="4">
        <v>0</v>
      </c>
      <c r="G24" s="4">
        <v>0</v>
      </c>
      <c r="H24" s="4">
        <f>('Anexo Tabla 4.2.11.'!$C$14*INDEX('Cost Improvement and Off Wnd'!$B$118:$AL$126,MATCH("solar thermal",'Cost Improvement and Off Wnd'!$A$118:$A$126,0),MATCH('CCaMC-BCCpUC'!$A24,'Cost Improvement and Off Wnd'!$B$117:$AL$117,0))*1000*About!$A$33)*(About!$A$39)</f>
        <v>3685202.5915839826</v>
      </c>
      <c r="I24" s="61">
        <f>'EIA Costs'!$D$14*INDEX('Cost Improvement and Off Wnd'!$B$118:$AL$126,MATCH("biomass",'Cost Improvement and Off Wnd'!$A$118:$A$126,0),MATCH('CCaMC-BCCpUC'!$A24,'Cost Improvement and Off Wnd'!$B$117:$AL$117,0))*1000*About!$A$33</f>
        <v>3359693.9843631904</v>
      </c>
      <c r="J24" s="4">
        <f>('Anexo Tabla 4.2.11.'!$C$9*INDEX('Cost Improvement and Off Wnd'!$B$118:$AL$126,MATCH("geothermal",'Cost Improvement and Off Wnd'!$A$118:$A$126,0),MATCH('CCaMC-BCCpUC'!$A24,'Cost Improvement and Off Wnd'!$B$117:$AL$117,0))*1000*About!$A$33)*(About!$A$39)</f>
        <v>1673367.6959999995</v>
      </c>
      <c r="K24" s="4">
        <f>('Anexo Tabla 4.2.11.'!$C$13*INDEX('Cost Improvement and Off Wnd'!$B$118:$AL$126,MATCH("natural gas peaker",'Cost Improvement and Off Wnd'!$A$118:$A$126,0),MATCH('CCaMC-BCCpUC'!$A24,'Cost Improvement and Off Wnd'!$B$117:$AL$117,0))*1000*About!$A$33)*(About!$A$39)</f>
        <v>1353387.95445951</v>
      </c>
      <c r="L24" s="4">
        <f>('Anexo Tabla 4.2.11.'!$C$15*INDEX('Cost Improvement and Off Wnd'!$B$118:$AL$126,MATCH("natural gas peaker",'Cost Improvement and Off Wnd'!$A$118:$A$126,0),MATCH('CCaMC-BCCpUC'!$A24,'Cost Improvement and Off Wnd'!$B$117:$AL$117,0))*1000*About!$A$33)*(About!$A$39)</f>
        <v>671013.36048599379</v>
      </c>
      <c r="M24" s="4">
        <f>(B24*'Coal Cost Multipliers'!$B$33)*(About!$A$39)</f>
        <v>1227454.0132265182</v>
      </c>
      <c r="N24" s="4">
        <v>0</v>
      </c>
    </row>
    <row r="25" spans="1:14">
      <c r="A25" s="1">
        <v>2040</v>
      </c>
      <c r="B25" s="4">
        <f>('Anexo Tabla 4.2.11.'!$C$5*INDEX('Cost Improvement and Off Wnd'!$B$118:$AL$126,MATCH("coal",'Cost Improvement and Off Wnd'!$A$118:$A$126,0),MATCH('CCaMC-BCCpUC'!$A25,'Cost Improvement and Off Wnd'!$B$117:$AL$117,0))*1000*About!$A$33)*(About!$A$39)</f>
        <v>1107905.1109787591</v>
      </c>
      <c r="C25" s="4">
        <f>('Anexo Tabla 4.2.11.'!$C$6*INDEX('Cost Improvement and Off Wnd'!$B$118:$AL$126,MATCH("natural gas nonpeaker",'Cost Improvement and Off Wnd'!$A$118:$A$126,0),MATCH('CCaMC-BCCpUC'!$A25,'Cost Improvement and Off Wnd'!$B$117:$AL$117,0))*1000*About!$A$33)*(About!$A$39)</f>
        <v>807218.78382253973</v>
      </c>
      <c r="D25" s="4">
        <f>('Anexo Tabla 4.2.11.'!$C$11*INDEX('Cost Improvement and Off Wnd'!$B$118:$AL$126,MATCH("nuclear",'Cost Improvement and Off Wnd'!$A$118:$A$126,0),MATCH('CCaMC-BCCpUC'!$A25,'Cost Improvement and Off Wnd'!$B$117:$AL$117,0))*1000*About!$A$33)*(About!$A$39)</f>
        <v>3327674.5943697952</v>
      </c>
      <c r="E25" s="4">
        <f>('Anexo Tabla 4.2.11.'!$C$10*INDEX('Cost Improvement and Off Wnd'!$B$118:$AL$126,MATCH("hydro",'Cost Improvement and Off Wnd'!$A$118:$A$126,0),MATCH('CCaMC-BCCpUC'!$A25,'Cost Improvement and Off Wnd'!$B$117:$AL$117,0))*1000*About!$A$33)*(About!$A$39)</f>
        <v>1576400.2274739274</v>
      </c>
      <c r="F25" s="4">
        <v>0</v>
      </c>
      <c r="G25" s="4">
        <v>0</v>
      </c>
      <c r="H25" s="4">
        <f>('Anexo Tabla 4.2.11.'!$C$14*INDEX('Cost Improvement and Off Wnd'!$B$118:$AL$126,MATCH("solar thermal",'Cost Improvement and Off Wnd'!$A$118:$A$126,0),MATCH('CCaMC-BCCpUC'!$A25,'Cost Improvement and Off Wnd'!$B$117:$AL$117,0))*1000*About!$A$33)*(About!$A$39)</f>
        <v>3678129.8098690151</v>
      </c>
      <c r="I25" s="61">
        <f>'EIA Costs'!$D$14*INDEX('Cost Improvement and Off Wnd'!$B$118:$AL$126,MATCH("biomass",'Cost Improvement and Off Wnd'!$A$118:$A$126,0),MATCH('CCaMC-BCCpUC'!$A25,'Cost Improvement and Off Wnd'!$B$117:$AL$117,0))*1000*About!$A$33</f>
        <v>3349700.2550786757</v>
      </c>
      <c r="J25" s="4">
        <f>('Anexo Tabla 4.2.11.'!$C$9*INDEX('Cost Improvement and Off Wnd'!$B$118:$AL$126,MATCH("geothermal",'Cost Improvement and Off Wnd'!$A$118:$A$126,0),MATCH('CCaMC-BCCpUC'!$A25,'Cost Improvement and Off Wnd'!$B$117:$AL$117,0))*1000*About!$A$33)*(About!$A$39)</f>
        <v>1670462.5437500002</v>
      </c>
      <c r="K25" s="4">
        <f>('Anexo Tabla 4.2.11.'!$C$13*INDEX('Cost Improvement and Off Wnd'!$B$118:$AL$126,MATCH("natural gas peaker",'Cost Improvement and Off Wnd'!$A$118:$A$126,0),MATCH('CCaMC-BCCpUC'!$A25,'Cost Improvement and Off Wnd'!$B$117:$AL$117,0))*1000*About!$A$33)*(About!$A$39)</f>
        <v>1348031.6131245196</v>
      </c>
      <c r="L25" s="4">
        <f>('Anexo Tabla 4.2.11.'!$C$15*INDEX('Cost Improvement and Off Wnd'!$B$118:$AL$126,MATCH("natural gas peaker",'Cost Improvement and Off Wnd'!$A$118:$A$126,0),MATCH('CCaMC-BCCpUC'!$A25,'Cost Improvement and Off Wnd'!$B$117:$AL$117,0))*1000*About!$A$33)*(About!$A$39)</f>
        <v>668357.67215416022</v>
      </c>
      <c r="M25" s="4">
        <f>(B25*'Coal Cost Multipliers'!$B$33)*(About!$A$39)</f>
        <v>1219798.1719453942</v>
      </c>
      <c r="N25" s="4">
        <v>0</v>
      </c>
    </row>
    <row r="26" spans="1:14">
      <c r="A26" s="1">
        <v>2041</v>
      </c>
      <c r="B26" s="4">
        <f>('Anexo Tabla 4.2.11.'!$C$5*INDEX('Cost Improvement and Off Wnd'!$B$118:$AL$126,MATCH("coal",'Cost Improvement and Off Wnd'!$A$118:$A$126,0),MATCH('CCaMC-BCCpUC'!$A26,'Cost Improvement and Off Wnd'!$B$117:$AL$117,0))*1000*About!$A$33)*(About!$A$39)</f>
        <v>1100600.4646270194</v>
      </c>
      <c r="C26" s="4">
        <f>('Anexo Tabla 4.2.11.'!$C$6*INDEX('Cost Improvement and Off Wnd'!$B$118:$AL$126,MATCH("natural gas nonpeaker",'Cost Improvement and Off Wnd'!$A$118:$A$126,0),MATCH('CCaMC-BCCpUC'!$A26,'Cost Improvement and Off Wnd'!$B$117:$AL$117,0))*1000*About!$A$33)*(About!$A$39)</f>
        <v>804241.94933245494</v>
      </c>
      <c r="D26" s="4">
        <f>('Anexo Tabla 4.2.11.'!$C$11*INDEX('Cost Improvement and Off Wnd'!$B$118:$AL$126,MATCH("nuclear",'Cost Improvement and Off Wnd'!$A$118:$A$126,0),MATCH('CCaMC-BCCpUC'!$A26,'Cost Improvement and Off Wnd'!$B$117:$AL$117,0))*1000*About!$A$33)*(About!$A$39)</f>
        <v>3308137.5847532786</v>
      </c>
      <c r="E26" s="4">
        <f>('Anexo Tabla 4.2.11.'!$C$10*INDEX('Cost Improvement and Off Wnd'!$B$118:$AL$126,MATCH("hydro",'Cost Improvement and Off Wnd'!$A$118:$A$126,0),MATCH('CCaMC-BCCpUC'!$A26,'Cost Improvement and Off Wnd'!$B$117:$AL$117,0))*1000*About!$A$33)*(About!$A$39)</f>
        <v>1573328.4404612801</v>
      </c>
      <c r="F26" s="4">
        <v>0</v>
      </c>
      <c r="G26" s="4">
        <v>0</v>
      </c>
      <c r="H26" s="4">
        <f>('Anexo Tabla 4.2.11.'!$C$14*INDEX('Cost Improvement and Off Wnd'!$B$118:$AL$126,MATCH("solar thermal",'Cost Improvement and Off Wnd'!$A$118:$A$126,0),MATCH('CCaMC-BCCpUC'!$A26,'Cost Improvement and Off Wnd'!$B$117:$AL$117,0))*1000*About!$A$33)*(About!$A$39)</f>
        <v>3671348.9710940695</v>
      </c>
      <c r="I26" s="61">
        <f>'EIA Costs'!$D$14*INDEX('Cost Improvement and Off Wnd'!$B$118:$AL$126,MATCH("biomass",'Cost Improvement and Off Wnd'!$A$118:$A$126,0),MATCH('CCaMC-BCCpUC'!$A26,'Cost Improvement and Off Wnd'!$B$117:$AL$117,0))*1000*About!$A$33</f>
        <v>3339708.5144618037</v>
      </c>
      <c r="J26" s="4">
        <f>('Anexo Tabla 4.2.11.'!$C$9*INDEX('Cost Improvement and Off Wnd'!$B$118:$AL$126,MATCH("geothermal",'Cost Improvement and Off Wnd'!$A$118:$A$126,0),MATCH('CCaMC-BCCpUC'!$A26,'Cost Improvement and Off Wnd'!$B$117:$AL$117,0))*1000*About!$A$33)*(About!$A$39)</f>
        <v>1667557.3914999999</v>
      </c>
      <c r="K26" s="4">
        <f>('Anexo Tabla 4.2.11.'!$C$13*INDEX('Cost Improvement and Off Wnd'!$B$118:$AL$126,MATCH("natural gas peaker",'Cost Improvement and Off Wnd'!$A$118:$A$126,0),MATCH('CCaMC-BCCpUC'!$A26,'Cost Improvement and Off Wnd'!$B$117:$AL$117,0))*1000*About!$A$33)*(About!$A$39)</f>
        <v>1342774.05463726</v>
      </c>
      <c r="L26" s="4">
        <f>('Anexo Tabla 4.2.11.'!$C$15*INDEX('Cost Improvement and Off Wnd'!$B$118:$AL$126,MATCH("natural gas peaker",'Cost Improvement and Off Wnd'!$A$118:$A$126,0),MATCH('CCaMC-BCCpUC'!$A26,'Cost Improvement and Off Wnd'!$B$117:$AL$117,0))*1000*About!$A$33)*(About!$A$39)</f>
        <v>665750.96062191785</v>
      </c>
      <c r="M26" s="4">
        <f>(B26*'Coal Cost Multipliers'!$B$33)*(About!$A$39)</f>
        <v>1211755.7916203425</v>
      </c>
      <c r="N26" s="4">
        <v>0</v>
      </c>
    </row>
    <row r="27" spans="1:14">
      <c r="A27" s="1">
        <v>2042</v>
      </c>
      <c r="B27" s="4">
        <f>('Anexo Tabla 4.2.11.'!$C$5*INDEX('Cost Improvement and Off Wnd'!$B$118:$AL$126,MATCH("coal",'Cost Improvement and Off Wnd'!$A$118:$A$126,0),MATCH('CCaMC-BCCpUC'!$A27,'Cost Improvement and Off Wnd'!$B$117:$AL$117,0))*1000*About!$A$33)*(About!$A$39)</f>
        <v>1093295.8182752798</v>
      </c>
      <c r="C27" s="4">
        <f>('Anexo Tabla 4.2.11.'!$C$6*INDEX('Cost Improvement and Off Wnd'!$B$118:$AL$126,MATCH("natural gas nonpeaker",'Cost Improvement and Off Wnd'!$A$118:$A$126,0),MATCH('CCaMC-BCCpUC'!$A27,'Cost Improvement and Off Wnd'!$B$117:$AL$117,0))*1000*About!$A$33)*(About!$A$39)</f>
        <v>801265.11484237039</v>
      </c>
      <c r="D27" s="4">
        <f>('Anexo Tabla 4.2.11.'!$C$11*INDEX('Cost Improvement and Off Wnd'!$B$118:$AL$126,MATCH("nuclear",'Cost Improvement and Off Wnd'!$A$118:$A$126,0),MATCH('CCaMC-BCCpUC'!$A27,'Cost Improvement and Off Wnd'!$B$117:$AL$117,0))*1000*About!$A$33)*(About!$A$39)</f>
        <v>3288600.5751367626</v>
      </c>
      <c r="E27" s="4">
        <f>('Anexo Tabla 4.2.11.'!$C$10*INDEX('Cost Improvement and Off Wnd'!$B$118:$AL$126,MATCH("hydro",'Cost Improvement and Off Wnd'!$A$118:$A$126,0),MATCH('CCaMC-BCCpUC'!$A27,'Cost Improvement and Off Wnd'!$B$117:$AL$117,0))*1000*About!$A$33)*(About!$A$39)</f>
        <v>1570256.6534486322</v>
      </c>
      <c r="F27" s="4">
        <v>0</v>
      </c>
      <c r="G27" s="4">
        <v>0</v>
      </c>
      <c r="H27" s="4">
        <f>('Anexo Tabla 4.2.11.'!$C$14*INDEX('Cost Improvement and Off Wnd'!$B$118:$AL$126,MATCH("solar thermal",'Cost Improvement and Off Wnd'!$A$118:$A$126,0),MATCH('CCaMC-BCCpUC'!$A27,'Cost Improvement and Off Wnd'!$B$117:$AL$117,0))*1000*About!$A$33)*(About!$A$39)</f>
        <v>3664838.9261161825</v>
      </c>
      <c r="I27" s="61">
        <f>'EIA Costs'!$D$14*INDEX('Cost Improvement and Off Wnd'!$B$118:$AL$126,MATCH("biomass",'Cost Improvement and Off Wnd'!$A$118:$A$126,0),MATCH('CCaMC-BCCpUC'!$A27,'Cost Improvement and Off Wnd'!$B$117:$AL$117,0))*1000*About!$A$33</f>
        <v>3329716.7738449299</v>
      </c>
      <c r="J27" s="4">
        <f>('Anexo Tabla 4.2.11.'!$C$9*INDEX('Cost Improvement and Off Wnd'!$B$118:$AL$126,MATCH("geothermal",'Cost Improvement and Off Wnd'!$A$118:$A$126,0),MATCH('CCaMC-BCCpUC'!$A27,'Cost Improvement and Off Wnd'!$B$117:$AL$117,0))*1000*About!$A$33)*(About!$A$39)</f>
        <v>1664652.2392499996</v>
      </c>
      <c r="K27" s="4">
        <f>('Anexo Tabla 4.2.11.'!$C$13*INDEX('Cost Improvement and Off Wnd'!$B$118:$AL$126,MATCH("natural gas peaker",'Cost Improvement and Off Wnd'!$A$118:$A$126,0),MATCH('CCaMC-BCCpUC'!$A27,'Cost Improvement and Off Wnd'!$B$117:$AL$117,0))*1000*About!$A$33)*(About!$A$39)</f>
        <v>1337516.4961500007</v>
      </c>
      <c r="L27" s="4">
        <f>('Anexo Tabla 4.2.11.'!$C$15*INDEX('Cost Improvement and Off Wnd'!$B$118:$AL$126,MATCH("natural gas peaker",'Cost Improvement and Off Wnd'!$A$118:$A$126,0),MATCH('CCaMC-BCCpUC'!$A27,'Cost Improvement and Off Wnd'!$B$117:$AL$117,0))*1000*About!$A$33)*(About!$A$39)</f>
        <v>663144.24908967537</v>
      </c>
      <c r="M27" s="4">
        <f>(B27*'Coal Cost Multipliers'!$B$33)*(About!$A$39)</f>
        <v>1203713.411295291</v>
      </c>
      <c r="N27" s="4">
        <v>0</v>
      </c>
    </row>
    <row r="28" spans="1:14">
      <c r="A28" s="1">
        <v>2043</v>
      </c>
      <c r="B28" s="4">
        <f>('Anexo Tabla 4.2.11.'!$C$5*INDEX('Cost Improvement and Off Wnd'!$B$118:$AL$126,MATCH("coal",'Cost Improvement and Off Wnd'!$A$118:$A$126,0),MATCH('CCaMC-BCCpUC'!$A28,'Cost Improvement and Off Wnd'!$B$117:$AL$117,0))*1000*About!$A$33)*(About!$A$39)</f>
        <v>1085991.1719235398</v>
      </c>
      <c r="C28" s="4">
        <f>('Anexo Tabla 4.2.11.'!$C$6*INDEX('Cost Improvement and Off Wnd'!$B$118:$AL$126,MATCH("natural gas nonpeaker",'Cost Improvement and Off Wnd'!$A$118:$A$126,0),MATCH('CCaMC-BCCpUC'!$A28,'Cost Improvement and Off Wnd'!$B$117:$AL$117,0))*1000*About!$A$33)*(About!$A$39)</f>
        <v>798288.28035228571</v>
      </c>
      <c r="D28" s="4">
        <f>('Anexo Tabla 4.2.11.'!$C$11*INDEX('Cost Improvement and Off Wnd'!$B$118:$AL$126,MATCH("nuclear",'Cost Improvement and Off Wnd'!$A$118:$A$126,0),MATCH('CCaMC-BCCpUC'!$A28,'Cost Improvement and Off Wnd'!$B$117:$AL$117,0))*1000*About!$A$33)*(About!$A$39)</f>
        <v>3269063.565520246</v>
      </c>
      <c r="E28" s="4">
        <f>('Anexo Tabla 4.2.11.'!$C$10*INDEX('Cost Improvement and Off Wnd'!$B$118:$AL$126,MATCH("hydro",'Cost Improvement and Off Wnd'!$A$118:$A$126,0),MATCH('CCaMC-BCCpUC'!$A28,'Cost Improvement and Off Wnd'!$B$117:$AL$117,0))*1000*About!$A$33)*(About!$A$39)</f>
        <v>1567188.9925058228</v>
      </c>
      <c r="F28" s="4">
        <v>0</v>
      </c>
      <c r="G28" s="4">
        <v>0</v>
      </c>
      <c r="H28" s="4">
        <f>('Anexo Tabla 4.2.11.'!$C$14*INDEX('Cost Improvement and Off Wnd'!$B$118:$AL$126,MATCH("solar thermal",'Cost Improvement and Off Wnd'!$A$118:$A$126,0),MATCH('CCaMC-BCCpUC'!$A28,'Cost Improvement and Off Wnd'!$B$117:$AL$117,0))*1000*About!$A$33)*(About!$A$39)</f>
        <v>3658580.7101907493</v>
      </c>
      <c r="I28" s="61">
        <f>'EIA Costs'!$D$14*INDEX('Cost Improvement and Off Wnd'!$B$118:$AL$126,MATCH("biomass",'Cost Improvement and Off Wnd'!$A$118:$A$126,0),MATCH('CCaMC-BCCpUC'!$A28,'Cost Improvement and Off Wnd'!$B$117:$AL$117,0))*1000*About!$A$33</f>
        <v>3319725.0332280574</v>
      </c>
      <c r="J28" s="4">
        <f>('Anexo Tabla 4.2.11.'!$C$9*INDEX('Cost Improvement and Off Wnd'!$B$118:$AL$126,MATCH("geothermal",'Cost Improvement and Off Wnd'!$A$118:$A$126,0),MATCH('CCaMC-BCCpUC'!$A28,'Cost Improvement and Off Wnd'!$B$117:$AL$117,0))*1000*About!$A$33)*(About!$A$39)</f>
        <v>1661747.0870000001</v>
      </c>
      <c r="K28" s="4">
        <f>('Anexo Tabla 4.2.11.'!$C$13*INDEX('Cost Improvement and Off Wnd'!$B$118:$AL$126,MATCH("natural gas peaker",'Cost Improvement and Off Wnd'!$A$118:$A$126,0),MATCH('CCaMC-BCCpUC'!$A28,'Cost Improvement and Off Wnd'!$B$117:$AL$117,0))*1000*About!$A$33)*(About!$A$39)</f>
        <v>1332258.9376627412</v>
      </c>
      <c r="L28" s="4">
        <f>('Anexo Tabla 4.2.11.'!$C$15*INDEX('Cost Improvement and Off Wnd'!$B$118:$AL$126,MATCH("natural gas peaker",'Cost Improvement and Off Wnd'!$A$118:$A$126,0),MATCH('CCaMC-BCCpUC'!$A28,'Cost Improvement and Off Wnd'!$B$117:$AL$117,0))*1000*About!$A$33)*(About!$A$39)</f>
        <v>660537.53755743278</v>
      </c>
      <c r="M28" s="4">
        <f>(B28*'Coal Cost Multipliers'!$B$33)*(About!$A$39)</f>
        <v>1195671.0309702393</v>
      </c>
      <c r="N28" s="4">
        <v>0</v>
      </c>
    </row>
    <row r="29" spans="1:14">
      <c r="A29" s="1">
        <v>2044</v>
      </c>
      <c r="B29" s="4">
        <f>('Anexo Tabla 4.2.11.'!$C$5*INDEX('Cost Improvement and Off Wnd'!$B$118:$AL$126,MATCH("coal",'Cost Improvement and Off Wnd'!$A$118:$A$126,0),MATCH('CCaMC-BCCpUC'!$A29,'Cost Improvement and Off Wnd'!$B$117:$AL$117,0))*1000*About!$A$33)*(About!$A$39)</f>
        <v>1078686.5255717998</v>
      </c>
      <c r="C29" s="4">
        <f>('Anexo Tabla 4.2.11.'!$C$6*INDEX('Cost Improvement and Off Wnd'!$B$118:$AL$126,MATCH("natural gas nonpeaker",'Cost Improvement and Off Wnd'!$A$118:$A$126,0),MATCH('CCaMC-BCCpUC'!$A29,'Cost Improvement and Off Wnd'!$B$117:$AL$117,0))*1000*About!$A$33)*(About!$A$39)</f>
        <v>795311.44586220093</v>
      </c>
      <c r="D29" s="4">
        <f>('Anexo Tabla 4.2.11.'!$C$11*INDEX('Cost Improvement and Off Wnd'!$B$118:$AL$126,MATCH("nuclear",'Cost Improvement and Off Wnd'!$A$118:$A$126,0),MATCH('CCaMC-BCCpUC'!$A29,'Cost Improvement and Off Wnd'!$B$117:$AL$117,0))*1000*About!$A$33)*(About!$A$39)</f>
        <v>3249526.55590373</v>
      </c>
      <c r="E29" s="4">
        <f>('Anexo Tabla 4.2.11.'!$C$10*INDEX('Cost Improvement and Off Wnd'!$B$118:$AL$126,MATCH("hydro",'Cost Improvement and Off Wnd'!$A$118:$A$126,0),MATCH('CCaMC-BCCpUC'!$A29,'Cost Improvement and Off Wnd'!$B$117:$AL$117,0))*1000*About!$A$33)*(About!$A$39)</f>
        <v>1564121.3315630134</v>
      </c>
      <c r="F29" s="4">
        <v>0</v>
      </c>
      <c r="G29" s="4">
        <v>0</v>
      </c>
      <c r="H29" s="4">
        <f>('Anexo Tabla 4.2.11.'!$C$14*INDEX('Cost Improvement and Off Wnd'!$B$118:$AL$126,MATCH("solar thermal",'Cost Improvement and Off Wnd'!$A$118:$A$126,0),MATCH('CCaMC-BCCpUC'!$A29,'Cost Improvement and Off Wnd'!$B$117:$AL$117,0))*1000*About!$A$33)*(About!$A$39)</f>
        <v>3652557.2525171526</v>
      </c>
      <c r="I29" s="61">
        <f>'EIA Costs'!$D$14*INDEX('Cost Improvement and Off Wnd'!$B$118:$AL$126,MATCH("biomass",'Cost Improvement and Off Wnd'!$A$118:$A$126,0),MATCH('CCaMC-BCCpUC'!$A29,'Cost Improvement and Off Wnd'!$B$117:$AL$117,0))*1000*About!$A$33</f>
        <v>3309733.2926111841</v>
      </c>
      <c r="J29" s="4">
        <f>('Anexo Tabla 4.2.11.'!$C$9*INDEX('Cost Improvement and Off Wnd'!$B$118:$AL$126,MATCH("geothermal",'Cost Improvement and Off Wnd'!$A$118:$A$126,0),MATCH('CCaMC-BCCpUC'!$A29,'Cost Improvement and Off Wnd'!$B$117:$AL$117,0))*1000*About!$A$33)*(About!$A$39)</f>
        <v>1658841.93475</v>
      </c>
      <c r="K29" s="4">
        <f>('Anexo Tabla 4.2.11.'!$C$13*INDEX('Cost Improvement and Off Wnd'!$B$118:$AL$126,MATCH("natural gas peaker",'Cost Improvement and Off Wnd'!$A$118:$A$126,0),MATCH('CCaMC-BCCpUC'!$A29,'Cost Improvement and Off Wnd'!$B$117:$AL$117,0))*1000*About!$A$33)*(About!$A$39)</f>
        <v>1327001.3791754819</v>
      </c>
      <c r="L29" s="4">
        <f>('Anexo Tabla 4.2.11.'!$C$15*INDEX('Cost Improvement and Off Wnd'!$B$118:$AL$126,MATCH("natural gas peaker",'Cost Improvement and Off Wnd'!$A$118:$A$126,0),MATCH('CCaMC-BCCpUC'!$A29,'Cost Improvement and Off Wnd'!$B$117:$AL$117,0))*1000*About!$A$33)*(About!$A$39)</f>
        <v>657930.82602519041</v>
      </c>
      <c r="M29" s="4">
        <f>(B29*'Coal Cost Multipliers'!$B$33)*(About!$A$39)</f>
        <v>1187628.6506451871</v>
      </c>
      <c r="N29" s="4">
        <v>0</v>
      </c>
    </row>
    <row r="30" spans="1:14">
      <c r="A30" s="1">
        <v>2045</v>
      </c>
      <c r="B30" s="4">
        <f>('Anexo Tabla 4.2.11.'!$C$5*INDEX('Cost Improvement and Off Wnd'!$B$118:$AL$126,MATCH("coal",'Cost Improvement and Off Wnd'!$A$118:$A$126,0),MATCH('CCaMC-BCCpUC'!$A30,'Cost Improvement and Off Wnd'!$B$117:$AL$117,0))*1000*About!$A$33)*(About!$A$39)</f>
        <v>1071381.8792200603</v>
      </c>
      <c r="C30" s="4">
        <f>('Anexo Tabla 4.2.11.'!$C$6*INDEX('Cost Improvement and Off Wnd'!$B$118:$AL$126,MATCH("natural gas nonpeaker",'Cost Improvement and Off Wnd'!$A$118:$A$126,0),MATCH('CCaMC-BCCpUC'!$A30,'Cost Improvement and Off Wnd'!$B$117:$AL$117,0))*1000*About!$A$33)*(About!$A$39)</f>
        <v>792334.61137211649</v>
      </c>
      <c r="D30" s="4">
        <f>('Anexo Tabla 4.2.11.'!$C$11*INDEX('Cost Improvement and Off Wnd'!$B$118:$AL$126,MATCH("nuclear",'Cost Improvement and Off Wnd'!$A$118:$A$126,0),MATCH('CCaMC-BCCpUC'!$A30,'Cost Improvement and Off Wnd'!$B$117:$AL$117,0))*1000*About!$A$33)*(About!$A$39)</f>
        <v>3229989.546287213</v>
      </c>
      <c r="E30" s="4">
        <f>('Anexo Tabla 4.2.11.'!$C$10*INDEX('Cost Improvement and Off Wnd'!$B$118:$AL$126,MATCH("hydro",'Cost Improvement and Off Wnd'!$A$118:$A$126,0),MATCH('CCaMC-BCCpUC'!$A30,'Cost Improvement and Off Wnd'!$B$117:$AL$117,0))*1000*About!$A$33)*(About!$A$39)</f>
        <v>1561057.7765218802</v>
      </c>
      <c r="F30" s="4">
        <v>0</v>
      </c>
      <c r="G30" s="4">
        <v>0</v>
      </c>
      <c r="H30" s="4">
        <f>('Anexo Tabla 4.2.11.'!$C$14*INDEX('Cost Improvement and Off Wnd'!$B$118:$AL$126,MATCH("solar thermal",'Cost Improvement and Off Wnd'!$A$118:$A$126,0),MATCH('CCaMC-BCCpUC'!$A30,'Cost Improvement and Off Wnd'!$B$117:$AL$117,0))*1000*About!$A$33)*(About!$A$39)</f>
        <v>3646753.132567347</v>
      </c>
      <c r="I30" s="61">
        <f>'EIA Costs'!$D$14*INDEX('Cost Improvement and Off Wnd'!$B$118:$AL$126,MATCH("biomass",'Cost Improvement and Off Wnd'!$A$118:$A$126,0),MATCH('CCaMC-BCCpUC'!$A30,'Cost Improvement and Off Wnd'!$B$117:$AL$117,0))*1000*About!$A$33</f>
        <v>3299741.5519943121</v>
      </c>
      <c r="J30" s="4">
        <f>('Anexo Tabla 4.2.11.'!$C$9*INDEX('Cost Improvement and Off Wnd'!$B$118:$AL$126,MATCH("geothermal",'Cost Improvement and Off Wnd'!$A$118:$A$126,0),MATCH('CCaMC-BCCpUC'!$A30,'Cost Improvement and Off Wnd'!$B$117:$AL$117,0))*1000*About!$A$33)*(About!$A$39)</f>
        <v>1655936.7825</v>
      </c>
      <c r="K30" s="4">
        <f>('Anexo Tabla 4.2.11.'!$C$13*INDEX('Cost Improvement and Off Wnd'!$B$118:$AL$126,MATCH("natural gas peaker",'Cost Improvement and Off Wnd'!$A$118:$A$126,0),MATCH('CCaMC-BCCpUC'!$A30,'Cost Improvement and Off Wnd'!$B$117:$AL$117,0))*1000*About!$A$33)*(About!$A$39)</f>
        <v>1321743.8206882223</v>
      </c>
      <c r="L30" s="4">
        <f>('Anexo Tabla 4.2.11.'!$C$15*INDEX('Cost Improvement and Off Wnd'!$B$118:$AL$126,MATCH("natural gas peaker",'Cost Improvement and Off Wnd'!$A$118:$A$126,0),MATCH('CCaMC-BCCpUC'!$A30,'Cost Improvement and Off Wnd'!$B$117:$AL$117,0))*1000*About!$A$33)*(About!$A$39)</f>
        <v>655324.11449294805</v>
      </c>
      <c r="M30" s="4">
        <f>(B30*'Coal Cost Multipliers'!$B$33)*(About!$A$39)</f>
        <v>1179586.2703201359</v>
      </c>
      <c r="N30" s="4">
        <v>0</v>
      </c>
    </row>
    <row r="31" spans="1:14">
      <c r="A31" s="1">
        <v>2046</v>
      </c>
      <c r="B31" s="4">
        <f>('Anexo Tabla 4.2.11.'!$C$5*INDEX('Cost Improvement and Off Wnd'!$B$118:$AL$126,MATCH("coal",'Cost Improvement and Off Wnd'!$A$118:$A$126,0),MATCH('CCaMC-BCCpUC'!$A31,'Cost Improvement and Off Wnd'!$B$117:$AL$117,0))*1000*About!$A$33)*(About!$A$39)</f>
        <v>1064077.2328683203</v>
      </c>
      <c r="C31" s="4">
        <f>('Anexo Tabla 4.2.11.'!$C$6*INDEX('Cost Improvement and Off Wnd'!$B$118:$AL$126,MATCH("natural gas nonpeaker",'Cost Improvement and Off Wnd'!$A$118:$A$126,0),MATCH('CCaMC-BCCpUC'!$A31,'Cost Improvement and Off Wnd'!$B$117:$AL$117,0))*1000*About!$A$33)*(About!$A$39)</f>
        <v>789357.77688203182</v>
      </c>
      <c r="D31" s="4">
        <f>('Anexo Tabla 4.2.11.'!$C$11*INDEX('Cost Improvement and Off Wnd'!$B$118:$AL$126,MATCH("nuclear",'Cost Improvement and Off Wnd'!$A$118:$A$126,0),MATCH('CCaMC-BCCpUC'!$A31,'Cost Improvement and Off Wnd'!$B$117:$AL$117,0))*1000*About!$A$33)*(About!$A$39)</f>
        <v>3210452.5366706965</v>
      </c>
      <c r="E31" s="4">
        <f>('Anexo Tabla 4.2.11.'!$C$10*INDEX('Cost Improvement and Off Wnd'!$B$118:$AL$126,MATCH("hydro",'Cost Improvement and Off Wnd'!$A$118:$A$126,0),MATCH('CCaMC-BCCpUC'!$A31,'Cost Improvement and Off Wnd'!$B$117:$AL$117,0))*1000*About!$A$33)*(About!$A$39)</f>
        <v>1557994.221480747</v>
      </c>
      <c r="F31" s="4">
        <v>0</v>
      </c>
      <c r="G31" s="4">
        <v>0</v>
      </c>
      <c r="H31" s="4">
        <f>('Anexo Tabla 4.2.11.'!$C$14*INDEX('Cost Improvement and Off Wnd'!$B$118:$AL$126,MATCH("solar thermal",'Cost Improvement and Off Wnd'!$A$118:$A$126,0),MATCH('CCaMC-BCCpUC'!$A31,'Cost Improvement and Off Wnd'!$B$117:$AL$117,0))*1000*About!$A$33)*(About!$A$39)</f>
        <v>3641154.3744257507</v>
      </c>
      <c r="I31" s="61">
        <f>'EIA Costs'!$D$14*INDEX('Cost Improvement and Off Wnd'!$B$118:$AL$126,MATCH("biomass",'Cost Improvement and Off Wnd'!$A$118:$A$126,0),MATCH('CCaMC-BCCpUC'!$A31,'Cost Improvement and Off Wnd'!$B$117:$AL$117,0))*1000*About!$A$33</f>
        <v>3289749.8113774383</v>
      </c>
      <c r="J31" s="4">
        <f>('Anexo Tabla 4.2.11.'!$C$9*INDEX('Cost Improvement and Off Wnd'!$B$118:$AL$126,MATCH("geothermal",'Cost Improvement and Off Wnd'!$A$118:$A$126,0),MATCH('CCaMC-BCCpUC'!$A31,'Cost Improvement and Off Wnd'!$B$117:$AL$117,0))*1000*About!$A$33)*(About!$A$39)</f>
        <v>1653031.6302500002</v>
      </c>
      <c r="K31" s="4">
        <f>('Anexo Tabla 4.2.11.'!$C$13*INDEX('Cost Improvement and Off Wnd'!$B$118:$AL$126,MATCH("natural gas peaker",'Cost Improvement and Off Wnd'!$A$118:$A$126,0),MATCH('CCaMC-BCCpUC'!$A31,'Cost Improvement and Off Wnd'!$B$117:$AL$117,0))*1000*About!$A$33)*(About!$A$39)</f>
        <v>1316486.2622009628</v>
      </c>
      <c r="L31" s="4">
        <f>('Anexo Tabla 4.2.11.'!$C$15*INDEX('Cost Improvement and Off Wnd'!$B$118:$AL$126,MATCH("natural gas peaker",'Cost Improvement and Off Wnd'!$A$118:$A$126,0),MATCH('CCaMC-BCCpUC'!$A31,'Cost Improvement and Off Wnd'!$B$117:$AL$117,0))*1000*About!$A$33)*(About!$A$39)</f>
        <v>652717.40296070545</v>
      </c>
      <c r="M31" s="4">
        <f>(B31*'Coal Cost Multipliers'!$B$33)*(About!$A$39)</f>
        <v>1171543.8899950839</v>
      </c>
      <c r="N31" s="4">
        <v>0</v>
      </c>
    </row>
    <row r="32" spans="1:14">
      <c r="A32" s="1">
        <v>2047</v>
      </c>
      <c r="B32" s="4">
        <f>('Anexo Tabla 4.2.11.'!$C$5*INDEX('Cost Improvement and Off Wnd'!$B$118:$AL$126,MATCH("coal",'Cost Improvement and Off Wnd'!$A$118:$A$126,0),MATCH('CCaMC-BCCpUC'!$A32,'Cost Improvement and Off Wnd'!$B$117:$AL$117,0))*1000*About!$A$33)*(About!$A$39)</f>
        <v>1056772.5865165805</v>
      </c>
      <c r="C32" s="4">
        <f>('Anexo Tabla 4.2.11.'!$C$6*INDEX('Cost Improvement and Off Wnd'!$B$118:$AL$126,MATCH("natural gas nonpeaker",'Cost Improvement and Off Wnd'!$A$118:$A$126,0),MATCH('CCaMC-BCCpUC'!$A32,'Cost Improvement and Off Wnd'!$B$117:$AL$117,0))*1000*About!$A$33)*(About!$A$39)</f>
        <v>786380.94239194714</v>
      </c>
      <c r="D32" s="4">
        <f>('Anexo Tabla 4.2.11.'!$C$11*INDEX('Cost Improvement and Off Wnd'!$B$118:$AL$126,MATCH("nuclear",'Cost Improvement and Off Wnd'!$A$118:$A$126,0),MATCH('CCaMC-BCCpUC'!$A32,'Cost Improvement and Off Wnd'!$B$117:$AL$117,0))*1000*About!$A$33)*(About!$A$39)</f>
        <v>3190915.5270541804</v>
      </c>
      <c r="E32" s="4">
        <f>('Anexo Tabla 4.2.11.'!$C$10*INDEX('Cost Improvement and Off Wnd'!$B$118:$AL$126,MATCH("hydro",'Cost Improvement and Off Wnd'!$A$118:$A$126,0),MATCH('CCaMC-BCCpUC'!$A32,'Cost Improvement and Off Wnd'!$B$117:$AL$117,0))*1000*About!$A$33)*(About!$A$39)</f>
        <v>1554934.748811767</v>
      </c>
      <c r="F32" s="4">
        <v>0</v>
      </c>
      <c r="G32" s="4">
        <v>0</v>
      </c>
      <c r="H32" s="4">
        <f>('Anexo Tabla 4.2.11.'!$C$14*INDEX('Cost Improvement and Off Wnd'!$B$118:$AL$126,MATCH("solar thermal",'Cost Improvement and Off Wnd'!$A$118:$A$126,0),MATCH('CCaMC-BCCpUC'!$A32,'Cost Improvement and Off Wnd'!$B$117:$AL$117,0))*1000*About!$A$33)*(About!$A$39)</f>
        <v>3635748.272233089</v>
      </c>
      <c r="I32" s="61">
        <f>'EIA Costs'!$D$14*INDEX('Cost Improvement and Off Wnd'!$B$118:$AL$126,MATCH("biomass",'Cost Improvement and Off Wnd'!$A$118:$A$126,0),MATCH('CCaMC-BCCpUC'!$A32,'Cost Improvement and Off Wnd'!$B$117:$AL$117,0))*1000*About!$A$33</f>
        <v>3279758.0707605658</v>
      </c>
      <c r="J32" s="4">
        <f>('Anexo Tabla 4.2.11.'!$C$9*INDEX('Cost Improvement and Off Wnd'!$B$118:$AL$126,MATCH("geothermal",'Cost Improvement and Off Wnd'!$A$118:$A$126,0),MATCH('CCaMC-BCCpUC'!$A32,'Cost Improvement and Off Wnd'!$B$117:$AL$117,0))*1000*About!$A$33)*(About!$A$39)</f>
        <v>1650126.4779999997</v>
      </c>
      <c r="K32" s="4">
        <f>('Anexo Tabla 4.2.11.'!$C$13*INDEX('Cost Improvement and Off Wnd'!$B$118:$AL$126,MATCH("natural gas peaker",'Cost Improvement and Off Wnd'!$A$118:$A$126,0),MATCH('CCaMC-BCCpUC'!$A32,'Cost Improvement and Off Wnd'!$B$117:$AL$117,0))*1000*About!$A$33)*(About!$A$39)</f>
        <v>1311228.7037137032</v>
      </c>
      <c r="L32" s="4">
        <f>('Anexo Tabla 4.2.11.'!$C$15*INDEX('Cost Improvement and Off Wnd'!$B$118:$AL$126,MATCH("natural gas peaker",'Cost Improvement and Off Wnd'!$A$118:$A$126,0),MATCH('CCaMC-BCCpUC'!$A32,'Cost Improvement and Off Wnd'!$B$117:$AL$117,0))*1000*About!$A$33)*(About!$A$39)</f>
        <v>650110.69142846321</v>
      </c>
      <c r="M32" s="4">
        <f>(B32*'Coal Cost Multipliers'!$B$33)*(About!$A$39)</f>
        <v>1163501.5096700322</v>
      </c>
      <c r="N32" s="4">
        <v>0</v>
      </c>
    </row>
    <row r="33" spans="1:14">
      <c r="A33" s="1">
        <v>2048</v>
      </c>
      <c r="B33" s="4">
        <f>('Anexo Tabla 4.2.11.'!$C$5*INDEX('Cost Improvement and Off Wnd'!$B$118:$AL$126,MATCH("coal",'Cost Improvement and Off Wnd'!$A$118:$A$126,0),MATCH('CCaMC-BCCpUC'!$A33,'Cost Improvement and Off Wnd'!$B$117:$AL$117,0))*1000*About!$A$33)*(About!$A$39)</f>
        <v>1049467.9401648408</v>
      </c>
      <c r="C33" s="4">
        <f>('Anexo Tabla 4.2.11.'!$C$6*INDEX('Cost Improvement and Off Wnd'!$B$118:$AL$126,MATCH("natural gas nonpeaker",'Cost Improvement and Off Wnd'!$A$118:$A$126,0),MATCH('CCaMC-BCCpUC'!$A33,'Cost Improvement and Off Wnd'!$B$117:$AL$117,0))*1000*About!$A$33)*(About!$A$39)</f>
        <v>783404.10790186259</v>
      </c>
      <c r="D33" s="4">
        <f>('Anexo Tabla 4.2.11.'!$C$11*INDEX('Cost Improvement and Off Wnd'!$B$118:$AL$126,MATCH("nuclear",'Cost Improvement and Off Wnd'!$A$118:$A$126,0),MATCH('CCaMC-BCCpUC'!$A33,'Cost Improvement and Off Wnd'!$B$117:$AL$117,0))*1000*About!$A$33)*(About!$A$39)</f>
        <v>3171378.5174376634</v>
      </c>
      <c r="E33" s="4">
        <f>('Anexo Tabla 4.2.11.'!$C$10*INDEX('Cost Improvement and Off Wnd'!$B$118:$AL$126,MATCH("hydro",'Cost Improvement and Off Wnd'!$A$118:$A$126,0),MATCH('CCaMC-BCCpUC'!$A33,'Cost Improvement and Off Wnd'!$B$117:$AL$117,0))*1000*About!$A$33)*(About!$A$39)</f>
        <v>1551875.276142787</v>
      </c>
      <c r="F33" s="4">
        <v>0</v>
      </c>
      <c r="G33" s="4">
        <v>0</v>
      </c>
      <c r="H33" s="4">
        <f>('Anexo Tabla 4.2.11.'!$C$14*INDEX('Cost Improvement and Off Wnd'!$B$118:$AL$126,MATCH("solar thermal",'Cost Improvement and Off Wnd'!$A$118:$A$126,0),MATCH('CCaMC-BCCpUC'!$A33,'Cost Improvement and Off Wnd'!$B$117:$AL$117,0))*1000*About!$A$33)*(About!$A$39)</f>
        <v>3630523.2412469476</v>
      </c>
      <c r="I33" s="61">
        <f>'EIA Costs'!$D$14*INDEX('Cost Improvement and Off Wnd'!$B$118:$AL$126,MATCH("biomass",'Cost Improvement and Off Wnd'!$A$118:$A$126,0),MATCH('CCaMC-BCCpUC'!$A33,'Cost Improvement and Off Wnd'!$B$117:$AL$117,0))*1000*About!$A$33</f>
        <v>3269766.3301436924</v>
      </c>
      <c r="J33" s="4">
        <f>('Anexo Tabla 4.2.11.'!$C$9*INDEX('Cost Improvement and Off Wnd'!$B$118:$AL$126,MATCH("geothermal",'Cost Improvement and Off Wnd'!$A$118:$A$126,0),MATCH('CCaMC-BCCpUC'!$A33,'Cost Improvement and Off Wnd'!$B$117:$AL$117,0))*1000*About!$A$33)*(About!$A$39)</f>
        <v>1647221.3257499998</v>
      </c>
      <c r="K33" s="4">
        <f>('Anexo Tabla 4.2.11.'!$C$13*INDEX('Cost Improvement and Off Wnd'!$B$118:$AL$126,MATCH("natural gas peaker",'Cost Improvement and Off Wnd'!$A$118:$A$126,0),MATCH('CCaMC-BCCpUC'!$A33,'Cost Improvement and Off Wnd'!$B$117:$AL$117,0))*1000*About!$A$33)*(About!$A$39)</f>
        <v>1305971.1452264439</v>
      </c>
      <c r="L33" s="4">
        <f>('Anexo Tabla 4.2.11.'!$C$15*INDEX('Cost Improvement and Off Wnd'!$B$118:$AL$126,MATCH("natural gas peaker",'Cost Improvement and Off Wnd'!$A$118:$A$126,0),MATCH('CCaMC-BCCpUC'!$A33,'Cost Improvement and Off Wnd'!$B$117:$AL$117,0))*1000*About!$A$33)*(About!$A$39)</f>
        <v>647503.97989622073</v>
      </c>
      <c r="M33" s="4">
        <f>(B33*'Coal Cost Multipliers'!$B$33)*(About!$A$39)</f>
        <v>1155459.1293449805</v>
      </c>
      <c r="N33" s="4">
        <v>0</v>
      </c>
    </row>
    <row r="34" spans="1:14">
      <c r="A34" s="1">
        <v>2049</v>
      </c>
      <c r="B34" s="4">
        <f>('Anexo Tabla 4.2.11.'!$C$5*INDEX('Cost Improvement and Off Wnd'!$B$118:$AL$126,MATCH("coal",'Cost Improvement and Off Wnd'!$A$118:$A$126,0),MATCH('CCaMC-BCCpUC'!$A34,'Cost Improvement and Off Wnd'!$B$117:$AL$117,0))*1000*About!$A$33)*(About!$A$39)</f>
        <v>1042163.2938131011</v>
      </c>
      <c r="C34" s="4">
        <f>('Anexo Tabla 4.2.11.'!$C$6*INDEX('Cost Improvement and Off Wnd'!$B$118:$AL$126,MATCH("natural gas nonpeaker",'Cost Improvement and Off Wnd'!$A$118:$A$126,0),MATCH('CCaMC-BCCpUC'!$A34,'Cost Improvement and Off Wnd'!$B$117:$AL$117,0))*1000*About!$A$33)*(About!$A$39)</f>
        <v>780427.2734117778</v>
      </c>
      <c r="D34" s="4">
        <f>('Anexo Tabla 4.2.11.'!$C$11*INDEX('Cost Improvement and Off Wnd'!$B$118:$AL$126,MATCH("nuclear",'Cost Improvement and Off Wnd'!$A$118:$A$126,0),MATCH('CCaMC-BCCpUC'!$A34,'Cost Improvement and Off Wnd'!$B$117:$AL$117,0))*1000*About!$A$33)*(About!$A$39)</f>
        <v>3151841.5078211473</v>
      </c>
      <c r="E34" s="4">
        <f>('Anexo Tabla 4.2.11.'!$C$10*INDEX('Cost Improvement and Off Wnd'!$B$118:$AL$126,MATCH("hydro",'Cost Improvement and Off Wnd'!$A$118:$A$126,0),MATCH('CCaMC-BCCpUC'!$A34,'Cost Improvement and Off Wnd'!$B$117:$AL$117,0))*1000*About!$A$33)*(About!$A$39)</f>
        <v>1548819.8673584785</v>
      </c>
      <c r="F34" s="4">
        <v>0</v>
      </c>
      <c r="G34" s="4">
        <v>0</v>
      </c>
      <c r="H34" s="4">
        <f>('Anexo Tabla 4.2.11.'!$C$14*INDEX('Cost Improvement and Off Wnd'!$B$118:$AL$126,MATCH("solar thermal",'Cost Improvement and Off Wnd'!$A$118:$A$126,0),MATCH('CCaMC-BCCpUC'!$A34,'Cost Improvement and Off Wnd'!$B$117:$AL$117,0))*1000*About!$A$33)*(About!$A$39)</f>
        <v>3625468.6901319721</v>
      </c>
      <c r="I34" s="61">
        <f>'EIA Costs'!$D$14*INDEX('Cost Improvement and Off Wnd'!$B$118:$AL$126,MATCH("biomass",'Cost Improvement and Off Wnd'!$A$118:$A$126,0),MATCH('CCaMC-BCCpUC'!$A34,'Cost Improvement and Off Wnd'!$B$117:$AL$117,0))*1000*About!$A$33</f>
        <v>3259774.5895268191</v>
      </c>
      <c r="J34" s="4">
        <f>('Anexo Tabla 4.2.11.'!$C$9*INDEX('Cost Improvement and Off Wnd'!$B$118:$AL$126,MATCH("geothermal",'Cost Improvement and Off Wnd'!$A$118:$A$126,0),MATCH('CCaMC-BCCpUC'!$A34,'Cost Improvement and Off Wnd'!$B$117:$AL$117,0))*1000*About!$A$33)*(About!$A$39)</f>
        <v>1644316.1735000003</v>
      </c>
      <c r="K34" s="4">
        <f>('Anexo Tabla 4.2.11.'!$C$13*INDEX('Cost Improvement and Off Wnd'!$B$118:$AL$126,MATCH("natural gas peaker",'Cost Improvement and Off Wnd'!$A$118:$A$126,0),MATCH('CCaMC-BCCpUC'!$A34,'Cost Improvement and Off Wnd'!$B$117:$AL$117,0))*1000*About!$A$33)*(About!$A$39)</f>
        <v>1300713.5867391843</v>
      </c>
      <c r="L34" s="4">
        <f>('Anexo Tabla 4.2.11.'!$C$15*INDEX('Cost Improvement and Off Wnd'!$B$118:$AL$126,MATCH("natural gas peaker",'Cost Improvement and Off Wnd'!$A$118:$A$126,0),MATCH('CCaMC-BCCpUC'!$A34,'Cost Improvement and Off Wnd'!$B$117:$AL$117,0))*1000*About!$A$33)*(About!$A$39)</f>
        <v>644897.26836397813</v>
      </c>
      <c r="M34" s="4">
        <f>(B34*'Coal Cost Multipliers'!$B$33)*(About!$A$39)</f>
        <v>1147416.749019929</v>
      </c>
      <c r="N34" s="4">
        <v>0</v>
      </c>
    </row>
    <row r="35" spans="1:14">
      <c r="A35" s="1">
        <v>2050</v>
      </c>
      <c r="B35" s="4">
        <f>('Anexo Tabla 4.2.11.'!$C$5*INDEX('Cost Improvement and Off Wnd'!$B$118:$AL$126,MATCH("coal",'Cost Improvement and Off Wnd'!$A$118:$A$126,0),MATCH('CCaMC-BCCpUC'!$A35,'Cost Improvement and Off Wnd'!$B$117:$AL$117,0))*1000*About!$A$33)*(About!$A$39)</f>
        <v>1034858.6474613614</v>
      </c>
      <c r="C35" s="4">
        <f>('Anexo Tabla 4.2.11.'!$C$6*INDEX('Cost Improvement and Off Wnd'!$B$118:$AL$126,MATCH("natural gas nonpeaker",'Cost Improvement and Off Wnd'!$A$118:$A$126,0),MATCH('CCaMC-BCCpUC'!$A35,'Cost Improvement and Off Wnd'!$B$117:$AL$117,0))*1000*About!$A$33)*(About!$A$39)</f>
        <v>777450.43892169325</v>
      </c>
      <c r="D35" s="4">
        <f>('Anexo Tabla 4.2.11.'!$C$11*INDEX('Cost Improvement and Off Wnd'!$B$118:$AL$126,MATCH("nuclear",'Cost Improvement and Off Wnd'!$A$118:$A$126,0),MATCH('CCaMC-BCCpUC'!$A35,'Cost Improvement and Off Wnd'!$B$117:$AL$117,0))*1000*About!$A$33)*(About!$A$39)</f>
        <v>3132304.4982046308</v>
      </c>
      <c r="E35" s="4">
        <f>('Anexo Tabla 4.2.11.'!$C$10*INDEX('Cost Improvement and Off Wnd'!$B$118:$AL$126,MATCH("hydro",'Cost Improvement and Off Wnd'!$A$118:$A$126,0),MATCH('CCaMC-BCCpUC'!$A35,'Cost Improvement and Off Wnd'!$B$117:$AL$117,0))*1000*About!$A$33)*(About!$A$39)</f>
        <v>1545764.4585741702</v>
      </c>
      <c r="F35" s="4">
        <v>0</v>
      </c>
      <c r="G35" s="4">
        <v>0</v>
      </c>
      <c r="H35" s="4">
        <f>('Anexo Tabla 4.2.11.'!$C$14*INDEX('Cost Improvement and Off Wnd'!$B$118:$AL$126,MATCH("solar thermal",'Cost Improvement and Off Wnd'!$A$118:$A$126,0),MATCH('CCaMC-BCCpUC'!$A35,'Cost Improvement and Off Wnd'!$B$117:$AL$117,0))*1000*About!$A$33)*(About!$A$39)</f>
        <v>3620574.9109436525</v>
      </c>
      <c r="I35" s="61">
        <f>'EIA Costs'!$D$14*INDEX('Cost Improvement and Off Wnd'!$B$118:$AL$126,MATCH("biomass",'Cost Improvement and Off Wnd'!$A$118:$A$126,0),MATCH('CCaMC-BCCpUC'!$A35,'Cost Improvement and Off Wnd'!$B$117:$AL$117,0))*1000*About!$A$33</f>
        <v>3249782.8489099462</v>
      </c>
      <c r="J35" s="4">
        <f>('Anexo Tabla 4.2.11.'!$C$9*INDEX('Cost Improvement and Off Wnd'!$B$118:$AL$126,MATCH("geothermal",'Cost Improvement and Off Wnd'!$A$118:$A$126,0),MATCH('CCaMC-BCCpUC'!$A35,'Cost Improvement and Off Wnd'!$B$117:$AL$117,0))*1000*About!$A$33)*(About!$A$39)</f>
        <v>1641411.0212500002</v>
      </c>
      <c r="K35" s="4">
        <f>('Anexo Tabla 4.2.11.'!$C$13*INDEX('Cost Improvement and Off Wnd'!$B$118:$AL$126,MATCH("natural gas peaker",'Cost Improvement and Off Wnd'!$A$118:$A$126,0),MATCH('CCaMC-BCCpUC'!$A35,'Cost Improvement and Off Wnd'!$B$117:$AL$117,0))*1000*About!$A$33)*(About!$A$39)</f>
        <v>1295456.0282519253</v>
      </c>
      <c r="L35" s="4">
        <f>('Anexo Tabla 4.2.11.'!$C$15*INDEX('Cost Improvement and Off Wnd'!$B$118:$AL$126,MATCH("natural gas peaker",'Cost Improvement and Off Wnd'!$A$118:$A$126,0),MATCH('CCaMC-BCCpUC'!$A35,'Cost Improvement and Off Wnd'!$B$117:$AL$117,0))*1000*About!$A$33)*(About!$A$39)</f>
        <v>642290.55683173577</v>
      </c>
      <c r="M35" s="4">
        <f>(B35*'Coal Cost Multipliers'!$B$33)*(About!$A$39)</f>
        <v>1139374.3686948775</v>
      </c>
      <c r="N35" s="4">
        <v>0</v>
      </c>
    </row>
    <row r="36" spans="1:14">
      <c r="B36" s="12"/>
    </row>
    <row r="37" spans="1:14">
      <c r="B37" s="12"/>
    </row>
    <row r="38" spans="1:14">
      <c r="B38" s="12"/>
    </row>
    <row r="39" spans="1:14">
      <c r="B39" s="12"/>
    </row>
    <row r="40" spans="1:14">
      <c r="B40" s="12"/>
    </row>
    <row r="41" spans="1:14">
      <c r="B41" s="12"/>
    </row>
    <row r="42" spans="1:14">
      <c r="B42" s="12"/>
    </row>
    <row r="43" spans="1:14">
      <c r="B43" s="12"/>
    </row>
    <row r="44" spans="1:14">
      <c r="B44" s="12"/>
    </row>
    <row r="45" spans="1:14">
      <c r="B45" s="12"/>
    </row>
    <row r="46" spans="1:14">
      <c r="B46" s="12"/>
    </row>
    <row r="47" spans="1:14">
      <c r="B47" s="12"/>
    </row>
    <row r="48" spans="1:14">
      <c r="B4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4.5"/>
  <cols>
    <col min="1" max="1" width="26.7265625" customWidth="1"/>
    <col min="2" max="2" width="26.7265625" style="20" customWidth="1"/>
    <col min="3" max="3" width="52.54296875" customWidth="1"/>
    <col min="4" max="4" width="34.453125" customWidth="1"/>
    <col min="5" max="5" width="31" customWidth="1"/>
    <col min="6" max="6" width="29.1796875" customWidth="1"/>
  </cols>
  <sheetData>
    <row r="1" spans="1:6">
      <c r="A1" s="1" t="s">
        <v>37</v>
      </c>
      <c r="B1" s="1" t="s">
        <v>67</v>
      </c>
      <c r="C1" s="1" t="s">
        <v>43</v>
      </c>
      <c r="D1" s="1" t="s">
        <v>39</v>
      </c>
      <c r="E1" s="1" t="s">
        <v>38</v>
      </c>
      <c r="F1" s="1" t="s">
        <v>40</v>
      </c>
    </row>
    <row r="2" spans="1:6">
      <c r="A2" s="20" t="s">
        <v>113</v>
      </c>
      <c r="B2" s="20" t="s">
        <v>68</v>
      </c>
      <c r="C2" t="s">
        <v>41</v>
      </c>
      <c r="D2">
        <v>2917</v>
      </c>
      <c r="E2" s="15">
        <v>4.47</v>
      </c>
      <c r="F2" s="15">
        <v>31.16</v>
      </c>
    </row>
    <row r="3" spans="1:6">
      <c r="C3" t="s">
        <v>42</v>
      </c>
      <c r="D3">
        <v>3727</v>
      </c>
      <c r="E3" s="15">
        <v>7.22</v>
      </c>
      <c r="F3" s="15">
        <v>51.37</v>
      </c>
    </row>
    <row r="4" spans="1:6">
      <c r="A4" t="s">
        <v>113</v>
      </c>
      <c r="B4" s="20" t="s">
        <v>69</v>
      </c>
      <c r="C4" t="s">
        <v>44</v>
      </c>
      <c r="D4">
        <v>6492</v>
      </c>
      <c r="E4" s="15">
        <v>8.44</v>
      </c>
      <c r="F4" s="15">
        <v>72.8</v>
      </c>
    </row>
    <row r="5" spans="1:6">
      <c r="A5" s="20" t="s">
        <v>29</v>
      </c>
      <c r="B5" s="20" t="s">
        <v>68</v>
      </c>
      <c r="C5" t="s">
        <v>45</v>
      </c>
      <c r="D5">
        <v>912</v>
      </c>
      <c r="E5" s="15">
        <v>3.6</v>
      </c>
      <c r="F5" s="15">
        <v>13.16</v>
      </c>
    </row>
    <row r="6" spans="1:6">
      <c r="A6" t="s">
        <v>29</v>
      </c>
      <c r="B6" s="20" t="s">
        <v>69</v>
      </c>
      <c r="C6" t="s">
        <v>46</v>
      </c>
      <c r="D6">
        <v>1017</v>
      </c>
      <c r="E6" s="15">
        <v>3.27</v>
      </c>
      <c r="F6" s="15">
        <v>15.36</v>
      </c>
    </row>
    <row r="7" spans="1:6">
      <c r="C7" t="s">
        <v>47</v>
      </c>
      <c r="D7">
        <v>2072</v>
      </c>
      <c r="E7" s="15">
        <v>6.78</v>
      </c>
      <c r="F7" s="15">
        <v>31.77</v>
      </c>
    </row>
    <row r="8" spans="1:6">
      <c r="A8" s="20" t="s">
        <v>32</v>
      </c>
      <c r="B8" s="20" t="s">
        <v>68</v>
      </c>
      <c r="C8" t="s">
        <v>48</v>
      </c>
      <c r="D8">
        <v>968</v>
      </c>
      <c r="E8" s="15">
        <v>15.44</v>
      </c>
      <c r="F8" s="15">
        <v>7.34</v>
      </c>
    </row>
    <row r="9" spans="1:6">
      <c r="A9" s="20" t="s">
        <v>32</v>
      </c>
      <c r="B9" s="20" t="s">
        <v>69</v>
      </c>
      <c r="C9" t="s">
        <v>49</v>
      </c>
      <c r="D9">
        <v>671</v>
      </c>
      <c r="E9" s="15">
        <v>10.37</v>
      </c>
      <c r="F9" s="15">
        <v>7.04</v>
      </c>
    </row>
    <row r="10" spans="1:6">
      <c r="C10" t="s">
        <v>50</v>
      </c>
      <c r="D10">
        <v>6978</v>
      </c>
      <c r="E10" s="15">
        <v>42.97</v>
      </c>
      <c r="F10" s="15">
        <v>0</v>
      </c>
    </row>
    <row r="11" spans="1:6">
      <c r="A11" t="s">
        <v>16</v>
      </c>
      <c r="B11" s="20" t="s">
        <v>70</v>
      </c>
      <c r="C11" t="s">
        <v>51</v>
      </c>
      <c r="D11">
        <v>5366</v>
      </c>
      <c r="E11" s="15">
        <v>2.14</v>
      </c>
      <c r="F11" s="15">
        <v>93.23</v>
      </c>
    </row>
    <row r="12" spans="1:6">
      <c r="C12" t="s">
        <v>52</v>
      </c>
      <c r="D12">
        <v>1477</v>
      </c>
      <c r="E12" s="15">
        <v>7.75</v>
      </c>
      <c r="F12" s="15">
        <v>17.440000000000001</v>
      </c>
    </row>
    <row r="13" spans="1:6">
      <c r="C13" t="s">
        <v>53</v>
      </c>
      <c r="D13">
        <v>1744</v>
      </c>
      <c r="E13" s="15">
        <v>7.75</v>
      </c>
      <c r="F13" s="15">
        <v>17.440000000000001</v>
      </c>
    </row>
    <row r="14" spans="1:6">
      <c r="A14" t="s">
        <v>20</v>
      </c>
      <c r="B14" s="20" t="s">
        <v>70</v>
      </c>
      <c r="C14" t="s">
        <v>2</v>
      </c>
      <c r="D14">
        <v>3659</v>
      </c>
      <c r="E14" s="15">
        <v>5.26</v>
      </c>
      <c r="F14" s="15">
        <v>105.58</v>
      </c>
    </row>
    <row r="15" spans="1:6">
      <c r="A15" t="s">
        <v>30</v>
      </c>
      <c r="B15" s="20" t="s">
        <v>70</v>
      </c>
      <c r="C15" t="s">
        <v>28</v>
      </c>
      <c r="D15">
        <v>2448</v>
      </c>
      <c r="E15" s="15">
        <v>0</v>
      </c>
      <c r="F15" s="15">
        <v>112.85</v>
      </c>
    </row>
    <row r="16" spans="1:6">
      <c r="C16" t="s">
        <v>54</v>
      </c>
      <c r="D16">
        <v>8271</v>
      </c>
      <c r="E16" s="15">
        <v>8.74</v>
      </c>
      <c r="F16" s="15">
        <v>392.6</v>
      </c>
    </row>
    <row r="17" spans="1:6">
      <c r="A17" t="s">
        <v>17</v>
      </c>
      <c r="B17" s="20" t="s">
        <v>70</v>
      </c>
      <c r="C17" t="s">
        <v>55</v>
      </c>
      <c r="D17">
        <v>2651</v>
      </c>
      <c r="E17" s="15">
        <v>5.76</v>
      </c>
      <c r="F17" s="15">
        <v>15.15</v>
      </c>
    </row>
    <row r="18" spans="1:6">
      <c r="A18" t="s">
        <v>115</v>
      </c>
      <c r="B18" s="20" t="s">
        <v>70</v>
      </c>
      <c r="C18" t="s">
        <v>0</v>
      </c>
      <c r="D18" s="21">
        <v>1980</v>
      </c>
      <c r="E18" s="15">
        <v>0</v>
      </c>
      <c r="F18" s="15">
        <v>39.53</v>
      </c>
    </row>
    <row r="19" spans="1:6">
      <c r="A19" t="s">
        <v>114</v>
      </c>
      <c r="B19" s="20" t="s">
        <v>70</v>
      </c>
      <c r="C19" t="s">
        <v>56</v>
      </c>
      <c r="D19" s="21">
        <v>6154</v>
      </c>
      <c r="E19" s="15">
        <v>0</v>
      </c>
      <c r="F19" s="15">
        <v>73.959999999999994</v>
      </c>
    </row>
    <row r="20" spans="1:6">
      <c r="A20" t="s">
        <v>19</v>
      </c>
      <c r="B20" s="20" t="s">
        <v>70</v>
      </c>
      <c r="C20" t="s">
        <v>9</v>
      </c>
      <c r="D20">
        <v>4052</v>
      </c>
      <c r="E20" s="15">
        <v>0</v>
      </c>
      <c r="F20" s="15">
        <v>67.23</v>
      </c>
    </row>
    <row r="21" spans="1:6">
      <c r="A21" t="s">
        <v>18</v>
      </c>
      <c r="B21" s="20" t="s">
        <v>70</v>
      </c>
      <c r="C21" t="s">
        <v>57</v>
      </c>
      <c r="D21" s="21">
        <v>3279</v>
      </c>
      <c r="E21" s="15">
        <v>0</v>
      </c>
      <c r="F21" s="15">
        <v>24.68</v>
      </c>
    </row>
    <row r="23" spans="1:6">
      <c r="A23" t="s">
        <v>62</v>
      </c>
    </row>
    <row r="24" spans="1:6">
      <c r="A2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2" sqref="B52"/>
    </sheetView>
  </sheetViews>
  <sheetFormatPr defaultRowHeight="14.5"/>
  <cols>
    <col min="1" max="1" width="12.54296875" customWidth="1"/>
    <col min="2" max="2" width="18.453125" customWidth="1"/>
  </cols>
  <sheetData>
    <row r="1" spans="1:2" s="18" customFormat="1">
      <c r="A1" s="1" t="s">
        <v>65</v>
      </c>
    </row>
    <row r="2" spans="1:2" s="18" customFormat="1">
      <c r="A2" s="13" t="s">
        <v>3</v>
      </c>
      <c r="B2" s="13" t="s">
        <v>26</v>
      </c>
    </row>
    <row r="3" spans="1:2" s="18" customFormat="1">
      <c r="A3" s="16">
        <v>2016</v>
      </c>
      <c r="B3" s="18">
        <v>1590</v>
      </c>
    </row>
    <row r="4" spans="1:2" s="18" customFormat="1"/>
    <row r="5" spans="1:2">
      <c r="A5" s="1" t="s">
        <v>64</v>
      </c>
    </row>
    <row r="6" spans="1:2" s="18" customFormat="1">
      <c r="A6" s="13" t="s">
        <v>3</v>
      </c>
      <c r="B6" s="13" t="s">
        <v>26</v>
      </c>
    </row>
    <row r="7" spans="1:2">
      <c r="A7" s="16" t="s">
        <v>248</v>
      </c>
      <c r="B7" s="15">
        <v>1.06</v>
      </c>
    </row>
    <row r="10" spans="1:2">
      <c r="B10" s="17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5"/>
  <cols>
    <col min="1" max="2" width="20.7265625" style="44" customWidth="1"/>
    <col min="3" max="3" width="21" style="44" customWidth="1"/>
    <col min="4" max="8" width="20.7265625" style="44" customWidth="1"/>
  </cols>
  <sheetData>
    <row r="1" spans="1:8">
      <c r="A1" s="23"/>
      <c r="B1" s="23"/>
      <c r="C1" s="24" t="s">
        <v>72</v>
      </c>
      <c r="D1" s="24" t="s">
        <v>72</v>
      </c>
      <c r="E1" s="24" t="s">
        <v>72</v>
      </c>
      <c r="F1" s="24" t="s">
        <v>73</v>
      </c>
      <c r="G1" s="24" t="s">
        <v>73</v>
      </c>
      <c r="H1" s="24" t="s">
        <v>73</v>
      </c>
    </row>
    <row r="2" spans="1:8" ht="42">
      <c r="A2" s="25" t="s">
        <v>74</v>
      </c>
      <c r="B2" s="66" t="s">
        <v>75</v>
      </c>
      <c r="C2" s="68" t="s">
        <v>104</v>
      </c>
      <c r="D2" s="68" t="s">
        <v>105</v>
      </c>
      <c r="E2" s="68" t="s">
        <v>106</v>
      </c>
      <c r="F2" s="70" t="s">
        <v>107</v>
      </c>
      <c r="G2" s="70" t="s">
        <v>108</v>
      </c>
      <c r="H2" s="64" t="s">
        <v>76</v>
      </c>
    </row>
    <row r="3" spans="1:8">
      <c r="A3" s="24" t="s">
        <v>77</v>
      </c>
      <c r="B3" s="67"/>
      <c r="C3" s="69"/>
      <c r="D3" s="69"/>
      <c r="E3" s="69"/>
      <c r="F3" s="71"/>
      <c r="G3" s="71"/>
      <c r="H3" s="65"/>
    </row>
    <row r="4" spans="1:8">
      <c r="A4" s="24" t="s">
        <v>78</v>
      </c>
      <c r="B4" s="26">
        <v>1000</v>
      </c>
      <c r="C4" s="23"/>
      <c r="D4" s="23"/>
      <c r="E4" s="23"/>
      <c r="F4" s="23"/>
      <c r="G4" s="23"/>
      <c r="H4" s="23"/>
    </row>
    <row r="5" spans="1:8" ht="28">
      <c r="A5" s="27" t="s">
        <v>79</v>
      </c>
      <c r="B5" s="26">
        <v>1000</v>
      </c>
      <c r="C5" s="28">
        <v>2217840</v>
      </c>
      <c r="D5" s="28">
        <v>2461143</v>
      </c>
      <c r="E5" s="28">
        <v>2090180</v>
      </c>
      <c r="F5" s="28">
        <v>2800491</v>
      </c>
      <c r="G5" s="28">
        <v>3433006</v>
      </c>
      <c r="H5" s="28">
        <v>2848907</v>
      </c>
    </row>
    <row r="6" spans="1:8" ht="28">
      <c r="A6" s="29" t="s">
        <v>80</v>
      </c>
      <c r="B6" s="29" t="s">
        <v>81</v>
      </c>
      <c r="C6" s="30">
        <v>3641</v>
      </c>
      <c r="D6" s="30">
        <v>4076</v>
      </c>
      <c r="E6" s="30">
        <v>3393</v>
      </c>
      <c r="F6" s="30">
        <v>4589</v>
      </c>
      <c r="G6" s="30">
        <v>5763</v>
      </c>
      <c r="H6" s="30">
        <v>4652</v>
      </c>
    </row>
    <row r="7" spans="1:8">
      <c r="A7" s="31" t="s">
        <v>109</v>
      </c>
      <c r="B7" s="32"/>
      <c r="C7" s="32"/>
      <c r="D7" s="32"/>
      <c r="E7" s="32"/>
      <c r="F7" s="32"/>
      <c r="G7" s="32"/>
      <c r="H7" s="32"/>
    </row>
    <row r="8" spans="1:8" ht="28">
      <c r="A8" s="33" t="s">
        <v>82</v>
      </c>
      <c r="B8" s="34">
        <v>1000</v>
      </c>
      <c r="C8" s="35">
        <v>2217840</v>
      </c>
      <c r="D8" s="35">
        <v>2461143</v>
      </c>
      <c r="E8" s="35">
        <v>2090180</v>
      </c>
      <c r="F8" s="35">
        <v>2800491</v>
      </c>
      <c r="G8" s="35">
        <v>3433006</v>
      </c>
      <c r="H8" s="35">
        <v>2848907</v>
      </c>
    </row>
    <row r="9" spans="1:8">
      <c r="A9" s="36" t="s">
        <v>110</v>
      </c>
      <c r="B9" s="32"/>
      <c r="C9" s="32"/>
      <c r="D9" s="32"/>
      <c r="E9" s="32"/>
      <c r="F9" s="32"/>
      <c r="G9" s="32"/>
      <c r="H9" s="32"/>
    </row>
    <row r="10" spans="1:8">
      <c r="A10" s="33" t="s">
        <v>83</v>
      </c>
      <c r="B10" s="34">
        <v>1000</v>
      </c>
      <c r="C10" s="37">
        <v>16571</v>
      </c>
      <c r="D10" s="35">
        <v>16571</v>
      </c>
      <c r="E10" s="35">
        <v>16571</v>
      </c>
      <c r="F10" s="37">
        <v>29871</v>
      </c>
      <c r="G10" s="37">
        <v>34299</v>
      </c>
      <c r="H10" s="37">
        <v>30210</v>
      </c>
    </row>
    <row r="11" spans="1:8" ht="28">
      <c r="A11" s="36" t="s">
        <v>111</v>
      </c>
      <c r="B11" s="32"/>
      <c r="C11" s="32"/>
      <c r="D11" s="32"/>
      <c r="E11" s="32"/>
      <c r="F11" s="32"/>
      <c r="G11" s="32"/>
      <c r="H11" s="32"/>
    </row>
    <row r="12" spans="1:8">
      <c r="A12" s="33" t="s">
        <v>84</v>
      </c>
      <c r="B12" s="34">
        <v>1000</v>
      </c>
      <c r="C12" s="37">
        <v>2455</v>
      </c>
      <c r="D12" s="37">
        <v>1276</v>
      </c>
      <c r="E12" s="38">
        <v>0</v>
      </c>
      <c r="F12" s="38">
        <v>0</v>
      </c>
      <c r="G12" s="38">
        <v>0</v>
      </c>
      <c r="H12" s="38">
        <v>0</v>
      </c>
    </row>
    <row r="13" spans="1:8" ht="42">
      <c r="A13" s="33" t="s">
        <v>85</v>
      </c>
      <c r="B13" s="34">
        <v>1000</v>
      </c>
      <c r="C13" s="38">
        <v>0</v>
      </c>
      <c r="D13" s="38">
        <v>0</v>
      </c>
      <c r="E13" s="37">
        <v>1174</v>
      </c>
      <c r="F13" s="37">
        <v>1593</v>
      </c>
      <c r="G13" s="37">
        <v>1415</v>
      </c>
      <c r="H13" s="37">
        <v>1340</v>
      </c>
    </row>
    <row r="14" spans="1:8">
      <c r="A14" s="33" t="s">
        <v>86</v>
      </c>
      <c r="B14" s="34">
        <v>1000</v>
      </c>
      <c r="C14" s="38">
        <v>0</v>
      </c>
      <c r="D14" s="37">
        <v>1751</v>
      </c>
      <c r="E14" s="37">
        <v>1593</v>
      </c>
      <c r="F14" s="38">
        <v>296</v>
      </c>
      <c r="G14" s="37">
        <v>1068</v>
      </c>
      <c r="H14" s="38">
        <v>296</v>
      </c>
    </row>
    <row r="15" spans="1:8">
      <c r="A15" s="33" t="s">
        <v>87</v>
      </c>
      <c r="B15" s="34">
        <v>1000</v>
      </c>
      <c r="C15" s="38">
        <v>440</v>
      </c>
      <c r="D15" s="38">
        <v>440</v>
      </c>
      <c r="E15" s="38">
        <v>440</v>
      </c>
      <c r="F15" s="38">
        <v>451</v>
      </c>
      <c r="G15" s="38">
        <v>407</v>
      </c>
      <c r="H15" s="38">
        <v>440</v>
      </c>
    </row>
    <row r="16" spans="1:8" ht="28">
      <c r="A16" s="33" t="s">
        <v>88</v>
      </c>
      <c r="B16" s="34">
        <v>1000</v>
      </c>
      <c r="C16" s="38">
        <v>721</v>
      </c>
      <c r="D16" s="37">
        <v>2740</v>
      </c>
      <c r="E16" s="38">
        <v>473</v>
      </c>
      <c r="F16" s="38">
        <v>0</v>
      </c>
      <c r="G16" s="38">
        <v>0</v>
      </c>
      <c r="H16" s="38">
        <v>0</v>
      </c>
    </row>
    <row r="17" spans="1:8">
      <c r="A17" s="33" t="s">
        <v>89</v>
      </c>
      <c r="B17" s="34">
        <v>1000</v>
      </c>
      <c r="C17" s="37">
        <v>2877</v>
      </c>
      <c r="D17" s="35">
        <v>10954</v>
      </c>
      <c r="E17" s="37">
        <v>1884</v>
      </c>
      <c r="F17" s="38">
        <v>0</v>
      </c>
      <c r="G17" s="38">
        <v>0</v>
      </c>
      <c r="H17" s="38">
        <v>0</v>
      </c>
    </row>
    <row r="18" spans="1:8">
      <c r="A18" s="33" t="s">
        <v>90</v>
      </c>
      <c r="B18" s="34">
        <v>1000</v>
      </c>
      <c r="C18" s="37">
        <v>5051</v>
      </c>
      <c r="D18" s="37">
        <v>2635</v>
      </c>
      <c r="E18" s="38">
        <v>617</v>
      </c>
      <c r="F18" s="38">
        <v>0</v>
      </c>
      <c r="G18" s="38">
        <v>0</v>
      </c>
      <c r="H18" s="38">
        <v>0</v>
      </c>
    </row>
    <row r="19" spans="1:8">
      <c r="A19" s="33" t="s">
        <v>91</v>
      </c>
      <c r="B19" s="34">
        <v>1000</v>
      </c>
      <c r="C19" s="38">
        <v>0</v>
      </c>
      <c r="D19" s="38">
        <v>16</v>
      </c>
      <c r="E19" s="38">
        <v>14</v>
      </c>
      <c r="F19" s="38">
        <v>24</v>
      </c>
      <c r="G19" s="38">
        <v>85</v>
      </c>
      <c r="H19" s="38">
        <v>24</v>
      </c>
    </row>
    <row r="20" spans="1:8">
      <c r="A20" s="33" t="s">
        <v>92</v>
      </c>
      <c r="B20" s="34">
        <v>1000</v>
      </c>
      <c r="C20" s="38">
        <v>577</v>
      </c>
      <c r="D20" s="38">
        <v>609</v>
      </c>
      <c r="E20" s="38">
        <v>587</v>
      </c>
      <c r="F20" s="38">
        <v>186</v>
      </c>
      <c r="G20" s="38">
        <v>186</v>
      </c>
      <c r="H20" s="38">
        <v>186</v>
      </c>
    </row>
    <row r="21" spans="1:8" ht="28">
      <c r="A21" s="33" t="s">
        <v>93</v>
      </c>
      <c r="B21" s="34">
        <v>1000</v>
      </c>
      <c r="C21" s="37">
        <v>1153</v>
      </c>
      <c r="D21" s="37">
        <v>1153</v>
      </c>
      <c r="E21" s="37">
        <v>1153</v>
      </c>
      <c r="F21" s="38">
        <v>399</v>
      </c>
      <c r="G21" s="38">
        <v>399</v>
      </c>
      <c r="H21" s="38">
        <v>399</v>
      </c>
    </row>
    <row r="22" spans="1:8">
      <c r="A22" s="33" t="s">
        <v>94</v>
      </c>
      <c r="B22" s="34">
        <v>1000</v>
      </c>
      <c r="C22" s="38">
        <v>367</v>
      </c>
      <c r="D22" s="38">
        <v>415</v>
      </c>
      <c r="E22" s="38">
        <v>378</v>
      </c>
      <c r="F22" s="38">
        <v>33</v>
      </c>
      <c r="G22" s="38">
        <v>61</v>
      </c>
      <c r="H22" s="38">
        <v>42</v>
      </c>
    </row>
    <row r="23" spans="1:8">
      <c r="A23" s="33" t="s">
        <v>95</v>
      </c>
      <c r="B23" s="34">
        <v>1000</v>
      </c>
      <c r="C23" s="37">
        <v>1080</v>
      </c>
      <c r="D23" s="38">
        <v>913</v>
      </c>
      <c r="E23" s="38">
        <v>880</v>
      </c>
      <c r="F23" s="38">
        <v>191</v>
      </c>
      <c r="G23" s="38">
        <v>189</v>
      </c>
      <c r="H23" s="38">
        <v>184</v>
      </c>
    </row>
    <row r="24" spans="1:8">
      <c r="A24" s="33" t="s">
        <v>96</v>
      </c>
      <c r="B24" s="34">
        <v>1000</v>
      </c>
      <c r="C24" s="37">
        <v>3241</v>
      </c>
      <c r="D24" s="37">
        <v>3422</v>
      </c>
      <c r="E24" s="37">
        <v>3301</v>
      </c>
      <c r="F24" s="38">
        <v>431</v>
      </c>
      <c r="G24" s="38">
        <v>425</v>
      </c>
      <c r="H24" s="38">
        <v>414</v>
      </c>
    </row>
    <row r="25" spans="1:8">
      <c r="A25" s="33" t="s">
        <v>97</v>
      </c>
      <c r="B25" s="34">
        <v>1000</v>
      </c>
      <c r="C25" s="37">
        <v>2401</v>
      </c>
      <c r="D25" s="37">
        <v>2380</v>
      </c>
      <c r="E25" s="37">
        <v>2428</v>
      </c>
      <c r="F25" s="37">
        <v>2272</v>
      </c>
      <c r="G25" s="37">
        <v>2218</v>
      </c>
      <c r="H25" s="37">
        <v>2280</v>
      </c>
    </row>
    <row r="26" spans="1:8">
      <c r="A26" s="33" t="s">
        <v>98</v>
      </c>
      <c r="B26" s="34">
        <v>1000</v>
      </c>
      <c r="C26" s="39" t="s">
        <v>99</v>
      </c>
      <c r="D26" s="39" t="s">
        <v>99</v>
      </c>
      <c r="E26" s="39" t="s">
        <v>99</v>
      </c>
      <c r="F26" s="38">
        <v>555</v>
      </c>
      <c r="G26" s="38">
        <v>272</v>
      </c>
      <c r="H26" s="38">
        <v>65</v>
      </c>
    </row>
    <row r="27" spans="1:8">
      <c r="A27" s="33" t="s">
        <v>100</v>
      </c>
      <c r="B27" s="34">
        <v>1000</v>
      </c>
      <c r="C27" s="37">
        <v>20364</v>
      </c>
      <c r="D27" s="35">
        <v>28705</v>
      </c>
      <c r="E27" s="35">
        <v>14924</v>
      </c>
      <c r="F27" s="37">
        <v>6430</v>
      </c>
      <c r="G27" s="37">
        <v>6725</v>
      </c>
      <c r="H27" s="37">
        <v>5668</v>
      </c>
    </row>
    <row r="28" spans="1:8">
      <c r="A28" s="40" t="s">
        <v>101</v>
      </c>
      <c r="B28" s="40" t="s">
        <v>102</v>
      </c>
      <c r="C28" s="41">
        <v>3.73</v>
      </c>
      <c r="D28" s="41">
        <v>5.76</v>
      </c>
      <c r="E28" s="41">
        <v>3.07</v>
      </c>
      <c r="F28" s="41">
        <v>1.42</v>
      </c>
      <c r="G28" s="41">
        <v>1.52</v>
      </c>
      <c r="H28" s="41">
        <v>1.24</v>
      </c>
    </row>
    <row r="29" spans="1:8" ht="28">
      <c r="A29" s="29" t="s">
        <v>103</v>
      </c>
      <c r="B29" s="42">
        <v>1000</v>
      </c>
      <c r="C29" s="30">
        <v>36935</v>
      </c>
      <c r="D29" s="43">
        <v>45276</v>
      </c>
      <c r="E29" s="43">
        <v>31495</v>
      </c>
      <c r="F29" s="30">
        <v>36301</v>
      </c>
      <c r="G29" s="30">
        <v>41023</v>
      </c>
      <c r="H29" s="30">
        <v>35878</v>
      </c>
    </row>
    <row r="30" spans="1:8" ht="28">
      <c r="A30" s="40" t="s">
        <v>103</v>
      </c>
      <c r="B30" s="40" t="s">
        <v>102</v>
      </c>
      <c r="C30" s="41">
        <v>7.69</v>
      </c>
      <c r="D30" s="41">
        <v>9.51</v>
      </c>
      <c r="E30" s="41">
        <v>6.48</v>
      </c>
      <c r="F30" s="41">
        <v>7.99</v>
      </c>
      <c r="G30" s="41">
        <v>9.25</v>
      </c>
      <c r="H30" s="41">
        <v>7.87</v>
      </c>
    </row>
    <row r="32" spans="1:8">
      <c r="B32" s="44" t="s">
        <v>124</v>
      </c>
    </row>
    <row r="33" spans="1:4">
      <c r="A33" s="45" t="s">
        <v>112</v>
      </c>
      <c r="B33" s="46">
        <f>D6/AVERAGE(C6,E6)</f>
        <v>1.1589422803525733</v>
      </c>
      <c r="C33" s="46"/>
      <c r="D33" s="46"/>
    </row>
    <row r="34" spans="1:4">
      <c r="A34" s="45" t="s">
        <v>101</v>
      </c>
      <c r="B34" s="46">
        <f>D28/(AVERAGE(C28,E28))</f>
        <v>1.6941176470588235</v>
      </c>
      <c r="C34" s="46"/>
      <c r="D34" s="46"/>
    </row>
    <row r="35" spans="1:4">
      <c r="A35" s="45" t="s">
        <v>83</v>
      </c>
      <c r="B35" s="46">
        <f>D10/AVERAGE(E10,C10)</f>
        <v>1</v>
      </c>
      <c r="C35" s="46"/>
      <c r="D35" s="46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workbookViewId="0"/>
  </sheetViews>
  <sheetFormatPr defaultRowHeight="14.5"/>
  <cols>
    <col min="1" max="1" width="21.81640625" bestFit="1" customWidth="1"/>
    <col min="2" max="2" width="21.81640625" style="20" customWidth="1"/>
  </cols>
  <sheetData>
    <row r="1" spans="1:39" s="20" customFormat="1">
      <c r="C1" s="20" t="s">
        <v>162</v>
      </c>
    </row>
    <row r="2" spans="1:39" s="20" customFormat="1">
      <c r="A2" s="20" t="s">
        <v>170</v>
      </c>
      <c r="B2" s="20" t="s">
        <v>169</v>
      </c>
      <c r="C2" s="20">
        <v>2014</v>
      </c>
      <c r="D2" s="20">
        <v>2015</v>
      </c>
      <c r="E2" s="20">
        <v>2016</v>
      </c>
      <c r="F2" s="20">
        <v>2017</v>
      </c>
      <c r="G2" s="20">
        <v>2018</v>
      </c>
      <c r="H2" s="20">
        <v>2019</v>
      </c>
      <c r="I2" s="20">
        <v>2020</v>
      </c>
      <c r="J2" s="20">
        <v>2021</v>
      </c>
      <c r="K2" s="20">
        <v>2022</v>
      </c>
      <c r="L2" s="20">
        <v>2023</v>
      </c>
      <c r="M2" s="20">
        <v>2024</v>
      </c>
      <c r="N2" s="20">
        <v>2025</v>
      </c>
      <c r="O2" s="20">
        <v>2026</v>
      </c>
      <c r="P2" s="20">
        <v>2027</v>
      </c>
      <c r="Q2" s="20">
        <v>2028</v>
      </c>
      <c r="R2" s="20">
        <v>2029</v>
      </c>
      <c r="S2" s="20">
        <v>2030</v>
      </c>
      <c r="T2" s="20">
        <v>2031</v>
      </c>
      <c r="U2" s="20">
        <v>2032</v>
      </c>
      <c r="V2" s="20">
        <v>2033</v>
      </c>
      <c r="W2" s="20">
        <v>2034</v>
      </c>
      <c r="X2" s="20">
        <v>2035</v>
      </c>
      <c r="Y2" s="20">
        <v>2036</v>
      </c>
      <c r="Z2" s="20">
        <v>2037</v>
      </c>
      <c r="AA2" s="20">
        <v>2038</v>
      </c>
      <c r="AB2" s="20">
        <v>2039</v>
      </c>
      <c r="AC2" s="20">
        <v>2040</v>
      </c>
      <c r="AD2" s="20">
        <v>2041</v>
      </c>
      <c r="AE2" s="20">
        <v>2042</v>
      </c>
      <c r="AF2" s="20">
        <v>2043</v>
      </c>
      <c r="AG2" s="20">
        <v>2044</v>
      </c>
      <c r="AH2" s="20">
        <v>2045</v>
      </c>
      <c r="AI2" s="20">
        <v>2046</v>
      </c>
      <c r="AJ2" s="20">
        <v>2047</v>
      </c>
      <c r="AK2" s="20">
        <v>2048</v>
      </c>
      <c r="AL2" s="20">
        <v>2049</v>
      </c>
      <c r="AM2" s="20">
        <v>2050</v>
      </c>
    </row>
    <row r="3" spans="1:39">
      <c r="A3" t="s">
        <v>15</v>
      </c>
      <c r="B3" s="20" t="s">
        <v>163</v>
      </c>
      <c r="C3" s="20">
        <v>6542.8564452168666</v>
      </c>
      <c r="D3" s="20">
        <v>6542.8564452168666</v>
      </c>
      <c r="E3" s="20">
        <v>6542.8564452168666</v>
      </c>
      <c r="F3" s="20">
        <v>6542.8564452168666</v>
      </c>
      <c r="G3" s="20">
        <v>6457.9993624358212</v>
      </c>
      <c r="H3" s="20">
        <v>6359.4154255109343</v>
      </c>
      <c r="I3" s="20">
        <v>6253.4947102646775</v>
      </c>
      <c r="J3" s="20">
        <v>6216.5690640637449</v>
      </c>
      <c r="K3" s="20">
        <v>6184.891880111777</v>
      </c>
      <c r="L3" s="20">
        <v>6153.2158156883124</v>
      </c>
      <c r="M3" s="20">
        <v>6114.6554096016016</v>
      </c>
      <c r="N3" s="20">
        <v>6081.4204111983972</v>
      </c>
      <c r="O3" s="20">
        <v>6041.6429381883763</v>
      </c>
      <c r="P3" s="20">
        <v>5992.8368575310624</v>
      </c>
      <c r="Q3" s="20">
        <v>5959.8013874549097</v>
      </c>
      <c r="R3" s="20">
        <v>5919.9652582605204</v>
      </c>
      <c r="S3" s="20">
        <v>5875.882507647294</v>
      </c>
      <c r="T3" s="20">
        <v>5836.358733733734</v>
      </c>
      <c r="U3" s="20">
        <v>5802.7311260700708</v>
      </c>
      <c r="V3" s="20">
        <v>5761.2898582617399</v>
      </c>
      <c r="W3" s="20">
        <v>5724.7067858461542</v>
      </c>
      <c r="X3" s="20">
        <v>5689.7676796240003</v>
      </c>
      <c r="Y3" s="20">
        <v>5656.0388360920915</v>
      </c>
      <c r="Z3" s="20">
        <v>5616.5109746933867</v>
      </c>
      <c r="AA3" s="20">
        <v>5583.6747603618087</v>
      </c>
      <c r="AB3" s="20">
        <v>5547.0340471460222</v>
      </c>
      <c r="AC3" s="20">
        <v>5512.4362440606674</v>
      </c>
      <c r="AD3" s="20">
        <v>5476.0916177020044</v>
      </c>
      <c r="AE3" s="20">
        <v>5439.7469913433415</v>
      </c>
      <c r="AF3" s="20">
        <v>5403.4023649846786</v>
      </c>
      <c r="AG3" s="20">
        <v>5367.0577386260156</v>
      </c>
      <c r="AH3" s="20">
        <v>5330.7131122673527</v>
      </c>
      <c r="AI3" s="20">
        <v>5294.3684859086898</v>
      </c>
      <c r="AJ3" s="20">
        <v>5258.0238595500268</v>
      </c>
      <c r="AK3" s="20">
        <v>5221.6792331913639</v>
      </c>
      <c r="AL3" s="20">
        <v>5185.334606832701</v>
      </c>
      <c r="AM3" s="20">
        <v>5148.989980474038</v>
      </c>
    </row>
    <row r="4" spans="1:39">
      <c r="A4" t="s">
        <v>15</v>
      </c>
      <c r="B4" s="20" t="s">
        <v>164</v>
      </c>
      <c r="C4" s="20">
        <v>6542.8564452168666</v>
      </c>
      <c r="D4" s="20">
        <v>6542.8564452168666</v>
      </c>
      <c r="E4" s="20">
        <v>6542.8564452168666</v>
      </c>
      <c r="F4" s="20">
        <v>6542.8564452168666</v>
      </c>
      <c r="G4" s="20">
        <v>6457.9993624358212</v>
      </c>
      <c r="H4" s="20">
        <v>6359.4154255109343</v>
      </c>
      <c r="I4" s="20">
        <v>6253.4947102646775</v>
      </c>
      <c r="J4" s="20">
        <v>6216.5690640637449</v>
      </c>
      <c r="K4" s="20">
        <v>6184.891880111777</v>
      </c>
      <c r="L4" s="20">
        <v>6153.2158156883124</v>
      </c>
      <c r="M4" s="20">
        <v>6114.6554096016016</v>
      </c>
      <c r="N4" s="20">
        <v>6081.4204111983972</v>
      </c>
      <c r="O4" s="20">
        <v>6041.6429381883763</v>
      </c>
      <c r="P4" s="20">
        <v>5992.8368575310624</v>
      </c>
      <c r="Q4" s="20">
        <v>5959.8013874549097</v>
      </c>
      <c r="R4" s="20">
        <v>5919.9652582605204</v>
      </c>
      <c r="S4" s="20">
        <v>5875.882507647294</v>
      </c>
      <c r="T4" s="20">
        <v>5836.358733733734</v>
      </c>
      <c r="U4" s="20">
        <v>5802.7311260700708</v>
      </c>
      <c r="V4" s="20">
        <v>5761.2898582617399</v>
      </c>
      <c r="W4" s="20">
        <v>5724.7067858461542</v>
      </c>
      <c r="X4" s="20">
        <v>5689.7676796240003</v>
      </c>
      <c r="Y4" s="20">
        <v>5656.0388360920915</v>
      </c>
      <c r="Z4" s="20">
        <v>5616.5109746933867</v>
      </c>
      <c r="AA4" s="20">
        <v>5583.6747603618087</v>
      </c>
      <c r="AB4" s="20">
        <v>5547.0340471460222</v>
      </c>
      <c r="AC4" s="20">
        <v>5512.4362440606674</v>
      </c>
      <c r="AD4" s="20">
        <v>5476.0916177020044</v>
      </c>
      <c r="AE4" s="20">
        <v>5439.7469913433415</v>
      </c>
      <c r="AF4" s="20">
        <v>5403.4023649846786</v>
      </c>
      <c r="AG4" s="20">
        <v>5367.0577386260156</v>
      </c>
      <c r="AH4" s="20">
        <v>5330.7131122673527</v>
      </c>
      <c r="AI4" s="20">
        <v>5294.3684859086898</v>
      </c>
      <c r="AJ4" s="20">
        <v>5258.0238595500268</v>
      </c>
      <c r="AK4" s="20">
        <v>5221.6792331913639</v>
      </c>
      <c r="AL4" s="20">
        <v>5185.334606832701</v>
      </c>
      <c r="AM4" s="20">
        <v>5148.989980474038</v>
      </c>
    </row>
    <row r="5" spans="1:39">
      <c r="A5" t="s">
        <v>15</v>
      </c>
      <c r="B5" s="20" t="s">
        <v>165</v>
      </c>
      <c r="C5" s="20">
        <v>6542.8564452168666</v>
      </c>
      <c r="D5" s="20">
        <v>6542.8564452168666</v>
      </c>
      <c r="E5" s="20">
        <v>6542.8564452168666</v>
      </c>
      <c r="F5" s="20">
        <v>6542.8564452168666</v>
      </c>
      <c r="G5" s="20">
        <v>6457.9993624358212</v>
      </c>
      <c r="H5" s="20">
        <v>6359.4154255109343</v>
      </c>
      <c r="I5" s="20">
        <v>6253.4947102646775</v>
      </c>
      <c r="J5" s="20">
        <v>6216.5690640637449</v>
      </c>
      <c r="K5" s="20">
        <v>6184.891880111777</v>
      </c>
      <c r="L5" s="20">
        <v>6153.2158156883124</v>
      </c>
      <c r="M5" s="20">
        <v>6114.6554096016016</v>
      </c>
      <c r="N5" s="20">
        <v>6081.4204111983972</v>
      </c>
      <c r="O5" s="20">
        <v>6041.6429381883763</v>
      </c>
      <c r="P5" s="20">
        <v>5992.8368575310624</v>
      </c>
      <c r="Q5" s="20">
        <v>5959.8013874549097</v>
      </c>
      <c r="R5" s="20">
        <v>5919.9652582605204</v>
      </c>
      <c r="S5" s="20">
        <v>5875.882507647294</v>
      </c>
      <c r="T5" s="20">
        <v>5836.358733733734</v>
      </c>
      <c r="U5" s="20">
        <v>5802.7311260700708</v>
      </c>
      <c r="V5" s="20">
        <v>5761.2898582617399</v>
      </c>
      <c r="W5" s="20">
        <v>5724.7067858461542</v>
      </c>
      <c r="X5" s="20">
        <v>5689.7676796240003</v>
      </c>
      <c r="Y5" s="20">
        <v>5656.0388360920915</v>
      </c>
      <c r="Z5" s="20">
        <v>5616.5109746933867</v>
      </c>
      <c r="AA5" s="20">
        <v>5583.6747603618087</v>
      </c>
      <c r="AB5" s="20">
        <v>5547.0340471460222</v>
      </c>
      <c r="AC5" s="20">
        <v>5512.4362440606674</v>
      </c>
      <c r="AD5" s="20">
        <v>5476.0916177020044</v>
      </c>
      <c r="AE5" s="20">
        <v>5439.7469913433415</v>
      </c>
      <c r="AF5" s="20">
        <v>5403.4023649846786</v>
      </c>
      <c r="AG5" s="20">
        <v>5367.0577386260156</v>
      </c>
      <c r="AH5" s="20">
        <v>5330.7131122673527</v>
      </c>
      <c r="AI5" s="20">
        <v>5294.3684859086898</v>
      </c>
      <c r="AJ5" s="20">
        <v>5258.0238595500268</v>
      </c>
      <c r="AK5" s="20">
        <v>5221.6792331913639</v>
      </c>
      <c r="AL5" s="20">
        <v>5185.334606832701</v>
      </c>
      <c r="AM5" s="20">
        <v>5148.989980474038</v>
      </c>
    </row>
    <row r="6" spans="1:39">
      <c r="A6" t="s">
        <v>15</v>
      </c>
      <c r="B6" s="20" t="s">
        <v>166</v>
      </c>
      <c r="C6" s="20">
        <v>6542.8564452168666</v>
      </c>
      <c r="D6" s="20">
        <v>6542.8564452168666</v>
      </c>
      <c r="E6" s="20">
        <v>6542.8564452168666</v>
      </c>
      <c r="F6" s="20">
        <v>6542.8564452168666</v>
      </c>
      <c r="G6" s="20">
        <v>6457.9993624358212</v>
      </c>
      <c r="H6" s="20">
        <v>6359.4154255109343</v>
      </c>
      <c r="I6" s="20">
        <v>6253.4947102646775</v>
      </c>
      <c r="J6" s="20">
        <v>6216.5690640637449</v>
      </c>
      <c r="K6" s="20">
        <v>6184.891880111777</v>
      </c>
      <c r="L6" s="20">
        <v>6153.2158156883124</v>
      </c>
      <c r="M6" s="20">
        <v>6114.6554096016016</v>
      </c>
      <c r="N6" s="20">
        <v>6081.4204111983972</v>
      </c>
      <c r="O6" s="20">
        <v>6041.6429381883763</v>
      </c>
      <c r="P6" s="20">
        <v>5992.8368575310624</v>
      </c>
      <c r="Q6" s="20">
        <v>5959.8013874549097</v>
      </c>
      <c r="R6" s="20">
        <v>5919.9652582605204</v>
      </c>
      <c r="S6" s="20">
        <v>5875.882507647294</v>
      </c>
      <c r="T6" s="20">
        <v>5836.358733733734</v>
      </c>
      <c r="U6" s="20">
        <v>5802.7311260700708</v>
      </c>
      <c r="V6" s="20">
        <v>5761.2898582617399</v>
      </c>
      <c r="W6" s="20">
        <v>5724.7067858461542</v>
      </c>
      <c r="X6" s="20">
        <v>5689.7676796240003</v>
      </c>
      <c r="Y6" s="20">
        <v>5656.0388360920915</v>
      </c>
      <c r="Z6" s="20">
        <v>5616.5109746933867</v>
      </c>
      <c r="AA6" s="20">
        <v>5583.6747603618087</v>
      </c>
      <c r="AB6" s="20">
        <v>5547.0340471460222</v>
      </c>
      <c r="AC6" s="20">
        <v>5512.4362440606674</v>
      </c>
      <c r="AD6" s="20">
        <v>5476.0916177020044</v>
      </c>
      <c r="AE6" s="20">
        <v>5439.7469913433415</v>
      </c>
      <c r="AF6" s="20">
        <v>5403.4023649846786</v>
      </c>
      <c r="AG6" s="20">
        <v>5367.0577386260156</v>
      </c>
      <c r="AH6" s="20">
        <v>5330.7131122673527</v>
      </c>
      <c r="AI6" s="20">
        <v>5294.3684859086898</v>
      </c>
      <c r="AJ6" s="20">
        <v>5258.0238595500268</v>
      </c>
      <c r="AK6" s="20">
        <v>5221.6792331913639</v>
      </c>
      <c r="AL6" s="20">
        <v>5185.334606832701</v>
      </c>
      <c r="AM6" s="20">
        <v>5148.989980474038</v>
      </c>
    </row>
    <row r="7" spans="1:39">
      <c r="A7" t="s">
        <v>15</v>
      </c>
      <c r="B7" s="20" t="s">
        <v>167</v>
      </c>
      <c r="C7" s="20">
        <v>6542.8564452168666</v>
      </c>
      <c r="D7" s="20">
        <v>6542.8564452168666</v>
      </c>
      <c r="E7" s="20">
        <v>6542.8564452168666</v>
      </c>
      <c r="F7" s="20">
        <v>6542.8564452168666</v>
      </c>
      <c r="G7" s="20">
        <v>6457.9993624358212</v>
      </c>
      <c r="H7" s="20">
        <v>6359.4154255109343</v>
      </c>
      <c r="I7" s="20">
        <v>6253.4947102646775</v>
      </c>
      <c r="J7" s="20">
        <v>6216.5690640637449</v>
      </c>
      <c r="K7" s="20">
        <v>6184.891880111777</v>
      </c>
      <c r="L7" s="20">
        <v>6153.2158156883124</v>
      </c>
      <c r="M7" s="20">
        <v>6114.6554096016016</v>
      </c>
      <c r="N7" s="20">
        <v>6081.4204111983972</v>
      </c>
      <c r="O7" s="20">
        <v>6041.6429381883763</v>
      </c>
      <c r="P7" s="20">
        <v>5992.8368575310624</v>
      </c>
      <c r="Q7" s="20">
        <v>5959.8013874549097</v>
      </c>
      <c r="R7" s="20">
        <v>5919.9652582605204</v>
      </c>
      <c r="S7" s="20">
        <v>5875.882507647294</v>
      </c>
      <c r="T7" s="20">
        <v>5836.358733733734</v>
      </c>
      <c r="U7" s="20">
        <v>5802.7311260700708</v>
      </c>
      <c r="V7" s="20">
        <v>5761.2898582617399</v>
      </c>
      <c r="W7" s="20">
        <v>5724.7067858461542</v>
      </c>
      <c r="X7" s="20">
        <v>5689.7676796240003</v>
      </c>
      <c r="Y7" s="20">
        <v>5656.0388360920915</v>
      </c>
      <c r="Z7" s="20">
        <v>5616.5109746933867</v>
      </c>
      <c r="AA7" s="20">
        <v>5583.6747603618087</v>
      </c>
      <c r="AB7" s="20">
        <v>5547.0340471460222</v>
      </c>
      <c r="AC7" s="20">
        <v>5512.4362440606674</v>
      </c>
      <c r="AD7" s="20">
        <v>5476.0916177020044</v>
      </c>
      <c r="AE7" s="20">
        <v>5439.7469913433415</v>
      </c>
      <c r="AF7" s="20">
        <v>5403.4023649846786</v>
      </c>
      <c r="AG7" s="20">
        <v>5367.0577386260156</v>
      </c>
      <c r="AH7" s="20">
        <v>5330.7131122673527</v>
      </c>
      <c r="AI7" s="20">
        <v>5294.3684859086898</v>
      </c>
      <c r="AJ7" s="20">
        <v>5258.0238595500268</v>
      </c>
      <c r="AK7" s="20">
        <v>5221.6792331913639</v>
      </c>
      <c r="AL7" s="20">
        <v>5185.334606832701</v>
      </c>
      <c r="AM7" s="20">
        <v>5148.989980474038</v>
      </c>
    </row>
    <row r="8" spans="1:39">
      <c r="A8" t="s">
        <v>15</v>
      </c>
      <c r="B8" s="20" t="s">
        <v>168</v>
      </c>
      <c r="C8" s="20">
        <v>6542.8564452168666</v>
      </c>
      <c r="D8" s="20">
        <v>6542.8564452168666</v>
      </c>
      <c r="E8" s="20">
        <v>6542.8564452168666</v>
      </c>
      <c r="F8" s="20">
        <v>6542.8564452168666</v>
      </c>
      <c r="G8" s="20">
        <v>6457.9993624358212</v>
      </c>
      <c r="H8" s="20">
        <v>6359.4154255109343</v>
      </c>
      <c r="I8" s="20">
        <v>6253.4947102646775</v>
      </c>
      <c r="J8" s="20">
        <v>6216.5690640637449</v>
      </c>
      <c r="K8" s="20">
        <v>6184.891880111777</v>
      </c>
      <c r="L8" s="20">
        <v>6153.2158156883124</v>
      </c>
      <c r="M8" s="20">
        <v>6114.6554096016016</v>
      </c>
      <c r="N8" s="20">
        <v>6081.4204111983972</v>
      </c>
      <c r="O8" s="20">
        <v>6041.6429381883763</v>
      </c>
      <c r="P8" s="20">
        <v>5992.8368575310624</v>
      </c>
      <c r="Q8" s="20">
        <v>5959.8013874549097</v>
      </c>
      <c r="R8" s="20">
        <v>5919.9652582605204</v>
      </c>
      <c r="S8" s="20">
        <v>5875.882507647294</v>
      </c>
      <c r="T8" s="20">
        <v>5836.358733733734</v>
      </c>
      <c r="U8" s="20">
        <v>5802.7311260700708</v>
      </c>
      <c r="V8" s="20">
        <v>5761.2898582617399</v>
      </c>
      <c r="W8" s="20">
        <v>5724.7067858461542</v>
      </c>
      <c r="X8" s="20">
        <v>5689.7676796240003</v>
      </c>
      <c r="Y8" s="20">
        <v>5656.0388360920915</v>
      </c>
      <c r="Z8" s="20">
        <v>5616.5109746933867</v>
      </c>
      <c r="AA8" s="20">
        <v>5583.6747603618087</v>
      </c>
      <c r="AB8" s="20">
        <v>5547.0340471460222</v>
      </c>
      <c r="AC8" s="20">
        <v>5512.4362440606674</v>
      </c>
      <c r="AD8" s="20">
        <v>5476.0916177020044</v>
      </c>
      <c r="AE8" s="20">
        <v>5439.7469913433415</v>
      </c>
      <c r="AF8" s="20">
        <v>5403.4023649846786</v>
      </c>
      <c r="AG8" s="20">
        <v>5367.0577386260156</v>
      </c>
      <c r="AH8" s="20">
        <v>5330.7131122673527</v>
      </c>
      <c r="AI8" s="20">
        <v>5294.3684859086898</v>
      </c>
      <c r="AJ8" s="20">
        <v>5258.0238595500268</v>
      </c>
      <c r="AK8" s="20">
        <v>5221.6792331913639</v>
      </c>
      <c r="AL8" s="20">
        <v>5185.334606832701</v>
      </c>
      <c r="AM8" s="20">
        <v>5148.989980474038</v>
      </c>
    </row>
    <row r="9" spans="1:39">
      <c r="A9" t="s">
        <v>29</v>
      </c>
      <c r="B9" s="20" t="s">
        <v>171</v>
      </c>
      <c r="C9" s="20">
        <v>1016.669044128</v>
      </c>
      <c r="D9" s="20">
        <v>1016.669044128</v>
      </c>
      <c r="E9" s="20">
        <v>1016.669044128</v>
      </c>
      <c r="F9" s="20">
        <v>1004.3090131037322</v>
      </c>
      <c r="G9" s="20">
        <v>1001.5170920424891</v>
      </c>
      <c r="H9" s="20">
        <v>997.94746053350377</v>
      </c>
      <c r="I9" s="20">
        <v>991.86506413795507</v>
      </c>
      <c r="J9" s="20">
        <v>988.94568391427163</v>
      </c>
      <c r="K9" s="20">
        <v>985.9727361309823</v>
      </c>
      <c r="L9" s="20">
        <v>983.0529453573713</v>
      </c>
      <c r="M9" s="20">
        <v>980.13449520908136</v>
      </c>
      <c r="N9" s="20">
        <v>977.08634725065338</v>
      </c>
      <c r="O9" s="20">
        <v>968.37952682675302</v>
      </c>
      <c r="P9" s="20">
        <v>961.6701153951326</v>
      </c>
      <c r="Q9" s="20">
        <v>955.44918198469429</v>
      </c>
      <c r="R9" s="20">
        <v>951.02484871321496</v>
      </c>
      <c r="S9" s="20">
        <v>946.32216966288581</v>
      </c>
      <c r="T9" s="20">
        <v>942.05678926288329</v>
      </c>
      <c r="U9" s="20">
        <v>938.66291815881618</v>
      </c>
      <c r="V9" s="20">
        <v>935.64632067416107</v>
      </c>
      <c r="W9" s="20">
        <v>932.58592016186583</v>
      </c>
      <c r="X9" s="20">
        <v>929.15231129402503</v>
      </c>
      <c r="Y9" s="20">
        <v>925.69544141063329</v>
      </c>
      <c r="Z9" s="20">
        <v>922.71316258789727</v>
      </c>
      <c r="AA9" s="20">
        <v>919.0731760539195</v>
      </c>
      <c r="AB9" s="20">
        <v>916.08647289146745</v>
      </c>
      <c r="AC9" s="20">
        <v>912.66520676931179</v>
      </c>
      <c r="AD9" s="20">
        <v>909.29951047995439</v>
      </c>
      <c r="AE9" s="20">
        <v>905.93381419059699</v>
      </c>
      <c r="AF9" s="20">
        <v>902.56811790123959</v>
      </c>
      <c r="AG9" s="20">
        <v>899.20242161188219</v>
      </c>
      <c r="AH9" s="20">
        <v>895.83672532252479</v>
      </c>
      <c r="AI9" s="20">
        <v>892.47102903316738</v>
      </c>
      <c r="AJ9" s="20">
        <v>889.10533274380998</v>
      </c>
      <c r="AK9" s="20">
        <v>885.73963645445258</v>
      </c>
      <c r="AL9" s="20">
        <v>882.37394016509518</v>
      </c>
      <c r="AM9" s="20">
        <v>879.00824387573778</v>
      </c>
    </row>
    <row r="10" spans="1:39">
      <c r="A10" s="20" t="s">
        <v>29</v>
      </c>
      <c r="B10" s="20" t="s">
        <v>172</v>
      </c>
      <c r="C10" s="20">
        <v>1016.669044128</v>
      </c>
      <c r="D10" s="20">
        <v>1016.669044128</v>
      </c>
      <c r="E10" s="20">
        <v>1016.669044128</v>
      </c>
      <c r="F10" s="20">
        <v>1004.3090131037322</v>
      </c>
      <c r="G10" s="20">
        <v>1001.5170920424891</v>
      </c>
      <c r="H10" s="20">
        <v>997.94746053350377</v>
      </c>
      <c r="I10" s="20">
        <v>991.86506413795507</v>
      </c>
      <c r="J10" s="20">
        <v>988.94568391427163</v>
      </c>
      <c r="K10" s="20">
        <v>985.9727361309823</v>
      </c>
      <c r="L10" s="20">
        <v>983.0529453573713</v>
      </c>
      <c r="M10" s="20">
        <v>980.13449520908136</v>
      </c>
      <c r="N10" s="20">
        <v>977.08634725065338</v>
      </c>
      <c r="O10" s="20">
        <v>968.37952682675302</v>
      </c>
      <c r="P10" s="20">
        <v>961.6701153951326</v>
      </c>
      <c r="Q10" s="20">
        <v>955.44918198469429</v>
      </c>
      <c r="R10" s="20">
        <v>951.02484871321496</v>
      </c>
      <c r="S10" s="20">
        <v>946.32216966288581</v>
      </c>
      <c r="T10" s="20">
        <v>942.05678926288329</v>
      </c>
      <c r="U10" s="20">
        <v>938.66291815881618</v>
      </c>
      <c r="V10" s="20">
        <v>935.64632067416107</v>
      </c>
      <c r="W10" s="20">
        <v>932.58592016186583</v>
      </c>
      <c r="X10" s="20">
        <v>929.15231129402503</v>
      </c>
      <c r="Y10" s="20">
        <v>925.69544141063329</v>
      </c>
      <c r="Z10" s="20">
        <v>922.71316258789727</v>
      </c>
      <c r="AA10" s="20">
        <v>919.0731760539195</v>
      </c>
      <c r="AB10" s="20">
        <v>916.08647289146745</v>
      </c>
      <c r="AC10" s="20">
        <v>912.66520676931179</v>
      </c>
      <c r="AD10" s="20">
        <v>909.29951047995439</v>
      </c>
      <c r="AE10" s="20">
        <v>905.93381419059699</v>
      </c>
      <c r="AF10" s="20">
        <v>902.56811790123959</v>
      </c>
      <c r="AG10" s="20">
        <v>899.20242161188219</v>
      </c>
      <c r="AH10" s="20">
        <v>895.83672532252479</v>
      </c>
      <c r="AI10" s="20">
        <v>892.47102903316738</v>
      </c>
      <c r="AJ10" s="20">
        <v>889.10533274380998</v>
      </c>
      <c r="AK10" s="20">
        <v>885.73963645445258</v>
      </c>
      <c r="AL10" s="20">
        <v>882.37394016509518</v>
      </c>
      <c r="AM10" s="20">
        <v>879.00824387573778</v>
      </c>
    </row>
    <row r="11" spans="1:39">
      <c r="A11" s="20" t="s">
        <v>29</v>
      </c>
      <c r="B11" s="20" t="s">
        <v>173</v>
      </c>
      <c r="C11" s="20">
        <v>1016.669044128</v>
      </c>
      <c r="D11" s="20">
        <v>1016.669044128</v>
      </c>
      <c r="E11" s="20">
        <v>1016.669044128</v>
      </c>
      <c r="F11" s="20">
        <v>1004.3090131037322</v>
      </c>
      <c r="G11" s="20">
        <v>1001.5170920424891</v>
      </c>
      <c r="H11" s="20">
        <v>997.94746053350377</v>
      </c>
      <c r="I11" s="20">
        <v>991.86506413795507</v>
      </c>
      <c r="J11" s="20">
        <v>988.94568391427163</v>
      </c>
      <c r="K11" s="20">
        <v>985.9727361309823</v>
      </c>
      <c r="L11" s="20">
        <v>983.0529453573713</v>
      </c>
      <c r="M11" s="20">
        <v>980.13449520908136</v>
      </c>
      <c r="N11" s="20">
        <v>977.08634725065338</v>
      </c>
      <c r="O11" s="20">
        <v>968.37952682675302</v>
      </c>
      <c r="P11" s="20">
        <v>961.6701153951326</v>
      </c>
      <c r="Q11" s="20">
        <v>955.44918198469429</v>
      </c>
      <c r="R11" s="20">
        <v>951.02484871321496</v>
      </c>
      <c r="S11" s="20">
        <v>946.32216966288581</v>
      </c>
      <c r="T11" s="20">
        <v>942.05678926288329</v>
      </c>
      <c r="U11" s="20">
        <v>938.66291815881618</v>
      </c>
      <c r="V11" s="20">
        <v>935.64632067416107</v>
      </c>
      <c r="W11" s="20">
        <v>932.58592016186583</v>
      </c>
      <c r="X11" s="20">
        <v>929.15231129402503</v>
      </c>
      <c r="Y11" s="20">
        <v>925.69544141063329</v>
      </c>
      <c r="Z11" s="20">
        <v>922.71316258789727</v>
      </c>
      <c r="AA11" s="20">
        <v>919.0731760539195</v>
      </c>
      <c r="AB11" s="20">
        <v>916.08647289146745</v>
      </c>
      <c r="AC11" s="20">
        <v>912.66520676931179</v>
      </c>
      <c r="AD11" s="20">
        <v>909.29951047995439</v>
      </c>
      <c r="AE11" s="20">
        <v>905.93381419059699</v>
      </c>
      <c r="AF11" s="20">
        <v>902.56811790123959</v>
      </c>
      <c r="AG11" s="20">
        <v>899.20242161188219</v>
      </c>
      <c r="AH11" s="20">
        <v>895.83672532252479</v>
      </c>
      <c r="AI11" s="20">
        <v>892.47102903316738</v>
      </c>
      <c r="AJ11" s="20">
        <v>889.10533274380998</v>
      </c>
      <c r="AK11" s="20">
        <v>885.73963645445258</v>
      </c>
      <c r="AL11" s="20">
        <v>882.37394016509518</v>
      </c>
      <c r="AM11" s="20">
        <v>879.00824387573778</v>
      </c>
    </row>
    <row r="12" spans="1:39">
      <c r="A12" t="s">
        <v>17</v>
      </c>
      <c r="B12" s="20" t="s">
        <v>174</v>
      </c>
      <c r="C12" s="20">
        <v>5937.8628529899997</v>
      </c>
      <c r="D12" s="20">
        <v>5937.8628529899997</v>
      </c>
      <c r="E12" s="20">
        <v>5848.7949101951499</v>
      </c>
      <c r="F12" s="20">
        <v>5759.7269674002991</v>
      </c>
      <c r="G12" s="20">
        <v>5670.6590246054493</v>
      </c>
      <c r="H12" s="20">
        <v>5581.5910818105995</v>
      </c>
      <c r="I12" s="20">
        <v>5492.5231390157496</v>
      </c>
      <c r="J12" s="20">
        <v>5403.4551962208989</v>
      </c>
      <c r="K12" s="20">
        <v>5314.3872534260499</v>
      </c>
      <c r="L12" s="20">
        <v>5225.3193106312001</v>
      </c>
      <c r="M12" s="20">
        <v>5136.2513678363493</v>
      </c>
      <c r="N12" s="20">
        <v>5047.1834250414995</v>
      </c>
      <c r="O12" s="20">
        <v>4958.1154822466497</v>
      </c>
      <c r="P12" s="20">
        <v>4869.0475394517998</v>
      </c>
      <c r="Q12" s="20">
        <v>4779.9795966569491</v>
      </c>
      <c r="R12" s="20">
        <v>4690.9116538620992</v>
      </c>
      <c r="S12" s="20">
        <v>4601.8437110672494</v>
      </c>
      <c r="T12" s="20">
        <v>4512.7757682723995</v>
      </c>
      <c r="U12" s="20">
        <v>4423.7078254775488</v>
      </c>
      <c r="V12" s="20">
        <v>4334.6398826826999</v>
      </c>
      <c r="W12" s="20">
        <v>4245.57193988785</v>
      </c>
      <c r="X12" s="20">
        <v>4156.5039970929993</v>
      </c>
      <c r="Y12" s="20">
        <v>4135.5235483457682</v>
      </c>
      <c r="Z12" s="20">
        <v>4114.5430995985371</v>
      </c>
      <c r="AA12" s="20">
        <v>4093.562650851306</v>
      </c>
      <c r="AB12" s="20">
        <v>4072.5822021040744</v>
      </c>
      <c r="AC12" s="20">
        <v>4051.6017533568433</v>
      </c>
      <c r="AD12" s="20">
        <v>4030.6213046096118</v>
      </c>
      <c r="AE12" s="20">
        <v>4009.6408558623807</v>
      </c>
      <c r="AF12" s="20">
        <v>3988.6604071151487</v>
      </c>
      <c r="AG12" s="20">
        <v>3967.6799583679181</v>
      </c>
      <c r="AH12" s="20">
        <v>3946.6995096206861</v>
      </c>
      <c r="AI12" s="20">
        <v>3925.7190608734554</v>
      </c>
      <c r="AJ12" s="20">
        <v>3904.7386121262234</v>
      </c>
      <c r="AK12" s="20">
        <v>3883.7581633789928</v>
      </c>
      <c r="AL12" s="20">
        <v>3862.7777146317617</v>
      </c>
      <c r="AM12" s="20">
        <v>3841.7972658845301</v>
      </c>
    </row>
    <row r="13" spans="1:39">
      <c r="A13" s="20" t="s">
        <v>17</v>
      </c>
      <c r="B13" s="20" t="s">
        <v>175</v>
      </c>
      <c r="C13" s="20">
        <v>5937.8628529899997</v>
      </c>
      <c r="D13" s="20">
        <v>5937.8628529899997</v>
      </c>
      <c r="E13" s="20">
        <v>5937.8628529899997</v>
      </c>
      <c r="F13" s="20">
        <v>5937.8628529899997</v>
      </c>
      <c r="G13" s="20">
        <v>5937.8628529899997</v>
      </c>
      <c r="H13" s="20">
        <v>5937.8628529899997</v>
      </c>
      <c r="I13" s="20">
        <v>5937.8628529899997</v>
      </c>
      <c r="J13" s="20">
        <v>5937.8628529899997</v>
      </c>
      <c r="K13" s="20">
        <v>5937.8628529899997</v>
      </c>
      <c r="L13" s="20">
        <v>5937.8628529899997</v>
      </c>
      <c r="M13" s="20">
        <v>5937.8628529899997</v>
      </c>
      <c r="N13" s="20">
        <v>5937.8628529899997</v>
      </c>
      <c r="O13" s="20">
        <v>5937.8628529899997</v>
      </c>
      <c r="P13" s="20">
        <v>5937.8628529899997</v>
      </c>
      <c r="Q13" s="20">
        <v>5937.8628529899997</v>
      </c>
      <c r="R13" s="20">
        <v>5937.8628529899997</v>
      </c>
      <c r="S13" s="20">
        <v>5937.8628529899997</v>
      </c>
      <c r="T13" s="20">
        <v>5937.8628529899997</v>
      </c>
      <c r="U13" s="20">
        <v>5937.8628529899997</v>
      </c>
      <c r="V13" s="20">
        <v>5937.8628529899997</v>
      </c>
      <c r="W13" s="20">
        <v>5937.8628529899997</v>
      </c>
      <c r="X13" s="20">
        <v>5937.8628529899997</v>
      </c>
      <c r="Y13" s="20">
        <v>5937.8628529899997</v>
      </c>
      <c r="Z13" s="20">
        <v>5937.8628529899997</v>
      </c>
      <c r="AA13" s="20">
        <v>5937.8628529899997</v>
      </c>
      <c r="AB13" s="20">
        <v>5937.8628529899997</v>
      </c>
      <c r="AC13" s="20">
        <v>5937.8628529899997</v>
      </c>
      <c r="AD13" s="20">
        <v>5937.8628529899997</v>
      </c>
      <c r="AE13" s="20">
        <v>5937.8628529899997</v>
      </c>
      <c r="AF13" s="20">
        <v>5937.8628529899997</v>
      </c>
      <c r="AG13" s="20">
        <v>5937.8628529899997</v>
      </c>
      <c r="AH13" s="20">
        <v>5937.8628529899997</v>
      </c>
      <c r="AI13" s="20">
        <v>5937.8628529899997</v>
      </c>
      <c r="AJ13" s="20">
        <v>5937.8628529899997</v>
      </c>
      <c r="AK13" s="20">
        <v>5937.8628529899997</v>
      </c>
      <c r="AL13" s="20">
        <v>5937.8628529899997</v>
      </c>
      <c r="AM13" s="20">
        <v>5937.8628529899997</v>
      </c>
    </row>
    <row r="14" spans="1:39">
      <c r="A14" s="20" t="s">
        <v>17</v>
      </c>
      <c r="B14" s="20" t="s">
        <v>176</v>
      </c>
      <c r="C14" s="20">
        <v>5937.8628529899997</v>
      </c>
      <c r="D14" s="20">
        <v>5937.8628529899997</v>
      </c>
      <c r="E14" s="20">
        <v>5937.8628529899997</v>
      </c>
      <c r="F14" s="20">
        <v>5937.8628529899997</v>
      </c>
      <c r="G14" s="20">
        <v>5937.8628529899997</v>
      </c>
      <c r="H14" s="20">
        <v>5937.8628529899997</v>
      </c>
      <c r="I14" s="20">
        <v>5937.8628529899997</v>
      </c>
      <c r="J14" s="20">
        <v>5937.8628529899997</v>
      </c>
      <c r="K14" s="20">
        <v>5937.8628529899997</v>
      </c>
      <c r="L14" s="20">
        <v>5937.8628529899997</v>
      </c>
      <c r="M14" s="20">
        <v>5937.8628529899997</v>
      </c>
      <c r="N14" s="20">
        <v>5937.8628529899997</v>
      </c>
      <c r="O14" s="20">
        <v>5937.8628529899997</v>
      </c>
      <c r="P14" s="20">
        <v>5937.8628529899997</v>
      </c>
      <c r="Q14" s="20">
        <v>5937.8628529899997</v>
      </c>
      <c r="R14" s="20">
        <v>5937.8628529899997</v>
      </c>
      <c r="S14" s="20">
        <v>5937.8628529899997</v>
      </c>
      <c r="T14" s="20">
        <v>5937.8628529899997</v>
      </c>
      <c r="U14" s="20">
        <v>5937.8628529899997</v>
      </c>
      <c r="V14" s="20">
        <v>5937.8628529899997</v>
      </c>
      <c r="W14" s="20">
        <v>5937.8628529899997</v>
      </c>
      <c r="X14" s="20">
        <v>5937.8628529899997</v>
      </c>
      <c r="Y14" s="20">
        <v>5937.8628529899997</v>
      </c>
      <c r="Z14" s="20">
        <v>5937.8628529899997</v>
      </c>
      <c r="AA14" s="20">
        <v>5937.8628529899997</v>
      </c>
      <c r="AB14" s="20">
        <v>5937.8628529899997</v>
      </c>
      <c r="AC14" s="20">
        <v>5937.8628529899997</v>
      </c>
      <c r="AD14" s="20">
        <v>5937.8628529899997</v>
      </c>
      <c r="AE14" s="20">
        <v>5937.8628529899997</v>
      </c>
      <c r="AF14" s="20">
        <v>5937.8628529899997</v>
      </c>
      <c r="AG14" s="20">
        <v>5937.8628529899997</v>
      </c>
      <c r="AH14" s="20">
        <v>5937.8628529899997</v>
      </c>
      <c r="AI14" s="20">
        <v>5937.8628529899997</v>
      </c>
      <c r="AJ14" s="20">
        <v>5937.8628529899997</v>
      </c>
      <c r="AK14" s="20">
        <v>5937.8628529899997</v>
      </c>
      <c r="AL14" s="20">
        <v>5937.8628529899997</v>
      </c>
      <c r="AM14" s="20">
        <v>5937.8628529899997</v>
      </c>
    </row>
    <row r="15" spans="1:39">
      <c r="A15" s="20" t="s">
        <v>17</v>
      </c>
      <c r="B15" s="20" t="s">
        <v>177</v>
      </c>
      <c r="C15" s="20">
        <v>5404.5923246599996</v>
      </c>
      <c r="D15" s="20">
        <v>5404.5923246599996</v>
      </c>
      <c r="E15" s="20">
        <v>5323.5234397900995</v>
      </c>
      <c r="F15" s="20">
        <v>5242.4545549201994</v>
      </c>
      <c r="G15" s="20">
        <v>5161.3856700502993</v>
      </c>
      <c r="H15" s="20">
        <v>5080.3167851803992</v>
      </c>
      <c r="I15" s="20">
        <v>4999.2479003105</v>
      </c>
      <c r="J15" s="20">
        <v>4918.179015440599</v>
      </c>
      <c r="K15" s="20">
        <v>4837.1101305706998</v>
      </c>
      <c r="L15" s="20">
        <v>4756.0412457007997</v>
      </c>
      <c r="M15" s="20">
        <v>4674.9723608308996</v>
      </c>
      <c r="N15" s="20">
        <v>4593.9034759609995</v>
      </c>
      <c r="O15" s="20">
        <v>4512.8345910910994</v>
      </c>
      <c r="P15" s="20">
        <v>4431.7657062211993</v>
      </c>
      <c r="Q15" s="20">
        <v>4350.6968213512991</v>
      </c>
      <c r="R15" s="20">
        <v>4269.627936481399</v>
      </c>
      <c r="S15" s="20">
        <v>4188.5590516114989</v>
      </c>
      <c r="T15" s="20">
        <v>4107.4901667415998</v>
      </c>
      <c r="U15" s="20">
        <v>4026.4212818716992</v>
      </c>
      <c r="V15" s="20">
        <v>3945.3523970017995</v>
      </c>
      <c r="W15" s="20">
        <v>3864.2835121318994</v>
      </c>
      <c r="X15" s="20">
        <v>3783.2146272619993</v>
      </c>
      <c r="Y15" s="20">
        <v>3764.1184010482011</v>
      </c>
      <c r="Z15" s="20">
        <v>3745.022174834402</v>
      </c>
      <c r="AA15" s="20">
        <v>3725.9259486206038</v>
      </c>
      <c r="AB15" s="20">
        <v>3706.8297224068046</v>
      </c>
      <c r="AC15" s="20">
        <v>3687.7334961930064</v>
      </c>
      <c r="AD15" s="20">
        <v>3668.6372699792073</v>
      </c>
      <c r="AE15" s="20">
        <v>3649.5410437654091</v>
      </c>
      <c r="AF15" s="20">
        <v>3630.44481755161</v>
      </c>
      <c r="AG15" s="20">
        <v>3611.3485913378117</v>
      </c>
      <c r="AH15" s="20">
        <v>3592.2523651240131</v>
      </c>
      <c r="AI15" s="20">
        <v>3573.1561389102144</v>
      </c>
      <c r="AJ15" s="20">
        <v>3554.0599126964157</v>
      </c>
      <c r="AK15" s="20">
        <v>3534.963686482617</v>
      </c>
      <c r="AL15" s="20">
        <v>3515.8674602688188</v>
      </c>
      <c r="AM15" s="20">
        <v>3496.7712340550197</v>
      </c>
    </row>
    <row r="16" spans="1:39">
      <c r="A16" s="20" t="s">
        <v>17</v>
      </c>
      <c r="B16" s="20" t="s">
        <v>178</v>
      </c>
      <c r="C16" s="20">
        <v>5404.5923246599996</v>
      </c>
      <c r="D16" s="20">
        <v>5404.5923246599996</v>
      </c>
      <c r="E16" s="20">
        <v>5404.5923246599996</v>
      </c>
      <c r="F16" s="20">
        <v>5404.5923246599996</v>
      </c>
      <c r="G16" s="20">
        <v>5404.5923246599996</v>
      </c>
      <c r="H16" s="20">
        <v>5404.5923246599996</v>
      </c>
      <c r="I16" s="20">
        <v>5404.5923246599996</v>
      </c>
      <c r="J16" s="20">
        <v>5404.5923246599996</v>
      </c>
      <c r="K16" s="20">
        <v>5404.5923246599996</v>
      </c>
      <c r="L16" s="20">
        <v>5404.5923246599996</v>
      </c>
      <c r="M16" s="20">
        <v>5404.5923246599996</v>
      </c>
      <c r="N16" s="20">
        <v>5404.5923246599996</v>
      </c>
      <c r="O16" s="20">
        <v>5404.5923246599996</v>
      </c>
      <c r="P16" s="20">
        <v>5404.5923246599996</v>
      </c>
      <c r="Q16" s="20">
        <v>5404.5923246599996</v>
      </c>
      <c r="R16" s="20">
        <v>5404.5923246599996</v>
      </c>
      <c r="S16" s="20">
        <v>5404.5923246599996</v>
      </c>
      <c r="T16" s="20">
        <v>5404.5923246599996</v>
      </c>
      <c r="U16" s="20">
        <v>5404.5923246599996</v>
      </c>
      <c r="V16" s="20">
        <v>5404.5923246599996</v>
      </c>
      <c r="W16" s="20">
        <v>5404.5923246599996</v>
      </c>
      <c r="X16" s="20">
        <v>5404.5923246599996</v>
      </c>
      <c r="Y16" s="20">
        <v>5404.5923246599996</v>
      </c>
      <c r="Z16" s="20">
        <v>5404.5923246599996</v>
      </c>
      <c r="AA16" s="20">
        <v>5404.5923246599996</v>
      </c>
      <c r="AB16" s="20">
        <v>5404.5923246599996</v>
      </c>
      <c r="AC16" s="20">
        <v>5404.5923246599996</v>
      </c>
      <c r="AD16" s="20">
        <v>5404.5923246599996</v>
      </c>
      <c r="AE16" s="20">
        <v>5404.5923246599996</v>
      </c>
      <c r="AF16" s="20">
        <v>5404.5923246599996</v>
      </c>
      <c r="AG16" s="20">
        <v>5404.5923246599996</v>
      </c>
      <c r="AH16" s="20">
        <v>5404.5923246599996</v>
      </c>
      <c r="AI16" s="20">
        <v>5404.5923246599996</v>
      </c>
      <c r="AJ16" s="20">
        <v>5404.5923246599996</v>
      </c>
      <c r="AK16" s="20">
        <v>5404.5923246599996</v>
      </c>
      <c r="AL16" s="20">
        <v>5404.5923246599996</v>
      </c>
      <c r="AM16" s="20">
        <v>5404.5923246599996</v>
      </c>
    </row>
    <row r="17" spans="1:39">
      <c r="A17" s="20" t="s">
        <v>17</v>
      </c>
      <c r="B17" s="20" t="s">
        <v>179</v>
      </c>
      <c r="C17" s="20">
        <v>5404.5923246599996</v>
      </c>
      <c r="D17" s="20">
        <v>5404.5923246599996</v>
      </c>
      <c r="E17" s="20">
        <v>5404.5923246599996</v>
      </c>
      <c r="F17" s="20">
        <v>5404.5923246599996</v>
      </c>
      <c r="G17" s="20">
        <v>5404.5923246599996</v>
      </c>
      <c r="H17" s="20">
        <v>5404.5923246599996</v>
      </c>
      <c r="I17" s="20">
        <v>5404.5923246599996</v>
      </c>
      <c r="J17" s="20">
        <v>5404.5923246599996</v>
      </c>
      <c r="K17" s="20">
        <v>5404.5923246599996</v>
      </c>
      <c r="L17" s="20">
        <v>5404.5923246599996</v>
      </c>
      <c r="M17" s="20">
        <v>5404.5923246599996</v>
      </c>
      <c r="N17" s="20">
        <v>5404.5923246599996</v>
      </c>
      <c r="O17" s="20">
        <v>5404.5923246599996</v>
      </c>
      <c r="P17" s="20">
        <v>5404.5923246599996</v>
      </c>
      <c r="Q17" s="20">
        <v>5404.5923246599996</v>
      </c>
      <c r="R17" s="20">
        <v>5404.5923246599996</v>
      </c>
      <c r="S17" s="20">
        <v>5404.5923246599996</v>
      </c>
      <c r="T17" s="20">
        <v>5404.5923246599996</v>
      </c>
      <c r="U17" s="20">
        <v>5404.5923246599996</v>
      </c>
      <c r="V17" s="20">
        <v>5404.5923246599996</v>
      </c>
      <c r="W17" s="20">
        <v>5404.5923246599996</v>
      </c>
      <c r="X17" s="20">
        <v>5404.5923246599996</v>
      </c>
      <c r="Y17" s="20">
        <v>5404.5923246599996</v>
      </c>
      <c r="Z17" s="20">
        <v>5404.5923246599996</v>
      </c>
      <c r="AA17" s="20">
        <v>5404.5923246599996</v>
      </c>
      <c r="AB17" s="20">
        <v>5404.5923246599996</v>
      </c>
      <c r="AC17" s="20">
        <v>5404.5923246599996</v>
      </c>
      <c r="AD17" s="20">
        <v>5404.5923246599996</v>
      </c>
      <c r="AE17" s="20">
        <v>5404.5923246599996</v>
      </c>
      <c r="AF17" s="20">
        <v>5404.5923246599996</v>
      </c>
      <c r="AG17" s="20">
        <v>5404.5923246599996</v>
      </c>
      <c r="AH17" s="20">
        <v>5404.5923246599996</v>
      </c>
      <c r="AI17" s="20">
        <v>5404.5923246599996</v>
      </c>
      <c r="AJ17" s="20">
        <v>5404.5923246599996</v>
      </c>
      <c r="AK17" s="20">
        <v>5404.5923246599996</v>
      </c>
      <c r="AL17" s="20">
        <v>5404.5923246599996</v>
      </c>
      <c r="AM17" s="20">
        <v>5404.5923246599996</v>
      </c>
    </row>
    <row r="18" spans="1:39">
      <c r="A18" s="20" t="s">
        <v>17</v>
      </c>
      <c r="B18" s="20" t="s">
        <v>180</v>
      </c>
      <c r="C18" s="20">
        <v>3976.7149884099999</v>
      </c>
      <c r="D18" s="20">
        <v>3976.7149884099999</v>
      </c>
      <c r="E18" s="20">
        <v>3927.0060510548751</v>
      </c>
      <c r="F18" s="20">
        <v>3877.2971136997498</v>
      </c>
      <c r="G18" s="20">
        <v>3827.588176344625</v>
      </c>
      <c r="H18" s="20">
        <v>3777.8792389894998</v>
      </c>
      <c r="I18" s="20">
        <v>3728.1703016343749</v>
      </c>
      <c r="J18" s="20">
        <v>3678.4613642792501</v>
      </c>
      <c r="K18" s="20">
        <v>3628.7524269241248</v>
      </c>
      <c r="L18" s="20">
        <v>3579.043489569</v>
      </c>
      <c r="M18" s="20">
        <v>3529.3345522138748</v>
      </c>
      <c r="N18" s="20">
        <v>3479.6256148587499</v>
      </c>
      <c r="O18" s="20">
        <v>3429.9166775036251</v>
      </c>
      <c r="P18" s="20">
        <v>3380.2077401484999</v>
      </c>
      <c r="Q18" s="20">
        <v>3330.498802793375</v>
      </c>
      <c r="R18" s="20">
        <v>3280.7898654382498</v>
      </c>
      <c r="S18" s="20">
        <v>3231.0809280831249</v>
      </c>
      <c r="T18" s="20">
        <v>3181.3719907280001</v>
      </c>
      <c r="U18" s="20">
        <v>3131.6630533728749</v>
      </c>
      <c r="V18" s="20">
        <v>3081.95411601775</v>
      </c>
      <c r="W18" s="20">
        <v>3032.2451786626248</v>
      </c>
      <c r="X18" s="20">
        <v>2982.5362413074999</v>
      </c>
      <c r="Y18" s="20">
        <v>2962.1224377003286</v>
      </c>
      <c r="Z18" s="20">
        <v>2941.7086340931573</v>
      </c>
      <c r="AA18" s="20">
        <v>2921.294830485986</v>
      </c>
      <c r="AB18" s="20">
        <v>2900.8810268788147</v>
      </c>
      <c r="AC18" s="20">
        <v>2880.4672232716434</v>
      </c>
      <c r="AD18" s="20">
        <v>2860.0534196644721</v>
      </c>
      <c r="AE18" s="20">
        <v>2839.6396160573004</v>
      </c>
      <c r="AF18" s="20">
        <v>2819.2258124501291</v>
      </c>
      <c r="AG18" s="20">
        <v>2798.8120088429578</v>
      </c>
      <c r="AH18" s="20">
        <v>2778.3982052357865</v>
      </c>
      <c r="AI18" s="20">
        <v>2757.9844016286152</v>
      </c>
      <c r="AJ18" s="20">
        <v>2737.5705980214439</v>
      </c>
      <c r="AK18" s="20">
        <v>2717.1567944142726</v>
      </c>
      <c r="AL18" s="20">
        <v>2696.7429908071013</v>
      </c>
      <c r="AM18" s="20">
        <v>2676.3291871999299</v>
      </c>
    </row>
    <row r="19" spans="1:39">
      <c r="A19" s="20" t="s">
        <v>17</v>
      </c>
      <c r="B19" s="20" t="s">
        <v>181</v>
      </c>
      <c r="C19" s="20">
        <v>3976.7149884099999</v>
      </c>
      <c r="D19" s="20">
        <v>3976.7149884099999</v>
      </c>
      <c r="E19" s="20">
        <v>3976.7149884099999</v>
      </c>
      <c r="F19" s="20">
        <v>3976.7149884099999</v>
      </c>
      <c r="G19" s="20">
        <v>3976.7149884099999</v>
      </c>
      <c r="H19" s="20">
        <v>3976.7149884099999</v>
      </c>
      <c r="I19" s="20">
        <v>3976.7149884099999</v>
      </c>
      <c r="J19" s="20">
        <v>3976.7149884099999</v>
      </c>
      <c r="K19" s="20">
        <v>3976.7149884099999</v>
      </c>
      <c r="L19" s="20">
        <v>3976.7149884099999</v>
      </c>
      <c r="M19" s="20">
        <v>3976.7149884099999</v>
      </c>
      <c r="N19" s="20">
        <v>3976.7149884099999</v>
      </c>
      <c r="O19" s="20">
        <v>3976.7149884099999</v>
      </c>
      <c r="P19" s="20">
        <v>3976.7149884099999</v>
      </c>
      <c r="Q19" s="20">
        <v>3976.7149884099999</v>
      </c>
      <c r="R19" s="20">
        <v>3976.7149884099999</v>
      </c>
      <c r="S19" s="20">
        <v>3976.7149884099999</v>
      </c>
      <c r="T19" s="20">
        <v>3976.7149884099999</v>
      </c>
      <c r="U19" s="20">
        <v>3976.7149884099999</v>
      </c>
      <c r="V19" s="20">
        <v>3976.7149884099999</v>
      </c>
      <c r="W19" s="20">
        <v>3976.7149884099999</v>
      </c>
      <c r="X19" s="20">
        <v>3976.7149884099999</v>
      </c>
      <c r="Y19" s="20">
        <v>3976.7149884099999</v>
      </c>
      <c r="Z19" s="20">
        <v>3976.7149884099999</v>
      </c>
      <c r="AA19" s="20">
        <v>3976.7149884099999</v>
      </c>
      <c r="AB19" s="20">
        <v>3976.7149884099999</v>
      </c>
      <c r="AC19" s="20">
        <v>3976.7149884099999</v>
      </c>
      <c r="AD19" s="20">
        <v>3976.7149884099999</v>
      </c>
      <c r="AE19" s="20">
        <v>3976.7149884099999</v>
      </c>
      <c r="AF19" s="20">
        <v>3976.7149884099999</v>
      </c>
      <c r="AG19" s="20">
        <v>3976.7149884099999</v>
      </c>
      <c r="AH19" s="20">
        <v>3976.7149884099999</v>
      </c>
      <c r="AI19" s="20">
        <v>3976.7149884099999</v>
      </c>
      <c r="AJ19" s="20">
        <v>3976.7149884099999</v>
      </c>
      <c r="AK19" s="20">
        <v>3976.7149884099999</v>
      </c>
      <c r="AL19" s="20">
        <v>3976.7149884099999</v>
      </c>
      <c r="AM19" s="20">
        <v>3976.7149884099999</v>
      </c>
    </row>
    <row r="20" spans="1:39">
      <c r="A20" s="20" t="s">
        <v>17</v>
      </c>
      <c r="B20" s="20" t="s">
        <v>182</v>
      </c>
      <c r="C20" s="20">
        <v>3976.7149884099999</v>
      </c>
      <c r="D20" s="20">
        <v>3976.7149884099999</v>
      </c>
      <c r="E20" s="20">
        <v>3976.7149884099999</v>
      </c>
      <c r="F20" s="20">
        <v>3976.7149884099999</v>
      </c>
      <c r="G20" s="20">
        <v>3976.7149884099999</v>
      </c>
      <c r="H20" s="20">
        <v>3976.7149884099999</v>
      </c>
      <c r="I20" s="20">
        <v>3976.7149884099999</v>
      </c>
      <c r="J20" s="20">
        <v>3976.7149884099999</v>
      </c>
      <c r="K20" s="20">
        <v>3976.7149884099999</v>
      </c>
      <c r="L20" s="20">
        <v>3976.7149884099999</v>
      </c>
      <c r="M20" s="20">
        <v>3976.7149884099999</v>
      </c>
      <c r="N20" s="20">
        <v>3976.7149884099999</v>
      </c>
      <c r="O20" s="20">
        <v>3976.7149884099999</v>
      </c>
      <c r="P20" s="20">
        <v>3976.7149884099999</v>
      </c>
      <c r="Q20" s="20">
        <v>3976.7149884099999</v>
      </c>
      <c r="R20" s="20">
        <v>3976.7149884099999</v>
      </c>
      <c r="S20" s="20">
        <v>3976.7149884099999</v>
      </c>
      <c r="T20" s="20">
        <v>3976.7149884099999</v>
      </c>
      <c r="U20" s="20">
        <v>3976.7149884099999</v>
      </c>
      <c r="V20" s="20">
        <v>3976.7149884099999</v>
      </c>
      <c r="W20" s="20">
        <v>3976.7149884099999</v>
      </c>
      <c r="X20" s="20">
        <v>3976.7149884099999</v>
      </c>
      <c r="Y20" s="20">
        <v>3976.7149884099999</v>
      </c>
      <c r="Z20" s="20">
        <v>3976.7149884099999</v>
      </c>
      <c r="AA20" s="20">
        <v>3976.7149884099999</v>
      </c>
      <c r="AB20" s="20">
        <v>3976.7149884099999</v>
      </c>
      <c r="AC20" s="20">
        <v>3976.7149884099999</v>
      </c>
      <c r="AD20" s="20">
        <v>3976.7149884099999</v>
      </c>
      <c r="AE20" s="20">
        <v>3976.7149884099999</v>
      </c>
      <c r="AF20" s="20">
        <v>3976.7149884099999</v>
      </c>
      <c r="AG20" s="20">
        <v>3976.7149884099999</v>
      </c>
      <c r="AH20" s="20">
        <v>3976.7149884099999</v>
      </c>
      <c r="AI20" s="20">
        <v>3976.7149884099999</v>
      </c>
      <c r="AJ20" s="20">
        <v>3976.7149884099999</v>
      </c>
      <c r="AK20" s="20">
        <v>3976.7149884099999</v>
      </c>
      <c r="AL20" s="20">
        <v>3976.7149884099999</v>
      </c>
      <c r="AM20" s="20">
        <v>3976.7149884099999</v>
      </c>
    </row>
    <row r="21" spans="1:39">
      <c r="A21" s="20" t="s">
        <v>17</v>
      </c>
      <c r="B21" s="20" t="s">
        <v>183</v>
      </c>
      <c r="C21" s="20">
        <v>3749.3454306399999</v>
      </c>
      <c r="D21" s="20">
        <v>3749.3454306399999</v>
      </c>
      <c r="E21" s="20">
        <v>3702.4786127570001</v>
      </c>
      <c r="F21" s="20">
        <v>3655.6117948739998</v>
      </c>
      <c r="G21" s="20">
        <v>3608.7449769909999</v>
      </c>
      <c r="H21" s="20">
        <v>3561.8781591079996</v>
      </c>
      <c r="I21" s="20">
        <v>3515.0113412249998</v>
      </c>
      <c r="J21" s="20">
        <v>3468.144523342</v>
      </c>
      <c r="K21" s="20">
        <v>3421.2777054589997</v>
      </c>
      <c r="L21" s="20">
        <v>3374.4108875759998</v>
      </c>
      <c r="M21" s="20">
        <v>3327.5440696929995</v>
      </c>
      <c r="N21" s="20">
        <v>3280.6772518099997</v>
      </c>
      <c r="O21" s="20">
        <v>3233.8104339270003</v>
      </c>
      <c r="P21" s="20">
        <v>3186.943616044</v>
      </c>
      <c r="Q21" s="20">
        <v>3140.0767981610002</v>
      </c>
      <c r="R21" s="20">
        <v>3093.2099802779999</v>
      </c>
      <c r="S21" s="20">
        <v>3046.343162395</v>
      </c>
      <c r="T21" s="20">
        <v>2999.4763445120002</v>
      </c>
      <c r="U21" s="20">
        <v>2952.6095266289999</v>
      </c>
      <c r="V21" s="20">
        <v>2905.7427087460001</v>
      </c>
      <c r="W21" s="20">
        <v>2858.8758908629998</v>
      </c>
      <c r="X21" s="20">
        <v>2812.0090729799999</v>
      </c>
      <c r="Y21" s="20">
        <v>2792.7624331027146</v>
      </c>
      <c r="Z21" s="20">
        <v>2773.5157932254292</v>
      </c>
      <c r="AA21" s="20">
        <v>2754.2691533481438</v>
      </c>
      <c r="AB21" s="20">
        <v>2735.0225134708589</v>
      </c>
      <c r="AC21" s="20">
        <v>2715.7758735935736</v>
      </c>
      <c r="AD21" s="20">
        <v>2696.5292337162882</v>
      </c>
      <c r="AE21" s="20">
        <v>2677.2825938390024</v>
      </c>
      <c r="AF21" s="20">
        <v>2658.035953961717</v>
      </c>
      <c r="AG21" s="20">
        <v>2638.7893140844317</v>
      </c>
      <c r="AH21" s="20">
        <v>2619.5426742071468</v>
      </c>
      <c r="AI21" s="20">
        <v>2600.2960343298614</v>
      </c>
      <c r="AJ21" s="20">
        <v>2581.0493944525761</v>
      </c>
      <c r="AK21" s="20">
        <v>2561.8027545752907</v>
      </c>
      <c r="AL21" s="20">
        <v>2542.5561146980053</v>
      </c>
      <c r="AM21" s="20">
        <v>2523.30947482072</v>
      </c>
    </row>
    <row r="22" spans="1:39">
      <c r="A22" s="20" t="s">
        <v>17</v>
      </c>
      <c r="B22" s="20" t="s">
        <v>184</v>
      </c>
      <c r="C22" s="20">
        <v>3749.3454306399999</v>
      </c>
      <c r="D22" s="20">
        <v>3749.3454306399999</v>
      </c>
      <c r="E22" s="20">
        <v>3749.3454306399999</v>
      </c>
      <c r="F22" s="20">
        <v>3749.3454306399999</v>
      </c>
      <c r="G22" s="20">
        <v>3749.3454306399999</v>
      </c>
      <c r="H22" s="20">
        <v>3749.3454306399999</v>
      </c>
      <c r="I22" s="20">
        <v>3749.3454306399999</v>
      </c>
      <c r="J22" s="20">
        <v>3749.3454306399999</v>
      </c>
      <c r="K22" s="20">
        <v>3749.3454306399999</v>
      </c>
      <c r="L22" s="20">
        <v>3749.3454306399999</v>
      </c>
      <c r="M22" s="20">
        <v>3749.3454306399999</v>
      </c>
      <c r="N22" s="20">
        <v>3749.3454306399999</v>
      </c>
      <c r="O22" s="20">
        <v>3749.3454306399999</v>
      </c>
      <c r="P22" s="20">
        <v>3749.3454306399999</v>
      </c>
      <c r="Q22" s="20">
        <v>3749.3454306399999</v>
      </c>
      <c r="R22" s="20">
        <v>3749.3454306399999</v>
      </c>
      <c r="S22" s="20">
        <v>3749.3454306399999</v>
      </c>
      <c r="T22" s="20">
        <v>3749.3454306399999</v>
      </c>
      <c r="U22" s="20">
        <v>3749.3454306399999</v>
      </c>
      <c r="V22" s="20">
        <v>3749.3454306399999</v>
      </c>
      <c r="W22" s="20">
        <v>3749.3454306399999</v>
      </c>
      <c r="X22" s="20">
        <v>3749.3454306399999</v>
      </c>
      <c r="Y22" s="20">
        <v>3749.3454306399999</v>
      </c>
      <c r="Z22" s="20">
        <v>3749.3454306399999</v>
      </c>
      <c r="AA22" s="20">
        <v>3749.3454306399999</v>
      </c>
      <c r="AB22" s="20">
        <v>3749.3454306399999</v>
      </c>
      <c r="AC22" s="20">
        <v>3749.3454306399999</v>
      </c>
      <c r="AD22" s="20">
        <v>3749.3454306399999</v>
      </c>
      <c r="AE22" s="20">
        <v>3749.3454306399999</v>
      </c>
      <c r="AF22" s="20">
        <v>3749.3454306399999</v>
      </c>
      <c r="AG22" s="20">
        <v>3749.3454306399999</v>
      </c>
      <c r="AH22" s="20">
        <v>3749.3454306399999</v>
      </c>
      <c r="AI22" s="20">
        <v>3749.3454306399999</v>
      </c>
      <c r="AJ22" s="20">
        <v>3749.3454306399999</v>
      </c>
      <c r="AK22" s="20">
        <v>3749.3454306399999</v>
      </c>
      <c r="AL22" s="20">
        <v>3749.3454306399999</v>
      </c>
      <c r="AM22" s="20">
        <v>3749.3454306399999</v>
      </c>
    </row>
    <row r="23" spans="1:39">
      <c r="A23" s="20" t="s">
        <v>17</v>
      </c>
      <c r="B23" s="20" t="s">
        <v>185</v>
      </c>
      <c r="C23" s="20">
        <v>3749.3454306399999</v>
      </c>
      <c r="D23" s="20">
        <v>3749.3454306399999</v>
      </c>
      <c r="E23" s="20">
        <v>3749.3454306399999</v>
      </c>
      <c r="F23" s="20">
        <v>3749.3454306399999</v>
      </c>
      <c r="G23" s="20">
        <v>3749.3454306399999</v>
      </c>
      <c r="H23" s="20">
        <v>3749.3454306399999</v>
      </c>
      <c r="I23" s="20">
        <v>3749.3454306399999</v>
      </c>
      <c r="J23" s="20">
        <v>3749.3454306399999</v>
      </c>
      <c r="K23" s="20">
        <v>3749.3454306399999</v>
      </c>
      <c r="L23" s="20">
        <v>3749.3454306399999</v>
      </c>
      <c r="M23" s="20">
        <v>3749.3454306399999</v>
      </c>
      <c r="N23" s="20">
        <v>3749.3454306399999</v>
      </c>
      <c r="O23" s="20">
        <v>3749.3454306399999</v>
      </c>
      <c r="P23" s="20">
        <v>3749.3454306399999</v>
      </c>
      <c r="Q23" s="20">
        <v>3749.3454306399999</v>
      </c>
      <c r="R23" s="20">
        <v>3749.3454306399999</v>
      </c>
      <c r="S23" s="20">
        <v>3749.3454306399999</v>
      </c>
      <c r="T23" s="20">
        <v>3749.3454306399999</v>
      </c>
      <c r="U23" s="20">
        <v>3749.3454306399999</v>
      </c>
      <c r="V23" s="20">
        <v>3749.3454306399999</v>
      </c>
      <c r="W23" s="20">
        <v>3749.3454306399999</v>
      </c>
      <c r="X23" s="20">
        <v>3749.3454306399999</v>
      </c>
      <c r="Y23" s="20">
        <v>3749.3454306399999</v>
      </c>
      <c r="Z23" s="20">
        <v>3749.3454306399999</v>
      </c>
      <c r="AA23" s="20">
        <v>3749.3454306399999</v>
      </c>
      <c r="AB23" s="20">
        <v>3749.3454306399999</v>
      </c>
      <c r="AC23" s="20">
        <v>3749.3454306399999</v>
      </c>
      <c r="AD23" s="20">
        <v>3749.3454306399999</v>
      </c>
      <c r="AE23" s="20">
        <v>3749.3454306399999</v>
      </c>
      <c r="AF23" s="20">
        <v>3749.3454306399999</v>
      </c>
      <c r="AG23" s="20">
        <v>3749.3454306399999</v>
      </c>
      <c r="AH23" s="20">
        <v>3749.3454306399999</v>
      </c>
      <c r="AI23" s="20">
        <v>3749.3454306399999</v>
      </c>
      <c r="AJ23" s="20">
        <v>3749.3454306399999</v>
      </c>
      <c r="AK23" s="20">
        <v>3749.3454306399999</v>
      </c>
      <c r="AL23" s="20">
        <v>3749.3454306399999</v>
      </c>
      <c r="AM23" s="20">
        <v>3749.3454306399999</v>
      </c>
    </row>
    <row r="24" spans="1:39">
      <c r="A24" s="20" t="s">
        <v>17</v>
      </c>
      <c r="B24" s="20" t="s">
        <v>186</v>
      </c>
      <c r="C24" s="20">
        <v>6997.72266167</v>
      </c>
      <c r="D24" s="20">
        <v>6997.72266167</v>
      </c>
      <c r="E24" s="20">
        <v>6892.7568217449498</v>
      </c>
      <c r="F24" s="20">
        <v>6787.7909818198996</v>
      </c>
      <c r="G24" s="20">
        <v>6682.8251418948494</v>
      </c>
      <c r="H24" s="20">
        <v>6577.8593019697992</v>
      </c>
      <c r="I24" s="20">
        <v>6472.8934620447499</v>
      </c>
      <c r="J24" s="20">
        <v>6367.9276221196997</v>
      </c>
      <c r="K24" s="20">
        <v>6262.9617821946504</v>
      </c>
      <c r="L24" s="20">
        <v>6157.9959422696002</v>
      </c>
      <c r="M24" s="20">
        <v>6053.03010234455</v>
      </c>
      <c r="N24" s="20">
        <v>5948.0642624194998</v>
      </c>
      <c r="O24" s="20">
        <v>5843.0984224944496</v>
      </c>
      <c r="P24" s="20">
        <v>5738.1325825693993</v>
      </c>
      <c r="Q24" s="20">
        <v>5633.1667426443491</v>
      </c>
      <c r="R24" s="20">
        <v>5528.2009027192998</v>
      </c>
      <c r="S24" s="20">
        <v>5423.2350627942496</v>
      </c>
      <c r="T24" s="20">
        <v>5318.2692228692003</v>
      </c>
      <c r="U24" s="20">
        <v>5213.3033829441492</v>
      </c>
      <c r="V24" s="20">
        <v>5108.3375430190999</v>
      </c>
      <c r="W24" s="20">
        <v>5003.3717030940497</v>
      </c>
      <c r="X24" s="20">
        <v>4898.4058631689995</v>
      </c>
      <c r="Y24" s="20">
        <v>4873.6805764310993</v>
      </c>
      <c r="Z24" s="20">
        <v>4848.9552896931982</v>
      </c>
      <c r="AA24" s="20">
        <v>4824.230002955298</v>
      </c>
      <c r="AB24" s="20">
        <v>4799.5047162173969</v>
      </c>
      <c r="AC24" s="20">
        <v>4774.7794294794967</v>
      </c>
      <c r="AD24" s="20">
        <v>4750.0541427415956</v>
      </c>
      <c r="AE24" s="20">
        <v>4725.3288560036954</v>
      </c>
      <c r="AF24" s="20">
        <v>4700.6035692657942</v>
      </c>
      <c r="AG24" s="20">
        <v>4675.878282527894</v>
      </c>
      <c r="AH24" s="20">
        <v>4651.1529957899929</v>
      </c>
      <c r="AI24" s="20">
        <v>4626.4277090520927</v>
      </c>
      <c r="AJ24" s="20">
        <v>4601.7024223141916</v>
      </c>
      <c r="AK24" s="20">
        <v>4576.9771355762914</v>
      </c>
      <c r="AL24" s="20">
        <v>4552.2518488383912</v>
      </c>
      <c r="AM24" s="20">
        <v>4527.5265621004901</v>
      </c>
    </row>
    <row r="25" spans="1:39">
      <c r="A25" s="20" t="s">
        <v>17</v>
      </c>
      <c r="B25" s="20" t="s">
        <v>187</v>
      </c>
      <c r="C25" s="20">
        <v>6997.72266167</v>
      </c>
      <c r="D25" s="20">
        <v>6988.7607482344256</v>
      </c>
      <c r="E25" s="20">
        <v>6979.7988347988521</v>
      </c>
      <c r="F25" s="20">
        <v>6961.943830530081</v>
      </c>
      <c r="G25" s="20">
        <v>6944.0888262613098</v>
      </c>
      <c r="H25" s="20">
        <v>6926.3251422732747</v>
      </c>
      <c r="I25" s="20">
        <v>6908.5614582852386</v>
      </c>
      <c r="J25" s="20">
        <v>6890.8887097031911</v>
      </c>
      <c r="K25" s="20">
        <v>6873.2159611211428</v>
      </c>
      <c r="L25" s="20">
        <v>6855.6335881272707</v>
      </c>
      <c r="M25" s="20">
        <v>6838.0512151333987</v>
      </c>
      <c r="N25" s="20">
        <v>6820.5587978643416</v>
      </c>
      <c r="O25" s="20">
        <v>6803.0663805952863</v>
      </c>
      <c r="P25" s="20">
        <v>6785.6634641990731</v>
      </c>
      <c r="Q25" s="20">
        <v>6768.260547802859</v>
      </c>
      <c r="R25" s="20">
        <v>6750.9466774275152</v>
      </c>
      <c r="S25" s="20">
        <v>6733.6328070521713</v>
      </c>
      <c r="T25" s="20">
        <v>6716.407527845724</v>
      </c>
      <c r="U25" s="20">
        <v>6699.1822486392775</v>
      </c>
      <c r="V25" s="20">
        <v>6682.0450707611399</v>
      </c>
      <c r="W25" s="20">
        <v>6664.9078928830031</v>
      </c>
      <c r="X25" s="20">
        <v>6647.8583964698182</v>
      </c>
      <c r="Y25" s="20">
        <v>6630.8089000566324</v>
      </c>
      <c r="Z25" s="20">
        <v>6613.8466302564239</v>
      </c>
      <c r="AA25" s="20">
        <v>6596.8843604562153</v>
      </c>
      <c r="AB25" s="20">
        <v>6580.0088974056252</v>
      </c>
      <c r="AC25" s="20">
        <v>6563.1334343550352</v>
      </c>
      <c r="AD25" s="20">
        <v>6546.3442882134759</v>
      </c>
      <c r="AE25" s="20">
        <v>6529.5551420719175</v>
      </c>
      <c r="AF25" s="20">
        <v>6512.8518929760312</v>
      </c>
      <c r="AG25" s="20">
        <v>6496.1486438801448</v>
      </c>
      <c r="AH25" s="20">
        <v>6479.5308719665709</v>
      </c>
      <c r="AI25" s="20">
        <v>6462.913100052996</v>
      </c>
      <c r="AJ25" s="20">
        <v>6446.3803154811485</v>
      </c>
      <c r="AK25" s="20">
        <v>6429.8475309093001</v>
      </c>
      <c r="AL25" s="20">
        <v>6413.3993488044316</v>
      </c>
      <c r="AM25" s="20">
        <v>6396.9511666995631</v>
      </c>
    </row>
    <row r="26" spans="1:39">
      <c r="A26" s="20" t="s">
        <v>17</v>
      </c>
      <c r="B26" s="20" t="s">
        <v>188</v>
      </c>
      <c r="C26" s="20">
        <v>6997.72266167</v>
      </c>
      <c r="D26" s="20">
        <v>6997.72266167</v>
      </c>
      <c r="E26" s="20">
        <v>6997.72266167</v>
      </c>
      <c r="F26" s="20">
        <v>6997.72266167</v>
      </c>
      <c r="G26" s="20">
        <v>6997.72266167</v>
      </c>
      <c r="H26" s="20">
        <v>6997.72266167</v>
      </c>
      <c r="I26" s="20">
        <v>6997.72266167</v>
      </c>
      <c r="J26" s="20">
        <v>6997.72266167</v>
      </c>
      <c r="K26" s="20">
        <v>6997.72266167</v>
      </c>
      <c r="L26" s="20">
        <v>6997.72266167</v>
      </c>
      <c r="M26" s="20">
        <v>6997.72266167</v>
      </c>
      <c r="N26" s="20">
        <v>6997.72266167</v>
      </c>
      <c r="O26" s="20">
        <v>6997.72266167</v>
      </c>
      <c r="P26" s="20">
        <v>6997.72266167</v>
      </c>
      <c r="Q26" s="20">
        <v>6997.72266167</v>
      </c>
      <c r="R26" s="20">
        <v>6997.72266167</v>
      </c>
      <c r="S26" s="20">
        <v>6997.72266167</v>
      </c>
      <c r="T26" s="20">
        <v>6997.72266167</v>
      </c>
      <c r="U26" s="20">
        <v>6997.72266167</v>
      </c>
      <c r="V26" s="20">
        <v>6997.72266167</v>
      </c>
      <c r="W26" s="20">
        <v>6997.72266167</v>
      </c>
      <c r="X26" s="20">
        <v>6997.72266167</v>
      </c>
      <c r="Y26" s="20">
        <v>6997.72266167</v>
      </c>
      <c r="Z26" s="20">
        <v>6997.72266167</v>
      </c>
      <c r="AA26" s="20">
        <v>6997.72266167</v>
      </c>
      <c r="AB26" s="20">
        <v>6997.72266167</v>
      </c>
      <c r="AC26" s="20">
        <v>6997.72266167</v>
      </c>
      <c r="AD26" s="20">
        <v>6997.72266167</v>
      </c>
      <c r="AE26" s="20">
        <v>6997.72266167</v>
      </c>
      <c r="AF26" s="20">
        <v>6997.72266167</v>
      </c>
      <c r="AG26" s="20">
        <v>6997.72266167</v>
      </c>
      <c r="AH26" s="20">
        <v>6997.72266167</v>
      </c>
      <c r="AI26" s="20">
        <v>6997.72266167</v>
      </c>
      <c r="AJ26" s="20">
        <v>6997.72266167</v>
      </c>
      <c r="AK26" s="20">
        <v>6997.72266167</v>
      </c>
      <c r="AL26" s="20">
        <v>6997.72266167</v>
      </c>
      <c r="AM26" s="20">
        <v>6997.72266167</v>
      </c>
    </row>
    <row r="27" spans="1:39">
      <c r="A27" s="20" t="s">
        <v>17</v>
      </c>
      <c r="B27" s="20" t="s">
        <v>189</v>
      </c>
      <c r="C27" s="20">
        <v>6247.0408507000002</v>
      </c>
      <c r="D27" s="20">
        <v>6247.0408507000002</v>
      </c>
      <c r="E27" s="20">
        <v>6153.3352379395001</v>
      </c>
      <c r="F27" s="20">
        <v>6059.629625179</v>
      </c>
      <c r="G27" s="20">
        <v>5965.9240124184998</v>
      </c>
      <c r="H27" s="20">
        <v>5872.2183996579997</v>
      </c>
      <c r="I27" s="20">
        <v>5778.5127868975005</v>
      </c>
      <c r="J27" s="20">
        <v>5684.8071741369995</v>
      </c>
      <c r="K27" s="20">
        <v>5591.1015613765003</v>
      </c>
      <c r="L27" s="20">
        <v>5497.3959486160002</v>
      </c>
      <c r="M27" s="20">
        <v>5403.6903358555001</v>
      </c>
      <c r="N27" s="20">
        <v>5309.9847230949999</v>
      </c>
      <c r="O27" s="20">
        <v>5216.2791103344998</v>
      </c>
      <c r="P27" s="20">
        <v>5122.5734975739997</v>
      </c>
      <c r="Q27" s="20">
        <v>5028.8678848134996</v>
      </c>
      <c r="R27" s="20">
        <v>4935.1622720529995</v>
      </c>
      <c r="S27" s="20">
        <v>4841.4566592924994</v>
      </c>
      <c r="T27" s="20">
        <v>4747.7510465320001</v>
      </c>
      <c r="U27" s="20">
        <v>4654.0454337714991</v>
      </c>
      <c r="V27" s="20">
        <v>4560.3398210109999</v>
      </c>
      <c r="W27" s="20">
        <v>4466.6342082504998</v>
      </c>
      <c r="X27" s="20">
        <v>4372.9285954899997</v>
      </c>
      <c r="Y27" s="20">
        <v>4350.855717817527</v>
      </c>
      <c r="Z27" s="20">
        <v>4328.7828401450533</v>
      </c>
      <c r="AA27" s="20">
        <v>4306.7099624725806</v>
      </c>
      <c r="AB27" s="20">
        <v>4284.6370848001061</v>
      </c>
      <c r="AC27" s="20">
        <v>4262.5642071276334</v>
      </c>
      <c r="AD27" s="20">
        <v>4240.4913294551598</v>
      </c>
      <c r="AE27" s="20">
        <v>4218.418451782687</v>
      </c>
      <c r="AF27" s="20">
        <v>4196.3455741102134</v>
      </c>
      <c r="AG27" s="20">
        <v>4174.2726964377398</v>
      </c>
      <c r="AH27" s="20">
        <v>4152.1998187652662</v>
      </c>
      <c r="AI27" s="20">
        <v>4130.1269410927935</v>
      </c>
      <c r="AJ27" s="20">
        <v>4108.0540634203198</v>
      </c>
      <c r="AK27" s="20">
        <v>4085.9811857478471</v>
      </c>
      <c r="AL27" s="20">
        <v>4063.908308075374</v>
      </c>
      <c r="AM27" s="20">
        <v>4041.8354304029003</v>
      </c>
    </row>
    <row r="28" spans="1:39">
      <c r="A28" s="20" t="s">
        <v>17</v>
      </c>
      <c r="B28" s="20" t="s">
        <v>190</v>
      </c>
      <c r="C28" s="20">
        <v>6247.0408507000002</v>
      </c>
      <c r="D28" s="20">
        <v>6239.0403279529173</v>
      </c>
      <c r="E28" s="20">
        <v>6231.0398052058345</v>
      </c>
      <c r="F28" s="20">
        <v>6215.100199358435</v>
      </c>
      <c r="G28" s="20">
        <v>6199.1605935110356</v>
      </c>
      <c r="H28" s="20">
        <v>6183.3025115467381</v>
      </c>
      <c r="I28" s="20">
        <v>6167.4444295824405</v>
      </c>
      <c r="J28" s="20">
        <v>6151.6675279139981</v>
      </c>
      <c r="K28" s="20">
        <v>6135.8906262455548</v>
      </c>
      <c r="L28" s="20">
        <v>6120.1944051096989</v>
      </c>
      <c r="M28" s="20">
        <v>6104.4981839738421</v>
      </c>
      <c r="N28" s="20">
        <v>6088.8822685481218</v>
      </c>
      <c r="O28" s="20">
        <v>6073.2663531224016</v>
      </c>
      <c r="P28" s="20">
        <v>6057.7303373491623</v>
      </c>
      <c r="Q28" s="20">
        <v>6042.194321575922</v>
      </c>
      <c r="R28" s="20">
        <v>6026.7377993975078</v>
      </c>
      <c r="S28" s="20">
        <v>6011.2812772190928</v>
      </c>
      <c r="T28" s="20">
        <v>5995.9038425778481</v>
      </c>
      <c r="U28" s="20">
        <v>5980.5264079366034</v>
      </c>
      <c r="V28" s="20">
        <v>5965.2276235396685</v>
      </c>
      <c r="W28" s="20">
        <v>5949.9288391427335</v>
      </c>
      <c r="X28" s="20">
        <v>5934.7083301676594</v>
      </c>
      <c r="Y28" s="20">
        <v>5919.4878211925834</v>
      </c>
      <c r="Z28" s="20">
        <v>5904.3451815817116</v>
      </c>
      <c r="AA28" s="20">
        <v>5889.2025419708407</v>
      </c>
      <c r="AB28" s="20">
        <v>5874.1373969017222</v>
      </c>
      <c r="AC28" s="20">
        <v>5859.0722518326047</v>
      </c>
      <c r="AD28" s="20">
        <v>5844.084164012379</v>
      </c>
      <c r="AE28" s="20">
        <v>5829.0960761921542</v>
      </c>
      <c r="AF28" s="20">
        <v>5814.1846707983714</v>
      </c>
      <c r="AG28" s="20">
        <v>5799.2732654045894</v>
      </c>
      <c r="AH28" s="20">
        <v>5784.4381676147977</v>
      </c>
      <c r="AI28" s="20">
        <v>5769.6030698250061</v>
      </c>
      <c r="AJ28" s="20">
        <v>5754.8438423463467</v>
      </c>
      <c r="AK28" s="20">
        <v>5740.0846148676874</v>
      </c>
      <c r="AL28" s="20">
        <v>5725.4009141129127</v>
      </c>
      <c r="AM28" s="20">
        <v>5710.717213358138</v>
      </c>
    </row>
    <row r="29" spans="1:39">
      <c r="A29" s="20" t="s">
        <v>17</v>
      </c>
      <c r="B29" s="20" t="s">
        <v>191</v>
      </c>
      <c r="C29" s="20">
        <v>6247.0408507000002</v>
      </c>
      <c r="D29" s="20">
        <v>6247.0408507000002</v>
      </c>
      <c r="E29" s="20">
        <v>6247.0408507000002</v>
      </c>
      <c r="F29" s="20">
        <v>6247.0408507000002</v>
      </c>
      <c r="G29" s="20">
        <v>6247.0408507000002</v>
      </c>
      <c r="H29" s="20">
        <v>6247.0408507000002</v>
      </c>
      <c r="I29" s="20">
        <v>6247.0408507000002</v>
      </c>
      <c r="J29" s="20">
        <v>6247.0408507000002</v>
      </c>
      <c r="K29" s="20">
        <v>6247.0408507000002</v>
      </c>
      <c r="L29" s="20">
        <v>6247.0408507000002</v>
      </c>
      <c r="M29" s="20">
        <v>6247.0408507000002</v>
      </c>
      <c r="N29" s="20">
        <v>6247.0408507000002</v>
      </c>
      <c r="O29" s="20">
        <v>6247.0408507000002</v>
      </c>
      <c r="P29" s="20">
        <v>6247.0408507000002</v>
      </c>
      <c r="Q29" s="20">
        <v>6247.0408507000002</v>
      </c>
      <c r="R29" s="20">
        <v>6247.0408507000002</v>
      </c>
      <c r="S29" s="20">
        <v>6247.0408507000002</v>
      </c>
      <c r="T29" s="20">
        <v>6247.0408507000002</v>
      </c>
      <c r="U29" s="20">
        <v>6247.0408507000002</v>
      </c>
      <c r="V29" s="20">
        <v>6247.0408507000002</v>
      </c>
      <c r="W29" s="20">
        <v>6247.0408507000002</v>
      </c>
      <c r="X29" s="20">
        <v>6247.0408507000002</v>
      </c>
      <c r="Y29" s="20">
        <v>6247.0408507000002</v>
      </c>
      <c r="Z29" s="20">
        <v>6247.0408507000002</v>
      </c>
      <c r="AA29" s="20">
        <v>6247.0408507000002</v>
      </c>
      <c r="AB29" s="20">
        <v>6247.0408507000002</v>
      </c>
      <c r="AC29" s="20">
        <v>6247.0408507000002</v>
      </c>
      <c r="AD29" s="20">
        <v>6247.0408507000002</v>
      </c>
      <c r="AE29" s="20">
        <v>6247.0408507000002</v>
      </c>
      <c r="AF29" s="20">
        <v>6247.0408507000002</v>
      </c>
      <c r="AG29" s="20">
        <v>6247.0408507000002</v>
      </c>
      <c r="AH29" s="20">
        <v>6247.0408507000002</v>
      </c>
      <c r="AI29" s="20">
        <v>6247.0408507000002</v>
      </c>
      <c r="AJ29" s="20">
        <v>6247.0408507000002</v>
      </c>
      <c r="AK29" s="20">
        <v>6247.0408507000002</v>
      </c>
      <c r="AL29" s="20">
        <v>6247.0408507000002</v>
      </c>
      <c r="AM29" s="20">
        <v>6247.0408507000002</v>
      </c>
    </row>
    <row r="30" spans="1:39">
      <c r="A30" s="20" t="s">
        <v>17</v>
      </c>
      <c r="B30" s="20" t="s">
        <v>192</v>
      </c>
      <c r="C30" s="20">
        <v>6118.6170122000003</v>
      </c>
      <c r="D30" s="20">
        <v>6118.6170122000003</v>
      </c>
      <c r="E30" s="20">
        <v>6026.8377570170005</v>
      </c>
      <c r="F30" s="20">
        <v>5935.0585018339998</v>
      </c>
      <c r="G30" s="20">
        <v>5843.279246651</v>
      </c>
      <c r="H30" s="20">
        <v>5751.4999914680002</v>
      </c>
      <c r="I30" s="20">
        <v>5659.7207362850004</v>
      </c>
      <c r="J30" s="20">
        <v>5567.9414811019997</v>
      </c>
      <c r="K30" s="20">
        <v>5476.1622259190008</v>
      </c>
      <c r="L30" s="20">
        <v>5384.3829707360001</v>
      </c>
      <c r="M30" s="20">
        <v>5292.6037155530003</v>
      </c>
      <c r="N30" s="20">
        <v>5200.8244603700005</v>
      </c>
      <c r="O30" s="20">
        <v>5109.0452051869997</v>
      </c>
      <c r="P30" s="20">
        <v>5017.2659500039999</v>
      </c>
      <c r="Q30" s="20">
        <v>4925.4866948210001</v>
      </c>
      <c r="R30" s="20">
        <v>4833.7074396379994</v>
      </c>
      <c r="S30" s="20">
        <v>4741.9281844549996</v>
      </c>
      <c r="T30" s="20">
        <v>4650.1489292720007</v>
      </c>
      <c r="U30" s="20">
        <v>4558.3696740889991</v>
      </c>
      <c r="V30" s="20">
        <v>4466.5904189060002</v>
      </c>
      <c r="W30" s="20">
        <v>4374.8111637230004</v>
      </c>
      <c r="X30" s="20">
        <v>4283.0319085399997</v>
      </c>
      <c r="Y30" s="20">
        <v>4261.4127950968932</v>
      </c>
      <c r="Z30" s="20">
        <v>4239.7936816537867</v>
      </c>
      <c r="AA30" s="20">
        <v>4218.1745682106803</v>
      </c>
      <c r="AB30" s="20">
        <v>4196.5554547675729</v>
      </c>
      <c r="AC30" s="20">
        <v>4174.9363413244673</v>
      </c>
      <c r="AD30" s="20">
        <v>4153.3172278813599</v>
      </c>
      <c r="AE30" s="20">
        <v>4131.6981144382535</v>
      </c>
      <c r="AF30" s="20">
        <v>4110.079000995147</v>
      </c>
      <c r="AG30" s="20">
        <v>4088.4598875520405</v>
      </c>
      <c r="AH30" s="20">
        <v>4066.8407741089331</v>
      </c>
      <c r="AI30" s="20">
        <v>4045.2216606658271</v>
      </c>
      <c r="AJ30" s="20">
        <v>4023.6025472227202</v>
      </c>
      <c r="AK30" s="20">
        <v>4001.9834337796137</v>
      </c>
      <c r="AL30" s="20">
        <v>3980.3643203365073</v>
      </c>
      <c r="AM30" s="20">
        <v>3958.7452068934003</v>
      </c>
    </row>
    <row r="31" spans="1:39">
      <c r="A31" s="20" t="s">
        <v>17</v>
      </c>
      <c r="B31" s="20" t="s">
        <v>193</v>
      </c>
      <c r="C31" s="20">
        <v>6118.6170122000003</v>
      </c>
      <c r="D31" s="20">
        <v>6110.780960578646</v>
      </c>
      <c r="E31" s="20">
        <v>6102.9449089572918</v>
      </c>
      <c r="F31" s="20">
        <v>6087.3329823128979</v>
      </c>
      <c r="G31" s="20">
        <v>6071.7210556685031</v>
      </c>
      <c r="H31" s="20">
        <v>6056.1889769761192</v>
      </c>
      <c r="I31" s="20">
        <v>6040.6568982837343</v>
      </c>
      <c r="J31" s="20">
        <v>6025.204331019424</v>
      </c>
      <c r="K31" s="20">
        <v>6009.7517637551118</v>
      </c>
      <c r="L31" s="20">
        <v>5994.3782184295142</v>
      </c>
      <c r="M31" s="20">
        <v>5979.0046731039147</v>
      </c>
      <c r="N31" s="20">
        <v>5963.7097826000081</v>
      </c>
      <c r="O31" s="20">
        <v>5948.4148920961015</v>
      </c>
      <c r="P31" s="20">
        <v>5933.1982587037819</v>
      </c>
      <c r="Q31" s="20">
        <v>5917.9816253114604</v>
      </c>
      <c r="R31" s="20">
        <v>5902.84285132062</v>
      </c>
      <c r="S31" s="20">
        <v>5887.7040773297795</v>
      </c>
      <c r="T31" s="20">
        <v>5872.642765030314</v>
      </c>
      <c r="U31" s="20">
        <v>5857.5814527308476</v>
      </c>
      <c r="V31" s="20">
        <v>5842.5971738195649</v>
      </c>
      <c r="W31" s="20">
        <v>5827.6128949082831</v>
      </c>
      <c r="X31" s="20">
        <v>5812.7052822681635</v>
      </c>
      <c r="Y31" s="20">
        <v>5797.7976696280439</v>
      </c>
      <c r="Z31" s="20">
        <v>5782.9663255489813</v>
      </c>
      <c r="AA31" s="20">
        <v>5768.1349814699197</v>
      </c>
      <c r="AB31" s="20">
        <v>5753.3795388348926</v>
      </c>
      <c r="AC31" s="20">
        <v>5738.6240961998674</v>
      </c>
      <c r="AD31" s="20">
        <v>5723.9441267056864</v>
      </c>
      <c r="AE31" s="20">
        <v>5709.2641572115053</v>
      </c>
      <c r="AF31" s="20">
        <v>5694.6592937411497</v>
      </c>
      <c r="AG31" s="20">
        <v>5680.054430270794</v>
      </c>
      <c r="AH31" s="20">
        <v>5665.5243057072421</v>
      </c>
      <c r="AI31" s="20">
        <v>5650.9941811436902</v>
      </c>
      <c r="AJ31" s="20">
        <v>5636.5383671837517</v>
      </c>
      <c r="AK31" s="20">
        <v>5622.0825532238132</v>
      </c>
      <c r="AL31" s="20">
        <v>5607.7007133435518</v>
      </c>
      <c r="AM31" s="20">
        <v>5593.3188734632904</v>
      </c>
    </row>
    <row r="32" spans="1:39">
      <c r="A32" s="20" t="s">
        <v>17</v>
      </c>
      <c r="B32" s="20" t="s">
        <v>194</v>
      </c>
      <c r="C32" s="20">
        <v>6118.6170122000003</v>
      </c>
      <c r="D32" s="20">
        <v>6118.6170122000003</v>
      </c>
      <c r="E32" s="20">
        <v>6118.6170122000003</v>
      </c>
      <c r="F32" s="20">
        <v>6118.6170122000003</v>
      </c>
      <c r="G32" s="20">
        <v>6118.6170122000003</v>
      </c>
      <c r="H32" s="20">
        <v>6118.6170122000003</v>
      </c>
      <c r="I32" s="20">
        <v>6118.6170122000003</v>
      </c>
      <c r="J32" s="20">
        <v>6118.6170122000003</v>
      </c>
      <c r="K32" s="20">
        <v>6118.6170122000003</v>
      </c>
      <c r="L32" s="20">
        <v>6118.6170122000003</v>
      </c>
      <c r="M32" s="20">
        <v>6118.6170122000003</v>
      </c>
      <c r="N32" s="20">
        <v>6118.6170122000003</v>
      </c>
      <c r="O32" s="20">
        <v>6118.6170122000003</v>
      </c>
      <c r="P32" s="20">
        <v>6118.6170122000003</v>
      </c>
      <c r="Q32" s="20">
        <v>6118.6170122000003</v>
      </c>
      <c r="R32" s="20">
        <v>6118.6170122000003</v>
      </c>
      <c r="S32" s="20">
        <v>6118.6170122000003</v>
      </c>
      <c r="T32" s="20">
        <v>6118.6170122000003</v>
      </c>
      <c r="U32" s="20">
        <v>6118.6170122000003</v>
      </c>
      <c r="V32" s="20">
        <v>6118.6170122000003</v>
      </c>
      <c r="W32" s="20">
        <v>6118.6170122000003</v>
      </c>
      <c r="X32" s="20">
        <v>6118.6170122000003</v>
      </c>
      <c r="Y32" s="20">
        <v>6118.6170122000003</v>
      </c>
      <c r="Z32" s="20">
        <v>6118.6170122000003</v>
      </c>
      <c r="AA32" s="20">
        <v>6118.6170122000003</v>
      </c>
      <c r="AB32" s="20">
        <v>6118.6170122000003</v>
      </c>
      <c r="AC32" s="20">
        <v>6118.6170122000003</v>
      </c>
      <c r="AD32" s="20">
        <v>6118.6170122000003</v>
      </c>
      <c r="AE32" s="20">
        <v>6118.6170122000003</v>
      </c>
      <c r="AF32" s="20">
        <v>6118.6170122000003</v>
      </c>
      <c r="AG32" s="20">
        <v>6118.6170122000003</v>
      </c>
      <c r="AH32" s="20">
        <v>6118.6170122000003</v>
      </c>
      <c r="AI32" s="20">
        <v>6118.6170122000003</v>
      </c>
      <c r="AJ32" s="20">
        <v>6118.6170122000003</v>
      </c>
      <c r="AK32" s="20">
        <v>6118.6170122000003</v>
      </c>
      <c r="AL32" s="20">
        <v>6118.6170122000003</v>
      </c>
      <c r="AM32" s="20">
        <v>6118.6170122000003</v>
      </c>
    </row>
    <row r="33" spans="1:39">
      <c r="A33" s="20" t="s">
        <v>17</v>
      </c>
      <c r="B33" s="20" t="s">
        <v>195</v>
      </c>
      <c r="C33" s="20">
        <v>5508.1456035900001</v>
      </c>
      <c r="D33" s="20">
        <v>5508.1456035900001</v>
      </c>
      <c r="E33" s="20">
        <v>5425.52341953615</v>
      </c>
      <c r="F33" s="20">
        <v>5342.9012354822999</v>
      </c>
      <c r="G33" s="20">
        <v>5260.2790514284497</v>
      </c>
      <c r="H33" s="20">
        <v>5177.6568673745996</v>
      </c>
      <c r="I33" s="20">
        <v>5095.0346833207504</v>
      </c>
      <c r="J33" s="20">
        <v>5012.4124992668994</v>
      </c>
      <c r="K33" s="20">
        <v>4929.7903152130502</v>
      </c>
      <c r="L33" s="20">
        <v>4847.1681311592001</v>
      </c>
      <c r="M33" s="20">
        <v>4764.54594710535</v>
      </c>
      <c r="N33" s="20">
        <v>4681.9237630514999</v>
      </c>
      <c r="O33" s="20">
        <v>4599.3015789976498</v>
      </c>
      <c r="P33" s="20">
        <v>4516.6793949437997</v>
      </c>
      <c r="Q33" s="20">
        <v>4434.0572108899496</v>
      </c>
      <c r="R33" s="20">
        <v>4351.4350268360995</v>
      </c>
      <c r="S33" s="20">
        <v>4268.8128427822494</v>
      </c>
      <c r="T33" s="20">
        <v>4186.1906587284002</v>
      </c>
      <c r="U33" s="20">
        <v>4103.5684746745492</v>
      </c>
      <c r="V33" s="20">
        <v>4020.9462906207</v>
      </c>
      <c r="W33" s="20">
        <v>3938.3241065668499</v>
      </c>
      <c r="X33" s="20">
        <v>3855.7019225129998</v>
      </c>
      <c r="Y33" s="20">
        <v>3836.239808046982</v>
      </c>
      <c r="Z33" s="20">
        <v>3816.7776935809638</v>
      </c>
      <c r="AA33" s="20">
        <v>3797.3155791149461</v>
      </c>
      <c r="AB33" s="20">
        <v>3777.8534646489279</v>
      </c>
      <c r="AC33" s="20">
        <v>3758.3913501829102</v>
      </c>
      <c r="AD33" s="20">
        <v>3738.929235716892</v>
      </c>
      <c r="AE33" s="20">
        <v>3719.4671212508742</v>
      </c>
      <c r="AF33" s="20">
        <v>3700.0050067848561</v>
      </c>
      <c r="AG33" s="20">
        <v>3680.5428923188383</v>
      </c>
      <c r="AH33" s="20">
        <v>3661.0807778528197</v>
      </c>
      <c r="AI33" s="20">
        <v>3641.6186633868019</v>
      </c>
      <c r="AJ33" s="20">
        <v>3622.1565489207837</v>
      </c>
      <c r="AK33" s="20">
        <v>3602.694434454766</v>
      </c>
      <c r="AL33" s="20">
        <v>3583.2323199887483</v>
      </c>
      <c r="AM33" s="20">
        <v>3563.7702055227301</v>
      </c>
    </row>
    <row r="34" spans="1:39">
      <c r="A34" s="20" t="s">
        <v>17</v>
      </c>
      <c r="B34" s="20" t="s">
        <v>196</v>
      </c>
      <c r="C34" s="20">
        <v>5508.1456035900001</v>
      </c>
      <c r="D34" s="20">
        <v>5501.091376596939</v>
      </c>
      <c r="E34" s="20">
        <v>5494.037149603877</v>
      </c>
      <c r="F34" s="20">
        <v>5479.9828682297648</v>
      </c>
      <c r="G34" s="20">
        <v>5465.9285868556526</v>
      </c>
      <c r="H34" s="20">
        <v>5451.9461867816681</v>
      </c>
      <c r="I34" s="20">
        <v>5437.9637867076826</v>
      </c>
      <c r="J34" s="20">
        <v>5424.0529649858163</v>
      </c>
      <c r="K34" s="20">
        <v>5410.142143263949</v>
      </c>
      <c r="L34" s="20">
        <v>5396.3024592425527</v>
      </c>
      <c r="M34" s="20">
        <v>5382.4627752211563</v>
      </c>
      <c r="N34" s="20">
        <v>5368.693898411494</v>
      </c>
      <c r="O34" s="20">
        <v>5354.9250216018327</v>
      </c>
      <c r="P34" s="20">
        <v>5341.2265939744411</v>
      </c>
      <c r="Q34" s="20">
        <v>5327.5281663470487</v>
      </c>
      <c r="R34" s="20">
        <v>5313.8998298724619</v>
      </c>
      <c r="S34" s="20">
        <v>5300.2714933978759</v>
      </c>
      <c r="T34" s="20">
        <v>5286.7128900466305</v>
      </c>
      <c r="U34" s="20">
        <v>5273.154286695386</v>
      </c>
      <c r="V34" s="20">
        <v>5259.6650308972894</v>
      </c>
      <c r="W34" s="20">
        <v>5246.1757750991937</v>
      </c>
      <c r="X34" s="20">
        <v>5232.7555363655119</v>
      </c>
      <c r="Y34" s="20">
        <v>5219.3352976318283</v>
      </c>
      <c r="Z34" s="20">
        <v>5205.9837179330943</v>
      </c>
      <c r="AA34" s="20">
        <v>5192.6321382343604</v>
      </c>
      <c r="AB34" s="20">
        <v>5179.3488870818392</v>
      </c>
      <c r="AC34" s="20">
        <v>5166.065635929318</v>
      </c>
      <c r="AD34" s="20">
        <v>5152.8503277528162</v>
      </c>
      <c r="AE34" s="20">
        <v>5139.6350195763143</v>
      </c>
      <c r="AF34" s="20">
        <v>5126.4873238870978</v>
      </c>
      <c r="AG34" s="20">
        <v>5113.3396281978812</v>
      </c>
      <c r="AH34" s="20">
        <v>5100.2592145072113</v>
      </c>
      <c r="AI34" s="20">
        <v>5087.1788008165413</v>
      </c>
      <c r="AJ34" s="20">
        <v>5074.1652835542282</v>
      </c>
      <c r="AK34" s="20">
        <v>5061.151766291915</v>
      </c>
      <c r="AL34" s="20">
        <v>5048.2048425099483</v>
      </c>
      <c r="AM34" s="20">
        <v>5035.2579187279816</v>
      </c>
    </row>
    <row r="35" spans="1:39">
      <c r="A35" s="20" t="s">
        <v>17</v>
      </c>
      <c r="B35" s="20" t="s">
        <v>197</v>
      </c>
      <c r="C35" s="20">
        <v>5508.1456035900001</v>
      </c>
      <c r="D35" s="20">
        <v>5508.1456035900001</v>
      </c>
      <c r="E35" s="20">
        <v>5508.1456035900001</v>
      </c>
      <c r="F35" s="20">
        <v>5508.1456035900001</v>
      </c>
      <c r="G35" s="20">
        <v>5508.1456035900001</v>
      </c>
      <c r="H35" s="20">
        <v>5508.1456035900001</v>
      </c>
      <c r="I35" s="20">
        <v>5508.1456035900001</v>
      </c>
      <c r="J35" s="20">
        <v>5508.1456035900001</v>
      </c>
      <c r="K35" s="20">
        <v>5508.1456035900001</v>
      </c>
      <c r="L35" s="20">
        <v>5508.1456035900001</v>
      </c>
      <c r="M35" s="20">
        <v>5508.1456035900001</v>
      </c>
      <c r="N35" s="20">
        <v>5508.1456035900001</v>
      </c>
      <c r="O35" s="20">
        <v>5508.1456035900001</v>
      </c>
      <c r="P35" s="20">
        <v>5508.1456035900001</v>
      </c>
      <c r="Q35" s="20">
        <v>5508.1456035900001</v>
      </c>
      <c r="R35" s="20">
        <v>5508.1456035900001</v>
      </c>
      <c r="S35" s="20">
        <v>5508.1456035900001</v>
      </c>
      <c r="T35" s="20">
        <v>5508.1456035900001</v>
      </c>
      <c r="U35" s="20">
        <v>5508.1456035900001</v>
      </c>
      <c r="V35" s="20">
        <v>5508.1456035900001</v>
      </c>
      <c r="W35" s="20">
        <v>5508.1456035900001</v>
      </c>
      <c r="X35" s="20">
        <v>5508.1456035900001</v>
      </c>
      <c r="Y35" s="20">
        <v>5508.1456035900001</v>
      </c>
      <c r="Z35" s="20">
        <v>5508.1456035900001</v>
      </c>
      <c r="AA35" s="20">
        <v>5508.1456035900001</v>
      </c>
      <c r="AB35" s="20">
        <v>5508.1456035900001</v>
      </c>
      <c r="AC35" s="20">
        <v>5508.1456035900001</v>
      </c>
      <c r="AD35" s="20">
        <v>5508.1456035900001</v>
      </c>
      <c r="AE35" s="20">
        <v>5508.1456035900001</v>
      </c>
      <c r="AF35" s="20">
        <v>5508.1456035900001</v>
      </c>
      <c r="AG35" s="20">
        <v>5508.1456035900001</v>
      </c>
      <c r="AH35" s="20">
        <v>5508.1456035900001</v>
      </c>
      <c r="AI35" s="20">
        <v>5508.1456035900001</v>
      </c>
      <c r="AJ35" s="20">
        <v>5508.1456035900001</v>
      </c>
      <c r="AK35" s="20">
        <v>5508.1456035900001</v>
      </c>
      <c r="AL35" s="20">
        <v>5508.1456035900001</v>
      </c>
      <c r="AM35" s="20">
        <v>5508.1456035900001</v>
      </c>
    </row>
    <row r="36" spans="1:39">
      <c r="A36" t="s">
        <v>16</v>
      </c>
      <c r="B36" s="20" t="s">
        <v>198</v>
      </c>
      <c r="C36" s="20">
        <v>5486.0752926746272</v>
      </c>
      <c r="D36" s="20">
        <v>5486.0752926746272</v>
      </c>
      <c r="E36" s="20">
        <v>5486.0752926746272</v>
      </c>
      <c r="F36" s="20">
        <v>5486.0752926746272</v>
      </c>
      <c r="G36" s="20">
        <v>5486.0752926746272</v>
      </c>
      <c r="H36" s="20">
        <v>5486.0752926746272</v>
      </c>
      <c r="I36" s="20">
        <v>5486.0752926746272</v>
      </c>
      <c r="J36" s="20">
        <v>5486.0752926746272</v>
      </c>
      <c r="K36" s="20">
        <v>5486.0752926746272</v>
      </c>
      <c r="L36" s="20">
        <v>5456.941915280695</v>
      </c>
      <c r="M36" s="20">
        <v>5427.8146075422128</v>
      </c>
      <c r="N36" s="20">
        <v>5398.6820007496799</v>
      </c>
      <c r="O36" s="20">
        <v>5369.554129275567</v>
      </c>
      <c r="P36" s="20">
        <v>5340.4236280942096</v>
      </c>
      <c r="Q36" s="20">
        <v>5311.2919735167416</v>
      </c>
      <c r="R36" s="20">
        <v>5282.1649602154803</v>
      </c>
      <c r="S36" s="20">
        <v>5253.033366304574</v>
      </c>
      <c r="T36" s="20">
        <v>5223.8993712422762</v>
      </c>
      <c r="U36" s="20">
        <v>5194.7715493250989</v>
      </c>
      <c r="V36" s="20">
        <v>5165.6423864073486</v>
      </c>
      <c r="W36" s="20">
        <v>5136.5121041657794</v>
      </c>
      <c r="X36" s="20">
        <v>5107.3811547755313</v>
      </c>
      <c r="Y36" s="20">
        <v>5078.2492803038613</v>
      </c>
      <c r="Z36" s="20">
        <v>5049.1202056943148</v>
      </c>
      <c r="AA36" s="20">
        <v>5019.9890377112424</v>
      </c>
      <c r="AB36" s="20">
        <v>4990.8610303601599</v>
      </c>
      <c r="AC36" s="20">
        <v>4961.7269185916175</v>
      </c>
      <c r="AD36" s="20">
        <v>4932.5962738203216</v>
      </c>
      <c r="AE36" s="20">
        <v>4903.4656290490257</v>
      </c>
      <c r="AF36" s="20">
        <v>4874.3349842777297</v>
      </c>
      <c r="AG36" s="20">
        <v>4845.2043395064338</v>
      </c>
      <c r="AH36" s="20">
        <v>4816.0736947351379</v>
      </c>
      <c r="AI36" s="20">
        <v>4786.943049963842</v>
      </c>
      <c r="AJ36" s="20">
        <v>4757.8124051925461</v>
      </c>
      <c r="AK36" s="20">
        <v>4728.6817604212501</v>
      </c>
      <c r="AL36" s="20">
        <v>4699.5511156499542</v>
      </c>
      <c r="AM36" s="20">
        <v>4670.4204708786583</v>
      </c>
    </row>
    <row r="37" spans="1:39">
      <c r="A37" t="s">
        <v>19</v>
      </c>
      <c r="B37" s="20" t="s">
        <v>199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s="20" t="s">
        <v>19</v>
      </c>
      <c r="B38" s="20" t="s">
        <v>200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s="20" t="s">
        <v>19</v>
      </c>
      <c r="B39" s="20" t="s">
        <v>201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s="20" t="s">
        <v>19</v>
      </c>
      <c r="B40" s="20" t="s">
        <v>202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s="20" t="s">
        <v>19</v>
      </c>
      <c r="B41" s="20" t="s">
        <v>203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s="20" t="s">
        <v>19</v>
      </c>
      <c r="B42" s="20" t="s">
        <v>204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s="20" t="s">
        <v>19</v>
      </c>
      <c r="B43" s="20" t="s">
        <v>205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s="20" t="s">
        <v>19</v>
      </c>
      <c r="B44" s="20" t="s">
        <v>206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s="20" t="s">
        <v>19</v>
      </c>
      <c r="B45" s="20" t="s">
        <v>207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s="20" t="s">
        <v>19</v>
      </c>
      <c r="B46" s="20" t="s">
        <v>208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s="20" t="s">
        <v>19</v>
      </c>
      <c r="B47" s="20" t="s">
        <v>209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s="20" t="s">
        <v>19</v>
      </c>
      <c r="B48" s="20" t="s">
        <v>210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s="20" t="s">
        <v>19</v>
      </c>
      <c r="B49" s="20" t="s">
        <v>211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s="20" t="s">
        <v>19</v>
      </c>
      <c r="B50" s="20" t="s">
        <v>212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s="20" t="s">
        <v>19</v>
      </c>
      <c r="B51" s="20" t="s">
        <v>213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s="20" t="s">
        <v>19</v>
      </c>
      <c r="B52" s="20" t="s">
        <v>214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s="20" t="s">
        <v>19</v>
      </c>
      <c r="B53" s="20" t="s">
        <v>215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s="20" t="s">
        <v>19</v>
      </c>
      <c r="B54" s="20" t="s">
        <v>216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20</v>
      </c>
      <c r="B55" s="20" t="s">
        <v>217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s="20" t="s">
        <v>20</v>
      </c>
      <c r="B56" s="20" t="s">
        <v>218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s="20" t="s">
        <v>20</v>
      </c>
      <c r="B57" s="20" t="s">
        <v>219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s="20" t="s">
        <v>20</v>
      </c>
      <c r="B58" s="20" t="s">
        <v>220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s="20" t="s">
        <v>20</v>
      </c>
      <c r="B59" s="20" t="s">
        <v>221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s="20" t="s">
        <v>20</v>
      </c>
      <c r="B60" s="20" t="s">
        <v>222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s="20" t="s">
        <v>20</v>
      </c>
      <c r="B61" s="20" t="s">
        <v>223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s="20" t="s">
        <v>20</v>
      </c>
      <c r="B62" s="20" t="s">
        <v>224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s="20" t="s">
        <v>20</v>
      </c>
      <c r="B63" s="20" t="s">
        <v>225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30</v>
      </c>
      <c r="B64" s="20" t="s">
        <v>226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s="20" t="s">
        <v>30</v>
      </c>
      <c r="B65" s="20" t="s">
        <v>227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s="20" t="s">
        <v>30</v>
      </c>
      <c r="B66" s="20" t="s">
        <v>228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s="20" t="s">
        <v>30</v>
      </c>
      <c r="B67" s="20" t="s">
        <v>229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s="20" t="s">
        <v>30</v>
      </c>
      <c r="B68" s="20" t="s">
        <v>230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s="20" t="s">
        <v>30</v>
      </c>
      <c r="B69" s="20" t="s">
        <v>231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s="20" t="s">
        <v>30</v>
      </c>
      <c r="B70" s="20" t="s">
        <v>232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s="20" t="s">
        <v>30</v>
      </c>
      <c r="B71" s="20" t="s">
        <v>233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s="20" t="s">
        <v>30</v>
      </c>
      <c r="B72" s="20" t="s">
        <v>234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s="20" t="s">
        <v>30</v>
      </c>
      <c r="B73" s="20" t="s">
        <v>235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s="20" t="s">
        <v>30</v>
      </c>
      <c r="B74" s="20" t="s">
        <v>236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s="20" t="s">
        <v>30</v>
      </c>
      <c r="B75" s="20" t="s">
        <v>237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s="20" t="s">
        <v>30</v>
      </c>
      <c r="B76" s="20" t="s">
        <v>238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s="20" t="s">
        <v>30</v>
      </c>
      <c r="B77" s="20" t="s">
        <v>239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s="20" t="s">
        <v>30</v>
      </c>
      <c r="B78" s="20" t="s">
        <v>240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s="20" t="s">
        <v>30</v>
      </c>
      <c r="B79" s="20" t="s">
        <v>241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s="20" t="s">
        <v>30</v>
      </c>
      <c r="B80" s="20" t="s">
        <v>242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s="20" t="s">
        <v>30</v>
      </c>
      <c r="B81" s="20" t="s">
        <v>243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32</v>
      </c>
      <c r="B82" s="20" t="s">
        <v>244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s="20" t="s">
        <v>32</v>
      </c>
      <c r="B83" s="20" t="s">
        <v>245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s="20" t="s">
        <v>32</v>
      </c>
      <c r="B84" s="20" t="s">
        <v>246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114</v>
      </c>
      <c r="B85" s="20" t="s">
        <v>129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s="20" t="s">
        <v>114</v>
      </c>
      <c r="B86" s="20" t="s">
        <v>130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s="20" t="s">
        <v>114</v>
      </c>
      <c r="B87" s="20" t="s">
        <v>131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s="20" t="s">
        <v>114</v>
      </c>
      <c r="B88" s="20" t="s">
        <v>132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s="20" t="s">
        <v>114</v>
      </c>
      <c r="B89" s="20" t="s">
        <v>133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s="20" t="s">
        <v>114</v>
      </c>
      <c r="B90" s="20" t="s">
        <v>134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s="20" t="s">
        <v>114</v>
      </c>
      <c r="B91" s="20" t="s">
        <v>135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s="20" t="s">
        <v>114</v>
      </c>
      <c r="B92" s="20" t="s">
        <v>136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s="20" t="s">
        <v>114</v>
      </c>
      <c r="B93" s="20" t="s">
        <v>137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s="20" t="s">
        <v>114</v>
      </c>
      <c r="B94" s="20" t="s">
        <v>138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s="20" t="s">
        <v>114</v>
      </c>
      <c r="B95" s="20" t="s">
        <v>139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s="20" t="s">
        <v>114</v>
      </c>
      <c r="B96" s="20" t="s">
        <v>140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s="20" t="s">
        <v>114</v>
      </c>
      <c r="B97" s="20" t="s">
        <v>141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s="20" t="s">
        <v>114</v>
      </c>
      <c r="B98" s="20" t="s">
        <v>142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s="20" t="s">
        <v>114</v>
      </c>
      <c r="B99" s="20" t="s">
        <v>143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s="20" t="s">
        <v>114</v>
      </c>
      <c r="B100" s="20" t="s">
        <v>144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s="20" t="s">
        <v>114</v>
      </c>
      <c r="B101" s="20" t="s">
        <v>145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s="20" t="s">
        <v>114</v>
      </c>
      <c r="B102" s="20" t="s">
        <v>146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s="20" t="s">
        <v>114</v>
      </c>
      <c r="B103" s="20" t="s">
        <v>147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s="20" t="s">
        <v>114</v>
      </c>
      <c r="B104" s="20" t="s">
        <v>148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s="20" t="s">
        <v>114</v>
      </c>
      <c r="B105" s="20" t="s">
        <v>149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s="20" t="s">
        <v>114</v>
      </c>
      <c r="B106" s="20" t="s">
        <v>150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s="20" t="s">
        <v>114</v>
      </c>
      <c r="B107" s="20" t="s">
        <v>151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s="20" t="s">
        <v>114</v>
      </c>
      <c r="B108" s="20" t="s">
        <v>152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s="20" t="s">
        <v>114</v>
      </c>
      <c r="B109" s="20" t="s">
        <v>153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s="20" t="s">
        <v>114</v>
      </c>
      <c r="B110" s="20" t="s">
        <v>154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s="20" t="s">
        <v>114</v>
      </c>
      <c r="B111" s="20" t="s">
        <v>155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s="20" t="s">
        <v>114</v>
      </c>
      <c r="B112" s="20" t="s">
        <v>156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s="20" t="s">
        <v>114</v>
      </c>
      <c r="B113" s="20" t="s">
        <v>157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s="20" t="s">
        <v>114</v>
      </c>
      <c r="B114" s="20" t="s">
        <v>158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A117" s="20"/>
      <c r="B117" s="20">
        <v>2014</v>
      </c>
      <c r="C117" s="44">
        <v>2015</v>
      </c>
      <c r="D117" s="44">
        <v>2016</v>
      </c>
      <c r="E117" s="44">
        <v>2017</v>
      </c>
      <c r="F117" s="44">
        <v>2018</v>
      </c>
      <c r="G117" s="44">
        <v>2019</v>
      </c>
      <c r="H117" s="44">
        <v>2020</v>
      </c>
      <c r="I117" s="44">
        <v>2021</v>
      </c>
      <c r="J117" s="44">
        <v>2022</v>
      </c>
      <c r="K117" s="44">
        <v>2023</v>
      </c>
      <c r="L117" s="44">
        <v>2024</v>
      </c>
      <c r="M117" s="44">
        <v>2025</v>
      </c>
      <c r="N117" s="44">
        <v>2026</v>
      </c>
      <c r="O117" s="44">
        <v>2027</v>
      </c>
      <c r="P117" s="44">
        <v>2028</v>
      </c>
      <c r="Q117" s="44">
        <v>2029</v>
      </c>
      <c r="R117" s="44">
        <v>2030</v>
      </c>
      <c r="S117" s="44">
        <v>2031</v>
      </c>
      <c r="T117" s="44">
        <v>2032</v>
      </c>
      <c r="U117" s="44">
        <v>2033</v>
      </c>
      <c r="V117" s="44">
        <v>2034</v>
      </c>
      <c r="W117" s="44">
        <v>2035</v>
      </c>
      <c r="X117" s="44">
        <v>2036</v>
      </c>
      <c r="Y117" s="44">
        <v>2037</v>
      </c>
      <c r="Z117" s="44">
        <v>2038</v>
      </c>
      <c r="AA117" s="44">
        <v>2039</v>
      </c>
      <c r="AB117" s="44">
        <v>2040</v>
      </c>
      <c r="AC117" s="44">
        <v>2041</v>
      </c>
      <c r="AD117" s="44">
        <v>2042</v>
      </c>
      <c r="AE117" s="44">
        <v>2043</v>
      </c>
      <c r="AF117" s="44">
        <v>2044</v>
      </c>
      <c r="AG117" s="44">
        <v>2045</v>
      </c>
      <c r="AH117" s="44">
        <v>2046</v>
      </c>
      <c r="AI117" s="44">
        <v>2047</v>
      </c>
      <c r="AJ117" s="44">
        <v>2048</v>
      </c>
      <c r="AK117" s="44">
        <v>2049</v>
      </c>
      <c r="AL117" s="44">
        <v>2050</v>
      </c>
    </row>
    <row r="118" spans="1:39">
      <c r="A118" s="20" t="s">
        <v>15</v>
      </c>
      <c r="B118" s="20">
        <f>AVERAGEIF($A$3:$A$114,$A118,C$3:C$114)/AVERAGEIF($A$3:$A$114,$A118,$C$3:$C$114)</f>
        <v>1</v>
      </c>
      <c r="C118" s="20">
        <f t="shared" ref="C118:AL126" si="0">AVERAGEIF($A$3:$A$114,$A118,D$3:D$114)/AVERAGEIF($A$3:$A$114,$A118,$C$3:$C$114)</f>
        <v>1</v>
      </c>
      <c r="D118" s="20">
        <f t="shared" si="0"/>
        <v>1</v>
      </c>
      <c r="E118" s="20">
        <f t="shared" si="0"/>
        <v>1</v>
      </c>
      <c r="F118" s="20">
        <f t="shared" si="0"/>
        <v>0.9870305754846449</v>
      </c>
      <c r="G118" s="20">
        <f t="shared" si="0"/>
        <v>0.97196315993757809</v>
      </c>
      <c r="H118" s="20">
        <f t="shared" si="0"/>
        <v>0.95577440260610869</v>
      </c>
      <c r="I118" s="20">
        <f t="shared" si="0"/>
        <v>0.95013074428804678</v>
      </c>
      <c r="J118" s="20">
        <f t="shared" si="0"/>
        <v>0.94528925277479114</v>
      </c>
      <c r="K118" s="20">
        <f t="shared" si="0"/>
        <v>0.94044793236853008</v>
      </c>
      <c r="L118" s="20">
        <f t="shared" si="0"/>
        <v>0.93455441989281318</v>
      </c>
      <c r="M118" s="20">
        <f t="shared" si="0"/>
        <v>0.9294748344424093</v>
      </c>
      <c r="N118" s="20">
        <f t="shared" si="0"/>
        <v>0.92339530735159259</v>
      </c>
      <c r="O118" s="20">
        <f t="shared" si="0"/>
        <v>0.91593586191427245</v>
      </c>
      <c r="P118" s="20">
        <f t="shared" si="0"/>
        <v>0.91088677206295787</v>
      </c>
      <c r="Q118" s="20">
        <f t="shared" si="0"/>
        <v>0.90479828005217688</v>
      </c>
      <c r="R118" s="20">
        <f t="shared" si="0"/>
        <v>0.89806074103044686</v>
      </c>
      <c r="S118" s="20">
        <f t="shared" si="0"/>
        <v>0.89201998891483936</v>
      </c>
      <c r="T118" s="20">
        <f t="shared" si="0"/>
        <v>0.88688039767587123</v>
      </c>
      <c r="U118" s="20">
        <f t="shared" si="0"/>
        <v>0.8805465787765393</v>
      </c>
      <c r="V118" s="20">
        <f t="shared" si="0"/>
        <v>0.87495527890286851</v>
      </c>
      <c r="W118" s="20">
        <f t="shared" si="0"/>
        <v>0.86961524026459214</v>
      </c>
      <c r="X118" s="20">
        <f t="shared" si="0"/>
        <v>0.86446017629301963</v>
      </c>
      <c r="Y118" s="20">
        <f t="shared" si="0"/>
        <v>0.85841879945254185</v>
      </c>
      <c r="Z118" s="20">
        <f t="shared" si="0"/>
        <v>0.85340016353923465</v>
      </c>
      <c r="AA118" s="20">
        <f t="shared" si="0"/>
        <v>0.84780005393533642</v>
      </c>
      <c r="AB118" s="20">
        <f t="shared" si="0"/>
        <v>0.84251217953750401</v>
      </c>
      <c r="AC118" s="20">
        <f t="shared" si="0"/>
        <v>0.83695732338820972</v>
      </c>
      <c r="AD118" s="20">
        <f t="shared" si="0"/>
        <v>0.83140246723891542</v>
      </c>
      <c r="AE118" s="20">
        <f t="shared" si="0"/>
        <v>0.82584761108962101</v>
      </c>
      <c r="AF118" s="20">
        <f t="shared" si="0"/>
        <v>0.82029275494032672</v>
      </c>
      <c r="AG118" s="20">
        <f t="shared" si="0"/>
        <v>0.81473789879103242</v>
      </c>
      <c r="AH118" s="20">
        <f t="shared" si="0"/>
        <v>0.80918304264173802</v>
      </c>
      <c r="AI118" s="20">
        <f t="shared" si="0"/>
        <v>0.80362818649244372</v>
      </c>
      <c r="AJ118" s="20">
        <f t="shared" si="0"/>
        <v>0.79807333034314942</v>
      </c>
      <c r="AK118" s="20">
        <f t="shared" si="0"/>
        <v>0.79251847419385513</v>
      </c>
      <c r="AL118" s="20">
        <f t="shared" si="0"/>
        <v>0.78696361804456072</v>
      </c>
    </row>
    <row r="119" spans="1:39">
      <c r="A119" s="20" t="s">
        <v>29</v>
      </c>
      <c r="B119" s="20">
        <f t="shared" ref="B119:Q126" si="1">AVERAGEIF($A$3:$A$114,$A119,C$3:C$114)/AVERAGEIF($A$3:$A$114,$A119,$C$3:$C$114)</f>
        <v>1</v>
      </c>
      <c r="C119" s="20">
        <f t="shared" si="1"/>
        <v>1</v>
      </c>
      <c r="D119" s="20">
        <f t="shared" si="1"/>
        <v>1</v>
      </c>
      <c r="E119" s="20">
        <f t="shared" si="1"/>
        <v>0.98784262086501395</v>
      </c>
      <c r="F119" s="20">
        <f t="shared" si="1"/>
        <v>0.98509647542332057</v>
      </c>
      <c r="G119" s="20">
        <f t="shared" si="1"/>
        <v>0.98158537067433405</v>
      </c>
      <c r="H119" s="20">
        <f t="shared" si="1"/>
        <v>0.9756026996855014</v>
      </c>
      <c r="I119" s="20">
        <f t="shared" si="1"/>
        <v>0.97273118486900834</v>
      </c>
      <c r="J119" s="20">
        <f t="shared" si="1"/>
        <v>0.96980698077283733</v>
      </c>
      <c r="K119" s="20">
        <f t="shared" si="1"/>
        <v>0.96693506213768765</v>
      </c>
      <c r="L119" s="20">
        <f t="shared" si="1"/>
        <v>0.96406446214731112</v>
      </c>
      <c r="M119" s="20">
        <f t="shared" si="1"/>
        <v>0.96106629083872919</v>
      </c>
      <c r="N119" s="20">
        <f t="shared" si="1"/>
        <v>0.95250222520282879</v>
      </c>
      <c r="O119" s="20">
        <f t="shared" si="1"/>
        <v>0.94590281955516775</v>
      </c>
      <c r="P119" s="20">
        <f t="shared" si="1"/>
        <v>0.93978388296870563</v>
      </c>
      <c r="Q119" s="20">
        <f t="shared" si="1"/>
        <v>0.93543208992746663</v>
      </c>
      <c r="R119" s="20">
        <f t="shared" si="0"/>
        <v>0.93080651479316845</v>
      </c>
      <c r="S119" s="20">
        <f t="shared" si="0"/>
        <v>0.92661106847301333</v>
      </c>
      <c r="T119" s="20">
        <f t="shared" si="0"/>
        <v>0.92327284240655727</v>
      </c>
      <c r="U119" s="20">
        <f t="shared" si="0"/>
        <v>0.92030570427829594</v>
      </c>
      <c r="V119" s="20">
        <f t="shared" si="0"/>
        <v>0.91729548130556826</v>
      </c>
      <c r="W119" s="20">
        <f t="shared" si="0"/>
        <v>0.91391816900549139</v>
      </c>
      <c r="X119" s="20">
        <f t="shared" si="0"/>
        <v>0.91051797707149129</v>
      </c>
      <c r="Y119" s="20">
        <f t="shared" si="0"/>
        <v>0.90758459492519605</v>
      </c>
      <c r="Z119" s="20">
        <f t="shared" si="0"/>
        <v>0.90400428867410954</v>
      </c>
      <c r="AA119" s="20">
        <f t="shared" si="0"/>
        <v>0.90106655472843411</v>
      </c>
      <c r="AB119" s="20">
        <f t="shared" si="0"/>
        <v>0.89770138280555922</v>
      </c>
      <c r="AC119" s="20">
        <f t="shared" si="0"/>
        <v>0.89439086960679826</v>
      </c>
      <c r="AD119" s="20">
        <f t="shared" si="0"/>
        <v>0.8910803564080374</v>
      </c>
      <c r="AE119" s="20">
        <f t="shared" si="0"/>
        <v>0.88776984320927643</v>
      </c>
      <c r="AF119" s="20">
        <f t="shared" si="0"/>
        <v>0.88445933001051547</v>
      </c>
      <c r="AG119" s="20">
        <f t="shared" si="0"/>
        <v>0.88114881681175461</v>
      </c>
      <c r="AH119" s="20">
        <f t="shared" si="0"/>
        <v>0.87783830361299364</v>
      </c>
      <c r="AI119" s="20">
        <f t="shared" si="0"/>
        <v>0.87452779041423268</v>
      </c>
      <c r="AJ119" s="20">
        <f t="shared" si="0"/>
        <v>0.87121727721547182</v>
      </c>
      <c r="AK119" s="20">
        <f t="shared" si="0"/>
        <v>0.86790676401671085</v>
      </c>
      <c r="AL119" s="20">
        <f t="shared" si="0"/>
        <v>0.86459625081794989</v>
      </c>
    </row>
    <row r="120" spans="1:39">
      <c r="A120" s="20" t="s">
        <v>16</v>
      </c>
      <c r="B120" s="20">
        <f t="shared" si="1"/>
        <v>1</v>
      </c>
      <c r="C120" s="20">
        <f t="shared" si="0"/>
        <v>1</v>
      </c>
      <c r="D120" s="20">
        <f t="shared" si="0"/>
        <v>1</v>
      </c>
      <c r="E120" s="20">
        <f t="shared" si="0"/>
        <v>1</v>
      </c>
      <c r="F120" s="20">
        <f t="shared" si="0"/>
        <v>1</v>
      </c>
      <c r="G120" s="20">
        <f t="shared" si="0"/>
        <v>1</v>
      </c>
      <c r="H120" s="20">
        <f t="shared" si="0"/>
        <v>1</v>
      </c>
      <c r="I120" s="20">
        <f t="shared" si="0"/>
        <v>1</v>
      </c>
      <c r="J120" s="20">
        <f t="shared" si="0"/>
        <v>1</v>
      </c>
      <c r="K120" s="20">
        <f t="shared" si="0"/>
        <v>0.99468957755048804</v>
      </c>
      <c r="L120" s="20">
        <f t="shared" si="0"/>
        <v>0.98938026147577518</v>
      </c>
      <c r="M120" s="20">
        <f t="shared" si="0"/>
        <v>0.98406997949123287</v>
      </c>
      <c r="N120" s="20">
        <f t="shared" si="0"/>
        <v>0.97876056065897477</v>
      </c>
      <c r="O120" s="20">
        <f t="shared" si="0"/>
        <v>0.97345066248454493</v>
      </c>
      <c r="P120" s="20">
        <f t="shared" si="0"/>
        <v>0.96814055406945143</v>
      </c>
      <c r="Q120" s="20">
        <f t="shared" si="0"/>
        <v>0.96283129166465842</v>
      </c>
      <c r="R120" s="20">
        <f t="shared" si="0"/>
        <v>0.95752119430784588</v>
      </c>
      <c r="S120" s="20">
        <f t="shared" si="0"/>
        <v>0.9522106592699473</v>
      </c>
      <c r="T120" s="20">
        <f t="shared" si="0"/>
        <v>0.94690124947091114</v>
      </c>
      <c r="U120" s="20">
        <f t="shared" si="0"/>
        <v>0.94159159523473146</v>
      </c>
      <c r="V120" s="20">
        <f t="shared" si="0"/>
        <v>0.93628173696857431</v>
      </c>
      <c r="W120" s="20">
        <f t="shared" si="0"/>
        <v>0.93097175709477531</v>
      </c>
      <c r="X120" s="20">
        <f t="shared" si="0"/>
        <v>0.92566160859743896</v>
      </c>
      <c r="Y120" s="20">
        <f t="shared" si="0"/>
        <v>0.92035197045804973</v>
      </c>
      <c r="Z120" s="20">
        <f t="shared" si="0"/>
        <v>0.91504195073922256</v>
      </c>
      <c r="AA120" s="20">
        <f t="shared" si="0"/>
        <v>0.90973250713935505</v>
      </c>
      <c r="AB120" s="20">
        <f t="shared" si="0"/>
        <v>0.9044219508282807</v>
      </c>
      <c r="AC120" s="20">
        <f t="shared" si="0"/>
        <v>0.89911202648032418</v>
      </c>
      <c r="AD120" s="20">
        <f t="shared" si="0"/>
        <v>0.89380210213236755</v>
      </c>
      <c r="AE120" s="20">
        <f t="shared" si="0"/>
        <v>0.88849217778441103</v>
      </c>
      <c r="AF120" s="20">
        <f t="shared" si="0"/>
        <v>0.88318225343645451</v>
      </c>
      <c r="AG120" s="20">
        <f t="shared" si="0"/>
        <v>0.87787232908849788</v>
      </c>
      <c r="AH120" s="20">
        <f t="shared" si="0"/>
        <v>0.87256240474054136</v>
      </c>
      <c r="AI120" s="20">
        <f t="shared" si="0"/>
        <v>0.86725248039258485</v>
      </c>
      <c r="AJ120" s="20">
        <f t="shared" si="0"/>
        <v>0.86194255604462822</v>
      </c>
      <c r="AK120" s="20">
        <f t="shared" si="0"/>
        <v>0.8566326316966717</v>
      </c>
      <c r="AL120" s="20">
        <f t="shared" si="0"/>
        <v>0.85132270734871507</v>
      </c>
    </row>
    <row r="121" spans="1:39">
      <c r="A121" s="20" t="s">
        <v>17</v>
      </c>
      <c r="B121" s="20">
        <f t="shared" si="1"/>
        <v>1</v>
      </c>
      <c r="C121" s="20">
        <f t="shared" si="0"/>
        <v>0.99975836227772585</v>
      </c>
      <c r="D121" s="20">
        <f t="shared" si="0"/>
        <v>0.99466325112733922</v>
      </c>
      <c r="E121" s="20">
        <f t="shared" si="0"/>
        <v>0.98932835790046247</v>
      </c>
      <c r="F121" s="20">
        <f t="shared" si="0"/>
        <v>0.98399346467358528</v>
      </c>
      <c r="G121" s="20">
        <f t="shared" si="0"/>
        <v>0.97866103369149471</v>
      </c>
      <c r="H121" s="20">
        <f t="shared" si="0"/>
        <v>0.97332860270940413</v>
      </c>
      <c r="I121" s="20">
        <f t="shared" si="0"/>
        <v>0.96799862359482336</v>
      </c>
      <c r="J121" s="20">
        <f t="shared" si="0"/>
        <v>0.96266864448024259</v>
      </c>
      <c r="K121" s="20">
        <f t="shared" si="0"/>
        <v>0.95734110213895041</v>
      </c>
      <c r="L121" s="20">
        <f t="shared" si="0"/>
        <v>0.95201355979765845</v>
      </c>
      <c r="M121" s="20">
        <f t="shared" si="0"/>
        <v>0.94668844290898935</v>
      </c>
      <c r="N121" s="20">
        <f t="shared" si="0"/>
        <v>0.94136332602032036</v>
      </c>
      <c r="O121" s="20">
        <f t="shared" si="0"/>
        <v>0.93604062232021989</v>
      </c>
      <c r="P121" s="20">
        <f t="shared" si="0"/>
        <v>0.93071791862011943</v>
      </c>
      <c r="Q121" s="20">
        <f t="shared" si="0"/>
        <v>0.92539761584453317</v>
      </c>
      <c r="R121" s="20">
        <f t="shared" si="0"/>
        <v>0.92007731306894658</v>
      </c>
      <c r="S121" s="20">
        <f t="shared" si="0"/>
        <v>0.91475939895381986</v>
      </c>
      <c r="T121" s="20">
        <f t="shared" si="0"/>
        <v>0.90944148483869325</v>
      </c>
      <c r="U121" s="20">
        <f t="shared" si="0"/>
        <v>0.90412594617658282</v>
      </c>
      <c r="V121" s="20">
        <f t="shared" si="0"/>
        <v>0.89881040751447216</v>
      </c>
      <c r="W121" s="20">
        <f t="shared" si="0"/>
        <v>0.89349723298471229</v>
      </c>
      <c r="X121" s="20">
        <f t="shared" si="0"/>
        <v>0.89176597709927896</v>
      </c>
      <c r="Y121" s="20">
        <f t="shared" si="0"/>
        <v>0.89003707308214175</v>
      </c>
      <c r="Z121" s="20">
        <f t="shared" si="0"/>
        <v>0.88830816906500465</v>
      </c>
      <c r="AA121" s="20">
        <f t="shared" si="0"/>
        <v>0.88658160559549781</v>
      </c>
      <c r="AB121" s="20">
        <f t="shared" si="0"/>
        <v>0.88485504212599109</v>
      </c>
      <c r="AC121" s="20">
        <f t="shared" si="0"/>
        <v>0.88313080599667149</v>
      </c>
      <c r="AD121" s="20">
        <f t="shared" si="0"/>
        <v>0.88140656986735166</v>
      </c>
      <c r="AE121" s="20">
        <f t="shared" si="0"/>
        <v>0.87968464975755345</v>
      </c>
      <c r="AF121" s="20">
        <f t="shared" si="0"/>
        <v>0.87796272964775512</v>
      </c>
      <c r="AG121" s="20">
        <f t="shared" si="0"/>
        <v>0.87624311423681278</v>
      </c>
      <c r="AH121" s="20">
        <f t="shared" si="0"/>
        <v>0.87452349882587044</v>
      </c>
      <c r="AI121" s="20">
        <f t="shared" si="0"/>
        <v>0.87280617490634038</v>
      </c>
      <c r="AJ121" s="20">
        <f t="shared" si="0"/>
        <v>0.87108885098681033</v>
      </c>
      <c r="AK121" s="20">
        <f t="shared" si="0"/>
        <v>0.86937380818141585</v>
      </c>
      <c r="AL121" s="20">
        <f t="shared" si="0"/>
        <v>0.86765876537602138</v>
      </c>
    </row>
    <row r="122" spans="1:39" s="20" customFormat="1">
      <c r="A122" s="20" t="s">
        <v>19</v>
      </c>
      <c r="B122" s="20">
        <f t="shared" si="1"/>
        <v>1</v>
      </c>
      <c r="C122" s="20">
        <f t="shared" si="1"/>
        <v>0.96497236941597719</v>
      </c>
      <c r="D122" s="20">
        <f t="shared" si="1"/>
        <v>0.92994473883195394</v>
      </c>
      <c r="E122" s="20">
        <f t="shared" si="1"/>
        <v>0.89491710824793125</v>
      </c>
      <c r="F122" s="20">
        <f t="shared" si="1"/>
        <v>0.85988947766390789</v>
      </c>
      <c r="G122" s="20">
        <f t="shared" si="1"/>
        <v>0.82486184707988508</v>
      </c>
      <c r="H122" s="20">
        <f t="shared" si="1"/>
        <v>0.78983421649586227</v>
      </c>
      <c r="I122" s="20">
        <f t="shared" si="1"/>
        <v>0.76580053976024598</v>
      </c>
      <c r="J122" s="20">
        <f t="shared" si="1"/>
        <v>0.74176686302462991</v>
      </c>
      <c r="K122" s="20">
        <f t="shared" si="1"/>
        <v>0.71773318628901372</v>
      </c>
      <c r="L122" s="20">
        <f t="shared" si="1"/>
        <v>0.69369950955339765</v>
      </c>
      <c r="M122" s="20">
        <f t="shared" si="1"/>
        <v>0.66966583281778169</v>
      </c>
      <c r="N122" s="20">
        <f t="shared" si="1"/>
        <v>0.65897513101564398</v>
      </c>
      <c r="O122" s="20">
        <f t="shared" si="1"/>
        <v>0.64850185957511186</v>
      </c>
      <c r="P122" s="20">
        <f t="shared" si="1"/>
        <v>0.63821492360193133</v>
      </c>
      <c r="Q122" s="20">
        <f t="shared" si="1"/>
        <v>0.62808943694272124</v>
      </c>
      <c r="R122" s="20">
        <f t="shared" ref="R122:AL122" si="2">AVERAGEIF($A$3:$A$114,$A122,S$3:S$114)/AVERAGEIF($A$3:$A$114,$A122,$C$3:$C$114)</f>
        <v>0.61810517238374219</v>
      </c>
      <c r="S122" s="20">
        <f t="shared" si="2"/>
        <v>0.61625669224777646</v>
      </c>
      <c r="T122" s="20">
        <f t="shared" si="2"/>
        <v>0.61451888038342806</v>
      </c>
      <c r="U122" s="20">
        <f t="shared" si="2"/>
        <v>0.61288003565428051</v>
      </c>
      <c r="V122" s="20">
        <f t="shared" si="2"/>
        <v>0.61133020883791445</v>
      </c>
      <c r="W122" s="20">
        <f t="shared" si="2"/>
        <v>0.60986086923803184</v>
      </c>
      <c r="X122" s="20">
        <f t="shared" si="2"/>
        <v>0.60846464704969916</v>
      </c>
      <c r="Y122" s="20">
        <f t="shared" si="2"/>
        <v>0.60713513172190292</v>
      </c>
      <c r="Z122" s="20">
        <f t="shared" si="2"/>
        <v>0.60586671231967049</v>
      </c>
      <c r="AA122" s="20">
        <f t="shared" si="2"/>
        <v>0.60465444980437721</v>
      </c>
      <c r="AB122" s="20">
        <f t="shared" si="2"/>
        <v>0.60349397386576353</v>
      </c>
      <c r="AC122" s="20">
        <f t="shared" si="2"/>
        <v>0.60238139884803166</v>
      </c>
      <c r="AD122" s="20">
        <f t="shared" si="2"/>
        <v>0.60131325467780461</v>
      </c>
      <c r="AE122" s="20">
        <f t="shared" si="2"/>
        <v>0.60028642968973167</v>
      </c>
      <c r="AF122" s="20">
        <f t="shared" si="2"/>
        <v>0.59929812296980634</v>
      </c>
      <c r="AG122" s="20">
        <f t="shared" si="2"/>
        <v>0.59834580437465956</v>
      </c>
      <c r="AH122" s="20">
        <f t="shared" si="2"/>
        <v>0.59742718078760748</v>
      </c>
      <c r="AI122" s="20">
        <f t="shared" si="2"/>
        <v>0.59654016747812078</v>
      </c>
      <c r="AJ122" s="20">
        <f t="shared" si="2"/>
        <v>0.59568286366438972</v>
      </c>
      <c r="AK122" s="20">
        <f t="shared" si="2"/>
        <v>0.59485353155917164</v>
      </c>
      <c r="AL122" s="20">
        <f t="shared" si="2"/>
        <v>0.59405057831873509</v>
      </c>
    </row>
    <row r="123" spans="1:39">
      <c r="A123" s="20" t="s">
        <v>20</v>
      </c>
      <c r="B123" s="20">
        <f t="shared" si="1"/>
        <v>1</v>
      </c>
      <c r="C123" s="20">
        <f t="shared" si="0"/>
        <v>0.9994202980262763</v>
      </c>
      <c r="D123" s="20">
        <f t="shared" si="0"/>
        <v>0.99884059605255282</v>
      </c>
      <c r="E123" s="20">
        <f t="shared" si="0"/>
        <v>0.98675475194860518</v>
      </c>
      <c r="F123" s="20">
        <f t="shared" si="0"/>
        <v>0.98358464751328278</v>
      </c>
      <c r="G123" s="20">
        <f t="shared" si="0"/>
        <v>0.98562604733167414</v>
      </c>
      <c r="H123" s="20">
        <f t="shared" si="0"/>
        <v>0.98285993505783587</v>
      </c>
      <c r="I123" s="20">
        <f t="shared" si="0"/>
        <v>0.98009318249973776</v>
      </c>
      <c r="J123" s="20">
        <f t="shared" si="0"/>
        <v>0.97732654454537804</v>
      </c>
      <c r="K123" s="20">
        <f t="shared" si="0"/>
        <v>0.97455931968907639</v>
      </c>
      <c r="L123" s="20">
        <f t="shared" si="0"/>
        <v>0.97179327505957969</v>
      </c>
      <c r="M123" s="20">
        <f t="shared" si="0"/>
        <v>0.96902614007728072</v>
      </c>
      <c r="N123" s="20">
        <f t="shared" si="0"/>
        <v>0.96626006878283632</v>
      </c>
      <c r="O123" s="20">
        <f t="shared" si="0"/>
        <v>0.96349328195002915</v>
      </c>
      <c r="P123" s="20">
        <f t="shared" si="0"/>
        <v>0.96072642557421206</v>
      </c>
      <c r="Q123" s="20">
        <f t="shared" si="0"/>
        <v>0.95796042653159685</v>
      </c>
      <c r="R123" s="20">
        <f t="shared" si="0"/>
        <v>0.95519359247351554</v>
      </c>
      <c r="S123" s="20">
        <f t="shared" si="0"/>
        <v>0.95242626846514111</v>
      </c>
      <c r="T123" s="20">
        <f t="shared" si="0"/>
        <v>0.94966005467358527</v>
      </c>
      <c r="U123" s="20">
        <f t="shared" si="0"/>
        <v>0.94689375508730433</v>
      </c>
      <c r="V123" s="20">
        <f t="shared" si="0"/>
        <v>0.94412703541043885</v>
      </c>
      <c r="W123" s="20">
        <f t="shared" si="0"/>
        <v>0.941360278508663</v>
      </c>
      <c r="X123" s="20">
        <f t="shared" si="0"/>
        <v>0.93859330731358748</v>
      </c>
      <c r="Y123" s="20">
        <f t="shared" si="0"/>
        <v>0.93582694613766992</v>
      </c>
      <c r="Z123" s="20">
        <f t="shared" si="0"/>
        <v>0.93306015247559482</v>
      </c>
      <c r="AA123" s="20">
        <f t="shared" si="0"/>
        <v>0.93029387070539327</v>
      </c>
      <c r="AB123" s="20">
        <f t="shared" si="0"/>
        <v>0.92752662311018252</v>
      </c>
      <c r="AC123" s="20">
        <f t="shared" si="0"/>
        <v>0.92475992617384939</v>
      </c>
      <c r="AD123" s="20">
        <f t="shared" si="0"/>
        <v>0.92199322923751603</v>
      </c>
      <c r="AE123" s="20">
        <f t="shared" si="0"/>
        <v>0.91922653230118279</v>
      </c>
      <c r="AF123" s="20">
        <f t="shared" si="0"/>
        <v>0.91645983536484943</v>
      </c>
      <c r="AG123" s="20">
        <f t="shared" si="0"/>
        <v>0.91369313842851629</v>
      </c>
      <c r="AH123" s="20">
        <f t="shared" si="0"/>
        <v>0.91092644149218283</v>
      </c>
      <c r="AI123" s="20">
        <f t="shared" si="0"/>
        <v>0.90815974455584969</v>
      </c>
      <c r="AJ123" s="20">
        <f t="shared" si="0"/>
        <v>0.90539304761951622</v>
      </c>
      <c r="AK123" s="20">
        <f t="shared" si="0"/>
        <v>0.90262635068318298</v>
      </c>
      <c r="AL123" s="20">
        <f t="shared" si="0"/>
        <v>0.89985965374684962</v>
      </c>
    </row>
    <row r="124" spans="1:39">
      <c r="A124" s="20" t="s">
        <v>30</v>
      </c>
      <c r="B124" s="20">
        <f t="shared" si="1"/>
        <v>1</v>
      </c>
      <c r="C124" s="20">
        <f t="shared" si="0"/>
        <v>1</v>
      </c>
      <c r="D124" s="20">
        <f t="shared" si="0"/>
        <v>0.99833333333333341</v>
      </c>
      <c r="E124" s="20">
        <f t="shared" si="0"/>
        <v>0.99666666666666659</v>
      </c>
      <c r="F124" s="20">
        <f t="shared" si="0"/>
        <v>0.99500000000000022</v>
      </c>
      <c r="G124" s="20">
        <f t="shared" si="0"/>
        <v>0.99333333333333351</v>
      </c>
      <c r="H124" s="20">
        <f t="shared" si="0"/>
        <v>0.9916666666666667</v>
      </c>
      <c r="I124" s="20">
        <f t="shared" si="0"/>
        <v>0.98999999999999988</v>
      </c>
      <c r="J124" s="20">
        <f t="shared" si="0"/>
        <v>0.98833333333333329</v>
      </c>
      <c r="K124" s="20">
        <f t="shared" si="0"/>
        <v>0.98666666666666669</v>
      </c>
      <c r="L124" s="20">
        <f t="shared" si="0"/>
        <v>0.98500000000000021</v>
      </c>
      <c r="M124" s="20">
        <f t="shared" si="0"/>
        <v>0.98333333333333339</v>
      </c>
      <c r="N124" s="20">
        <f t="shared" si="0"/>
        <v>0.98166666666666658</v>
      </c>
      <c r="O124" s="20">
        <f t="shared" si="0"/>
        <v>0.98</v>
      </c>
      <c r="P124" s="20">
        <f t="shared" si="0"/>
        <v>0.97833333333333317</v>
      </c>
      <c r="Q124" s="20">
        <f t="shared" si="0"/>
        <v>0.9766666666666669</v>
      </c>
      <c r="R124" s="20">
        <f t="shared" si="0"/>
        <v>0.97500000000000009</v>
      </c>
      <c r="S124" s="20">
        <f t="shared" si="0"/>
        <v>0.97333333333333327</v>
      </c>
      <c r="T124" s="20">
        <f t="shared" si="0"/>
        <v>0.97166666666666668</v>
      </c>
      <c r="U124" s="20">
        <f t="shared" si="0"/>
        <v>0.9700000000000002</v>
      </c>
      <c r="V124" s="20">
        <f t="shared" si="0"/>
        <v>0.96833333333333349</v>
      </c>
      <c r="W124" s="20">
        <f t="shared" si="0"/>
        <v>0.96666666666666679</v>
      </c>
      <c r="X124" s="20">
        <f t="shared" si="0"/>
        <v>0.96499999999999997</v>
      </c>
      <c r="Y124" s="20">
        <f t="shared" si="0"/>
        <v>0.96333333333333326</v>
      </c>
      <c r="Z124" s="20">
        <f t="shared" si="0"/>
        <v>0.96166666666666645</v>
      </c>
      <c r="AA124" s="20">
        <f t="shared" si="0"/>
        <v>0.96</v>
      </c>
      <c r="AB124" s="20">
        <f t="shared" si="0"/>
        <v>0.95833333333333348</v>
      </c>
      <c r="AC124" s="20">
        <f t="shared" si="0"/>
        <v>0.95666666666666667</v>
      </c>
      <c r="AD124" s="20">
        <f t="shared" si="0"/>
        <v>0.95499999999999985</v>
      </c>
      <c r="AE124" s="20">
        <f t="shared" si="0"/>
        <v>0.95333333333333348</v>
      </c>
      <c r="AF124" s="20">
        <f t="shared" si="0"/>
        <v>0.95166666666666677</v>
      </c>
      <c r="AG124" s="20">
        <f t="shared" si="0"/>
        <v>0.95000000000000007</v>
      </c>
      <c r="AH124" s="20">
        <f t="shared" si="0"/>
        <v>0.94833333333333336</v>
      </c>
      <c r="AI124" s="20">
        <f t="shared" si="0"/>
        <v>0.94666666666666655</v>
      </c>
      <c r="AJ124" s="20">
        <f t="shared" si="0"/>
        <v>0.94499999999999995</v>
      </c>
      <c r="AK124" s="20">
        <f t="shared" si="0"/>
        <v>0.94333333333333347</v>
      </c>
      <c r="AL124" s="20">
        <f t="shared" si="0"/>
        <v>0.94166666666666676</v>
      </c>
    </row>
    <row r="125" spans="1:39">
      <c r="A125" s="20" t="s">
        <v>32</v>
      </c>
      <c r="B125" s="20">
        <f t="shared" si="1"/>
        <v>1</v>
      </c>
      <c r="C125" s="20">
        <f t="shared" si="0"/>
        <v>1</v>
      </c>
      <c r="D125" s="20">
        <f t="shared" si="0"/>
        <v>1</v>
      </c>
      <c r="E125" s="20">
        <f t="shared" si="0"/>
        <v>0.98784262086501429</v>
      </c>
      <c r="F125" s="20">
        <f t="shared" si="0"/>
        <v>0.98489353959225689</v>
      </c>
      <c r="G125" s="20">
        <f t="shared" si="0"/>
        <v>0.98117839808861018</v>
      </c>
      <c r="H125" s="20">
        <f t="shared" si="0"/>
        <v>0.97450304399704124</v>
      </c>
      <c r="I125" s="20">
        <f t="shared" si="0"/>
        <v>0.97155373684736068</v>
      </c>
      <c r="J125" s="20">
        <f t="shared" si="0"/>
        <v>0.96854137057101275</v>
      </c>
      <c r="K125" s="20">
        <f t="shared" si="0"/>
        <v>0.965591688343586</v>
      </c>
      <c r="L125" s="20">
        <f t="shared" si="0"/>
        <v>0.96264313773781296</v>
      </c>
      <c r="M125" s="20">
        <f t="shared" si="0"/>
        <v>0.95954239873099112</v>
      </c>
      <c r="N125" s="20">
        <f t="shared" si="0"/>
        <v>0.94977571667545302</v>
      </c>
      <c r="O125" s="20">
        <f t="shared" si="0"/>
        <v>0.94236193980926752</v>
      </c>
      <c r="P125" s="20">
        <f t="shared" si="0"/>
        <v>0.93552368428253307</v>
      </c>
      <c r="Q125" s="20">
        <f t="shared" si="0"/>
        <v>0.93080143317111752</v>
      </c>
      <c r="R125" s="20">
        <f t="shared" si="0"/>
        <v>0.92575159638002535</v>
      </c>
      <c r="S125" s="20">
        <f t="shared" si="0"/>
        <v>0.92121680710068066</v>
      </c>
      <c r="T125" s="20">
        <f t="shared" si="0"/>
        <v>0.91770861536360671</v>
      </c>
      <c r="U125" s="20">
        <f t="shared" si="0"/>
        <v>0.91464462761923138</v>
      </c>
      <c r="V125" s="20">
        <f t="shared" si="0"/>
        <v>0.9115291790665917</v>
      </c>
      <c r="W125" s="20">
        <f t="shared" si="0"/>
        <v>0.90797411815458273</v>
      </c>
      <c r="X125" s="20">
        <f t="shared" si="0"/>
        <v>0.90439167427766165</v>
      </c>
      <c r="Y125" s="20">
        <f t="shared" si="0"/>
        <v>0.90136818845070221</v>
      </c>
      <c r="Z125" s="20">
        <f t="shared" si="0"/>
        <v>0.89757017115882343</v>
      </c>
      <c r="AA125" s="20">
        <f t="shared" si="0"/>
        <v>0.89454135403134671</v>
      </c>
      <c r="AB125" s="20">
        <f t="shared" si="0"/>
        <v>0.89100100271177984</v>
      </c>
      <c r="AC125" s="20">
        <f t="shared" si="0"/>
        <v>0.88752594334495527</v>
      </c>
      <c r="AD125" s="20">
        <f t="shared" si="0"/>
        <v>0.8840508839781307</v>
      </c>
      <c r="AE125" s="20">
        <f t="shared" si="0"/>
        <v>0.88057582461130612</v>
      </c>
      <c r="AF125" s="20">
        <f t="shared" si="0"/>
        <v>0.87710076524448155</v>
      </c>
      <c r="AG125" s="20">
        <f t="shared" si="0"/>
        <v>0.87362570587765698</v>
      </c>
      <c r="AH125" s="20">
        <f t="shared" si="0"/>
        <v>0.8701506465108324</v>
      </c>
      <c r="AI125" s="20">
        <f t="shared" si="0"/>
        <v>0.86667558714400783</v>
      </c>
      <c r="AJ125" s="20">
        <f t="shared" si="0"/>
        <v>0.86320052777718326</v>
      </c>
      <c r="AK125" s="20">
        <f t="shared" si="0"/>
        <v>0.85972546841035868</v>
      </c>
      <c r="AL125" s="20">
        <f t="shared" si="0"/>
        <v>0.85625040904353411</v>
      </c>
    </row>
    <row r="126" spans="1:39">
      <c r="A126" s="20" t="s">
        <v>114</v>
      </c>
      <c r="B126" s="20">
        <f t="shared" si="1"/>
        <v>1</v>
      </c>
      <c r="C126" s="20">
        <f t="shared" si="0"/>
        <v>0.97333975499872172</v>
      </c>
      <c r="D126" s="20">
        <f t="shared" si="0"/>
        <v>0.94664632744672939</v>
      </c>
      <c r="E126" s="20">
        <f t="shared" si="0"/>
        <v>0.92889450783243677</v>
      </c>
      <c r="F126" s="20">
        <f t="shared" si="0"/>
        <v>0.91114268821814404</v>
      </c>
      <c r="G126" s="20">
        <f t="shared" si="0"/>
        <v>0.89339086860385097</v>
      </c>
      <c r="H126" s="20">
        <f t="shared" si="0"/>
        <v>0.87563904898955813</v>
      </c>
      <c r="I126" s="20">
        <f t="shared" si="0"/>
        <v>0.85381551678584688</v>
      </c>
      <c r="J126" s="20">
        <f t="shared" si="0"/>
        <v>0.83199198458213519</v>
      </c>
      <c r="K126" s="20">
        <f t="shared" si="0"/>
        <v>0.81016845237842372</v>
      </c>
      <c r="L126" s="20">
        <f t="shared" si="0"/>
        <v>0.8054919811919139</v>
      </c>
      <c r="M126" s="20">
        <f t="shared" si="0"/>
        <v>0.8008155100054043</v>
      </c>
      <c r="N126" s="20">
        <f t="shared" si="0"/>
        <v>0.7961390388188947</v>
      </c>
      <c r="O126" s="20">
        <f t="shared" si="0"/>
        <v>0.79146256763238487</v>
      </c>
      <c r="P126" s="20">
        <f t="shared" si="0"/>
        <v>0.78678609644587549</v>
      </c>
      <c r="Q126" s="20">
        <f t="shared" si="0"/>
        <v>0.78210962525936578</v>
      </c>
      <c r="R126" s="20">
        <f t="shared" si="0"/>
        <v>0.77743315407285607</v>
      </c>
      <c r="S126" s="20">
        <f t="shared" si="0"/>
        <v>0.77514168319146626</v>
      </c>
      <c r="T126" s="20">
        <f t="shared" si="0"/>
        <v>0.77285021231007678</v>
      </c>
      <c r="U126" s="20">
        <f t="shared" ref="U126:AL126" si="3">AVERAGEIF($A$3:$A$114,$A126,V$3:V$114)/AVERAGEIF($A$3:$A$114,$A126,$C$3:$C$114)</f>
        <v>0.77055874142868708</v>
      </c>
      <c r="V126" s="20">
        <f t="shared" si="3"/>
        <v>0.76826727054729749</v>
      </c>
      <c r="W126" s="20">
        <f t="shared" si="3"/>
        <v>0.76597579966590745</v>
      </c>
      <c r="X126" s="20">
        <f t="shared" si="3"/>
        <v>0.76368432878451797</v>
      </c>
      <c r="Y126" s="20">
        <f t="shared" si="3"/>
        <v>0.76139285790312827</v>
      </c>
      <c r="Z126" s="20">
        <f t="shared" si="3"/>
        <v>0.75910138702173857</v>
      </c>
      <c r="AA126" s="20">
        <f t="shared" si="3"/>
        <v>0.75680991614034876</v>
      </c>
      <c r="AB126" s="20">
        <f t="shared" si="3"/>
        <v>0.75451844525895895</v>
      </c>
      <c r="AC126" s="20">
        <f t="shared" si="3"/>
        <v>0.7523011966698071</v>
      </c>
      <c r="AD126" s="20">
        <f t="shared" si="3"/>
        <v>0.75008394808065515</v>
      </c>
      <c r="AE126" s="20">
        <f t="shared" si="3"/>
        <v>0.7478666994915032</v>
      </c>
      <c r="AF126" s="20">
        <f t="shared" si="3"/>
        <v>0.74564945090235135</v>
      </c>
      <c r="AG126" s="20">
        <f t="shared" si="3"/>
        <v>0.74343220231319929</v>
      </c>
      <c r="AH126" s="20">
        <f t="shared" si="3"/>
        <v>0.741214953724047</v>
      </c>
      <c r="AI126" s="20">
        <f t="shared" si="3"/>
        <v>0.73899770513489516</v>
      </c>
      <c r="AJ126" s="20">
        <f t="shared" si="3"/>
        <v>0.73678045654574331</v>
      </c>
      <c r="AK126" s="20">
        <f t="shared" si="3"/>
        <v>0.73456320795659136</v>
      </c>
      <c r="AL126" s="20">
        <f t="shared" si="3"/>
        <v>0.7323459593674394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16"/>
  <sheetViews>
    <sheetView zoomScale="190" zoomScaleNormal="190" workbookViewId="0">
      <selection activeCell="E19" sqref="E19"/>
    </sheetView>
  </sheetViews>
  <sheetFormatPr defaultColWidth="11.453125" defaultRowHeight="14.5"/>
  <cols>
    <col min="1" max="1" width="12.54296875" style="47" customWidth="1"/>
    <col min="2" max="2" width="34.1796875" style="47" customWidth="1"/>
    <col min="3" max="3" width="13.26953125" style="47" customWidth="1"/>
    <col min="4" max="5" width="12.54296875" style="47" customWidth="1"/>
    <col min="6" max="16384" width="11.453125" style="47"/>
  </cols>
  <sheetData>
    <row r="2" spans="1:3" ht="27.75" customHeight="1">
      <c r="B2" s="72" t="s">
        <v>254</v>
      </c>
      <c r="C2" s="72"/>
    </row>
    <row r="3" spans="1:3">
      <c r="B3" s="73" t="s">
        <v>255</v>
      </c>
      <c r="C3" s="73"/>
    </row>
    <row r="4" spans="1:3" ht="15" thickBot="1">
      <c r="B4" s="48" t="s">
        <v>256</v>
      </c>
      <c r="C4" s="49" t="s">
        <v>257</v>
      </c>
    </row>
    <row r="5" spans="1:3" ht="15" thickBot="1">
      <c r="A5" s="47" t="s">
        <v>15</v>
      </c>
      <c r="B5" s="50" t="s">
        <v>258</v>
      </c>
      <c r="C5" s="51">
        <v>33.233182273143811</v>
      </c>
    </row>
    <row r="6" spans="1:3" ht="15" thickBot="1">
      <c r="A6" s="47" t="s">
        <v>276</v>
      </c>
      <c r="B6" s="50" t="s">
        <v>259</v>
      </c>
      <c r="C6" s="51">
        <v>18.646613587226671</v>
      </c>
    </row>
    <row r="7" spans="1:3" ht="15" thickBot="1">
      <c r="B7" s="50" t="s">
        <v>260</v>
      </c>
      <c r="C7" s="51">
        <v>45.661625025835427</v>
      </c>
    </row>
    <row r="8" spans="1:3" ht="15" thickBot="1">
      <c r="A8" s="47" t="s">
        <v>277</v>
      </c>
      <c r="B8" s="50" t="s">
        <v>261</v>
      </c>
      <c r="C8" s="51">
        <v>37.5</v>
      </c>
    </row>
    <row r="9" spans="1:3" ht="15" thickBot="1">
      <c r="A9" s="47" t="s">
        <v>30</v>
      </c>
      <c r="B9" s="50" t="s">
        <v>262</v>
      </c>
      <c r="C9" s="51">
        <v>103.36564479555091</v>
      </c>
    </row>
    <row r="10" spans="1:3" ht="15" thickBot="1">
      <c r="A10" s="47" t="s">
        <v>17</v>
      </c>
      <c r="B10" s="50" t="s">
        <v>263</v>
      </c>
      <c r="C10" s="51">
        <v>24.002414948659474</v>
      </c>
    </row>
    <row r="11" spans="1:3" ht="15" thickBot="1">
      <c r="A11" s="47" t="s">
        <v>16</v>
      </c>
      <c r="B11" s="50" t="s">
        <v>264</v>
      </c>
      <c r="C11" s="51">
        <v>99.45</v>
      </c>
    </row>
    <row r="12" spans="1:3" ht="15" thickBot="1">
      <c r="A12" s="47" t="s">
        <v>278</v>
      </c>
      <c r="B12" s="50" t="s">
        <v>265</v>
      </c>
      <c r="C12" s="51">
        <v>10.5</v>
      </c>
    </row>
    <row r="13" spans="1:3" ht="15" thickBot="1">
      <c r="A13" s="47" t="s">
        <v>31</v>
      </c>
      <c r="B13" s="50" t="s">
        <v>266</v>
      </c>
      <c r="C13" s="51">
        <v>35.259068055763365</v>
      </c>
    </row>
    <row r="14" spans="1:3" ht="15" thickBot="1">
      <c r="A14" s="47" t="s">
        <v>19</v>
      </c>
      <c r="B14" s="50" t="s">
        <v>267</v>
      </c>
      <c r="C14" s="51">
        <v>47.769230769230774</v>
      </c>
    </row>
    <row r="15" spans="1:3" ht="15" thickBot="1">
      <c r="A15" s="47" t="s">
        <v>32</v>
      </c>
      <c r="B15" s="50" t="s">
        <v>268</v>
      </c>
      <c r="C15" s="51">
        <v>5</v>
      </c>
    </row>
    <row r="16" spans="1:3" ht="39.75" customHeight="1">
      <c r="B16" s="74" t="s">
        <v>269</v>
      </c>
      <c r="C16" s="74"/>
    </row>
  </sheetData>
  <mergeCells count="3">
    <mergeCell ref="B2:C2"/>
    <mergeCell ref="B3:C3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44"/>
  <sheetViews>
    <sheetView zoomScale="145" zoomScaleNormal="145" workbookViewId="0">
      <selection activeCell="F18" sqref="F18"/>
    </sheetView>
  </sheetViews>
  <sheetFormatPr defaultColWidth="11.453125" defaultRowHeight="14.5"/>
  <cols>
    <col min="1" max="1" width="12.54296875" style="47" customWidth="1"/>
    <col min="2" max="2" width="28.453125" style="47" bestFit="1" customWidth="1"/>
    <col min="3" max="3" width="13.26953125" style="47" customWidth="1"/>
    <col min="4" max="4" width="43.26953125" style="47" bestFit="1" customWidth="1"/>
    <col min="5" max="16384" width="11.453125" style="47"/>
  </cols>
  <sheetData>
    <row r="2" spans="1:8">
      <c r="B2" s="52" t="s">
        <v>270</v>
      </c>
      <c r="C2" s="52"/>
    </row>
    <row r="3" spans="1:8">
      <c r="B3" s="73" t="s">
        <v>271</v>
      </c>
      <c r="C3" s="73"/>
    </row>
    <row r="4" spans="1:8" ht="15" thickBot="1">
      <c r="B4" s="48" t="s">
        <v>256</v>
      </c>
      <c r="C4" s="49" t="s">
        <v>257</v>
      </c>
    </row>
    <row r="5" spans="1:8" ht="15" thickBot="1">
      <c r="A5" s="47" t="s">
        <v>15</v>
      </c>
      <c r="B5" s="50" t="s">
        <v>258</v>
      </c>
      <c r="C5" s="51">
        <v>1402.4442947939144</v>
      </c>
      <c r="H5" s="53"/>
    </row>
    <row r="6" spans="1:8" ht="15" thickBot="1">
      <c r="A6" s="47" t="s">
        <v>276</v>
      </c>
      <c r="B6" s="50" t="s">
        <v>259</v>
      </c>
      <c r="C6" s="51">
        <v>959</v>
      </c>
      <c r="H6" s="53"/>
    </row>
    <row r="7" spans="1:8" ht="15" thickBot="1">
      <c r="B7" s="50" t="s">
        <v>260</v>
      </c>
      <c r="C7" s="51">
        <v>2888.2529321373499</v>
      </c>
      <c r="H7" s="53"/>
    </row>
    <row r="8" spans="1:8" ht="15" thickBot="1">
      <c r="A8" s="47" t="s">
        <v>277</v>
      </c>
      <c r="B8" s="50" t="s">
        <v>261</v>
      </c>
      <c r="C8" s="51">
        <v>1400</v>
      </c>
      <c r="H8" s="53"/>
    </row>
    <row r="9" spans="1:8" ht="15" thickBot="1">
      <c r="A9" s="47" t="s">
        <v>30</v>
      </c>
      <c r="B9" s="50" t="s">
        <v>262</v>
      </c>
      <c r="C9" s="51">
        <v>1859</v>
      </c>
    </row>
    <row r="10" spans="1:8" ht="15" thickBot="1">
      <c r="A10" s="47" t="s">
        <v>17</v>
      </c>
      <c r="B10" s="50" t="s">
        <v>263</v>
      </c>
      <c r="C10" s="51">
        <v>1900</v>
      </c>
    </row>
    <row r="11" spans="1:8" ht="15" thickBot="1">
      <c r="A11" s="47" t="s">
        <v>16</v>
      </c>
      <c r="B11" s="50" t="s">
        <v>264</v>
      </c>
      <c r="C11" s="51">
        <v>3924</v>
      </c>
    </row>
    <row r="12" spans="1:8" ht="15" thickBot="1">
      <c r="A12" s="47" t="s">
        <v>278</v>
      </c>
      <c r="B12" s="50" t="s">
        <v>265</v>
      </c>
      <c r="C12" s="51">
        <v>1375</v>
      </c>
    </row>
    <row r="13" spans="1:8" ht="15" thickBot="1">
      <c r="A13" s="47" t="s">
        <v>31</v>
      </c>
      <c r="B13" s="50" t="s">
        <v>266</v>
      </c>
      <c r="C13" s="51">
        <v>1613.5451651565259</v>
      </c>
    </row>
    <row r="14" spans="1:8" ht="15" thickBot="1">
      <c r="A14" s="47" t="s">
        <v>19</v>
      </c>
      <c r="B14" s="50" t="s">
        <v>267</v>
      </c>
      <c r="C14" s="51">
        <v>6500</v>
      </c>
    </row>
    <row r="15" spans="1:8" ht="15" thickBot="1">
      <c r="A15" s="47" t="s">
        <v>32</v>
      </c>
      <c r="B15" s="50" t="s">
        <v>268</v>
      </c>
      <c r="C15" s="51">
        <v>800</v>
      </c>
    </row>
    <row r="16" spans="1:8" ht="31.5" customHeight="1" thickBot="1">
      <c r="B16" s="75" t="s">
        <v>272</v>
      </c>
      <c r="C16" s="75"/>
      <c r="D16" s="53"/>
      <c r="E16" s="53"/>
      <c r="F16" s="54"/>
    </row>
    <row r="17" spans="2:6" ht="24.75" customHeight="1">
      <c r="B17" s="76"/>
      <c r="C17" s="76"/>
      <c r="D17" s="53"/>
      <c r="E17" s="53"/>
      <c r="F17" s="54"/>
    </row>
    <row r="18" spans="2:6">
      <c r="D18" s="53"/>
      <c r="E18" s="53"/>
      <c r="F18" s="54"/>
    </row>
    <row r="19" spans="2:6">
      <c r="D19" s="53"/>
      <c r="E19" s="53"/>
      <c r="F19" s="54"/>
    </row>
    <row r="20" spans="2:6">
      <c r="D20" s="53"/>
      <c r="E20" s="53"/>
      <c r="F20" s="54"/>
    </row>
    <row r="21" spans="2:6">
      <c r="D21" s="53"/>
      <c r="E21" s="53"/>
      <c r="F21" s="54"/>
    </row>
    <row r="22" spans="2:6">
      <c r="D22" s="53"/>
      <c r="E22" s="53"/>
      <c r="F22" s="54"/>
    </row>
    <row r="23" spans="2:6">
      <c r="D23" s="53"/>
      <c r="E23" s="53"/>
      <c r="F23" s="54"/>
    </row>
    <row r="24" spans="2:6">
      <c r="D24" s="53"/>
      <c r="E24" s="53"/>
      <c r="F24" s="54"/>
    </row>
    <row r="25" spans="2:6">
      <c r="D25" s="53"/>
      <c r="E25" s="53"/>
      <c r="F25" s="54"/>
    </row>
    <row r="26" spans="2:6">
      <c r="D26" s="53"/>
      <c r="E26" s="53"/>
      <c r="F26" s="54"/>
    </row>
    <row r="27" spans="2:6">
      <c r="D27" s="53"/>
      <c r="E27" s="53"/>
      <c r="F27" s="54"/>
    </row>
    <row r="28" spans="2:6">
      <c r="D28" s="53"/>
      <c r="E28" s="53"/>
      <c r="F28" s="54"/>
    </row>
    <row r="29" spans="2:6">
      <c r="D29" s="53"/>
      <c r="E29" s="53"/>
      <c r="F29" s="54"/>
    </row>
    <row r="30" spans="2:6">
      <c r="D30" s="53"/>
      <c r="E30" s="53"/>
      <c r="F30" s="54"/>
    </row>
    <row r="31" spans="2:6">
      <c r="D31" s="53"/>
      <c r="E31" s="53"/>
      <c r="F31" s="54"/>
    </row>
    <row r="32" spans="2:6">
      <c r="D32" s="53"/>
      <c r="E32" s="53"/>
      <c r="F32" s="54"/>
    </row>
    <row r="33" spans="4:6">
      <c r="D33" s="53"/>
      <c r="E33" s="53"/>
      <c r="F33" s="54"/>
    </row>
    <row r="34" spans="4:6">
      <c r="D34" s="53"/>
      <c r="E34" s="53"/>
      <c r="F34" s="54"/>
    </row>
    <row r="35" spans="4:6">
      <c r="D35" s="53"/>
      <c r="E35" s="53"/>
      <c r="F35" s="54"/>
    </row>
    <row r="36" spans="4:6">
      <c r="D36" s="53"/>
      <c r="E36" s="53"/>
      <c r="F36" s="54"/>
    </row>
    <row r="37" spans="4:6">
      <c r="D37" s="53"/>
      <c r="E37" s="53"/>
      <c r="F37" s="54"/>
    </row>
    <row r="38" spans="4:6">
      <c r="D38" s="53"/>
      <c r="E38" s="53"/>
      <c r="F38" s="54"/>
    </row>
    <row r="39" spans="4:6">
      <c r="D39" s="53"/>
      <c r="E39" s="53"/>
      <c r="F39" s="54"/>
    </row>
    <row r="40" spans="4:6">
      <c r="D40" s="53"/>
      <c r="E40" s="53"/>
      <c r="F40" s="54"/>
    </row>
    <row r="41" spans="4:6">
      <c r="D41" s="53"/>
      <c r="E41" s="53"/>
      <c r="F41" s="54"/>
    </row>
    <row r="42" spans="4:6">
      <c r="D42" s="53"/>
      <c r="E42" s="53"/>
      <c r="F42" s="54"/>
    </row>
    <row r="43" spans="4:6">
      <c r="D43" s="53"/>
      <c r="E43" s="53"/>
      <c r="F43" s="54"/>
    </row>
    <row r="44" spans="4:6">
      <c r="D44" s="53"/>
      <c r="E44" s="53"/>
      <c r="F44" s="54"/>
    </row>
  </sheetData>
  <mergeCells count="3">
    <mergeCell ref="B3:C3"/>
    <mergeCell ref="B16:C16"/>
    <mergeCell ref="B17:C17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12"/>
  <sheetViews>
    <sheetView zoomScaleNormal="100" workbookViewId="0">
      <selection activeCell="A5" sqref="A5:A15"/>
    </sheetView>
  </sheetViews>
  <sheetFormatPr defaultColWidth="11.453125" defaultRowHeight="14.5"/>
  <cols>
    <col min="1" max="1" width="12.54296875" style="47" customWidth="1"/>
    <col min="2" max="2" width="23.26953125" style="47" customWidth="1"/>
    <col min="3" max="3" width="13.54296875" style="47" customWidth="1"/>
    <col min="4" max="4" width="16.26953125" style="47" bestFit="1" customWidth="1"/>
    <col min="5" max="6" width="12.54296875" style="47" customWidth="1"/>
    <col min="7" max="16384" width="11.453125" style="47"/>
  </cols>
  <sheetData>
    <row r="2" spans="1:3" ht="26.25" customHeight="1">
      <c r="B2" s="72" t="s">
        <v>273</v>
      </c>
      <c r="C2" s="72"/>
    </row>
    <row r="3" spans="1:3" ht="15" thickBot="1">
      <c r="B3" s="73" t="s">
        <v>274</v>
      </c>
      <c r="C3" s="73"/>
    </row>
    <row r="4" spans="1:3" ht="15" thickBot="1">
      <c r="B4" s="55" t="s">
        <v>256</v>
      </c>
      <c r="C4" s="56" t="s">
        <v>257</v>
      </c>
    </row>
    <row r="5" spans="1:3" ht="15" thickBot="1">
      <c r="A5" s="47" t="s">
        <v>15</v>
      </c>
      <c r="B5" s="57" t="s">
        <v>258</v>
      </c>
      <c r="C5" s="58">
        <v>2.4047453087593289</v>
      </c>
    </row>
    <row r="6" spans="1:3" ht="15" thickBot="1">
      <c r="A6" s="47" t="s">
        <v>279</v>
      </c>
      <c r="B6" s="57" t="s">
        <v>259</v>
      </c>
      <c r="C6" s="58">
        <v>3.2952180780313913</v>
      </c>
    </row>
    <row r="7" spans="1:3" ht="15" thickBot="1">
      <c r="B7" s="57" t="s">
        <v>260</v>
      </c>
      <c r="C7" s="58">
        <v>5.0721001567398094</v>
      </c>
    </row>
    <row r="8" spans="1:3" ht="15" thickBot="1">
      <c r="A8" s="47" t="s">
        <v>30</v>
      </c>
      <c r="B8" s="57" t="s">
        <v>262</v>
      </c>
      <c r="C8" s="58">
        <v>0.05</v>
      </c>
    </row>
    <row r="9" spans="1:3" ht="15" thickBot="1">
      <c r="A9" s="47" t="s">
        <v>16</v>
      </c>
      <c r="B9" s="57" t="s">
        <v>264</v>
      </c>
      <c r="C9" s="58">
        <v>2.38</v>
      </c>
    </row>
    <row r="10" spans="1:3" ht="15" thickBot="1">
      <c r="A10" s="47" t="s">
        <v>31</v>
      </c>
      <c r="B10" s="57" t="s">
        <v>266</v>
      </c>
      <c r="C10" s="58">
        <v>2.9860475062004443</v>
      </c>
    </row>
    <row r="11" spans="1:3" ht="15" thickBot="1">
      <c r="A11" s="47" t="s">
        <v>32</v>
      </c>
      <c r="B11" s="57" t="s">
        <v>268</v>
      </c>
      <c r="C11" s="58">
        <v>4.7</v>
      </c>
    </row>
    <row r="12" spans="1:3" ht="38.25" customHeight="1">
      <c r="B12" s="77" t="s">
        <v>275</v>
      </c>
      <c r="C12" s="77"/>
    </row>
  </sheetData>
  <mergeCells count="3">
    <mergeCell ref="B2:C2"/>
    <mergeCell ref="B3:C3"/>
    <mergeCell ref="B12:C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4"/>
  <sheetViews>
    <sheetView workbookViewId="0">
      <selection activeCell="J44" sqref="J44"/>
    </sheetView>
  </sheetViews>
  <sheetFormatPr defaultColWidth="9.1796875" defaultRowHeight="14.5"/>
  <cols>
    <col min="1" max="1" width="33.26953125" style="20" customWidth="1"/>
    <col min="2" max="2" width="23.1796875" style="20" customWidth="1"/>
    <col min="3" max="3" width="28.54296875" style="20" customWidth="1"/>
    <col min="4" max="4" width="23.1796875" style="20" customWidth="1"/>
    <col min="5" max="16384" width="9.1796875" style="20"/>
  </cols>
  <sheetData>
    <row r="1" spans="1:4">
      <c r="A1" s="5" t="s">
        <v>21</v>
      </c>
      <c r="B1" s="16" t="s">
        <v>68</v>
      </c>
      <c r="C1" s="16" t="s">
        <v>71</v>
      </c>
      <c r="D1" s="16" t="s">
        <v>69</v>
      </c>
    </row>
    <row r="2" spans="1:4">
      <c r="A2" s="20" t="s">
        <v>113</v>
      </c>
      <c r="B2" s="4">
        <f>'EIA Costs'!F2*1000</f>
        <v>31160</v>
      </c>
      <c r="C2" s="20">
        <v>0</v>
      </c>
      <c r="D2" s="4">
        <f>'EIA Costs'!F4*1000</f>
        <v>72800</v>
      </c>
    </row>
    <row r="3" spans="1:4">
      <c r="A3" s="20" t="s">
        <v>29</v>
      </c>
      <c r="B3" s="4">
        <f>'EIA Costs'!F5*1000</f>
        <v>13160</v>
      </c>
      <c r="C3" s="20">
        <v>0</v>
      </c>
      <c r="D3" s="4">
        <f>'EIA Costs'!F6*1000</f>
        <v>15360</v>
      </c>
    </row>
    <row r="4" spans="1:4">
      <c r="A4" s="20" t="s">
        <v>16</v>
      </c>
      <c r="B4" s="4">
        <f>'EIA Costs'!F11*1000</f>
        <v>93230</v>
      </c>
      <c r="C4" s="20">
        <v>0</v>
      </c>
      <c r="D4" s="4">
        <f>'EIA Costs'!F11*1000</f>
        <v>93230</v>
      </c>
    </row>
    <row r="5" spans="1:4">
      <c r="A5" s="20" t="s">
        <v>17</v>
      </c>
      <c r="B5" s="4">
        <f>'EIA Costs'!F17*1000</f>
        <v>15150</v>
      </c>
      <c r="C5" s="20">
        <v>0</v>
      </c>
      <c r="D5" s="4">
        <f>'EIA Costs'!F17*1000</f>
        <v>15150</v>
      </c>
    </row>
    <row r="6" spans="1:4">
      <c r="A6" s="20" t="s">
        <v>115</v>
      </c>
      <c r="B6" s="4">
        <f>'EIA Costs'!F18*1000</f>
        <v>39530</v>
      </c>
      <c r="C6" s="20">
        <v>0</v>
      </c>
      <c r="D6" s="4">
        <f>'EIA Costs'!F18*1000</f>
        <v>39530</v>
      </c>
    </row>
    <row r="7" spans="1:4">
      <c r="A7" s="20" t="s">
        <v>18</v>
      </c>
      <c r="B7" s="4">
        <f>'EIA Costs'!F21*1000</f>
        <v>24680</v>
      </c>
      <c r="C7" s="20">
        <v>0</v>
      </c>
      <c r="D7" s="4">
        <f>'EIA Costs'!F21*1000</f>
        <v>24680</v>
      </c>
    </row>
    <row r="8" spans="1:4">
      <c r="A8" s="20" t="s">
        <v>19</v>
      </c>
      <c r="B8" s="4">
        <f>'EIA Costs'!F20*1000</f>
        <v>67230</v>
      </c>
      <c r="C8" s="20">
        <v>0</v>
      </c>
      <c r="D8" s="4">
        <f>'EIA Costs'!F20*1000</f>
        <v>67230</v>
      </c>
    </row>
    <row r="9" spans="1:4">
      <c r="A9" s="20" t="s">
        <v>20</v>
      </c>
      <c r="B9" s="4">
        <f>'EIA Costs'!F14*1000</f>
        <v>105580</v>
      </c>
      <c r="C9" s="20">
        <v>0</v>
      </c>
      <c r="D9" s="4">
        <f>'EIA Costs'!F14*1000</f>
        <v>105580</v>
      </c>
    </row>
    <row r="10" spans="1:4">
      <c r="A10" s="20" t="s">
        <v>30</v>
      </c>
      <c r="B10" s="4">
        <f>'EIA Costs'!F15*1000</f>
        <v>112850</v>
      </c>
      <c r="C10" s="20">
        <v>0</v>
      </c>
      <c r="D10" s="4">
        <f>'EIA Costs'!F15*1000</f>
        <v>112850</v>
      </c>
    </row>
    <row r="11" spans="1:4">
      <c r="A11" s="20" t="s">
        <v>31</v>
      </c>
      <c r="B11" s="4">
        <f>B12</f>
        <v>7340</v>
      </c>
      <c r="C11" s="20">
        <v>0</v>
      </c>
      <c r="D11" s="4">
        <f>D12</f>
        <v>7040</v>
      </c>
    </row>
    <row r="12" spans="1:4">
      <c r="A12" s="20" t="s">
        <v>32</v>
      </c>
      <c r="B12" s="4">
        <f>'EIA Costs'!F8*1000</f>
        <v>7340</v>
      </c>
      <c r="C12" s="20">
        <v>0</v>
      </c>
      <c r="D12" s="4">
        <f>'EIA Costs'!F9*1000</f>
        <v>7040</v>
      </c>
    </row>
    <row r="13" spans="1:4">
      <c r="A13" s="20" t="s">
        <v>127</v>
      </c>
      <c r="B13" s="4">
        <f>B2*'Coal Cost Multipliers'!$B$35</f>
        <v>31160</v>
      </c>
      <c r="C13" s="4">
        <f>C2*'Coal Cost Multipliers'!$B$35</f>
        <v>0</v>
      </c>
      <c r="D13" s="4">
        <f>D2*'Coal Cost Multipliers'!$B$35</f>
        <v>72800</v>
      </c>
    </row>
    <row r="14" spans="1:4">
      <c r="A14" s="20" t="s">
        <v>114</v>
      </c>
      <c r="B14" s="20">
        <f>'EIA Costs'!F19*1000</f>
        <v>73960</v>
      </c>
      <c r="C14" s="20">
        <v>0</v>
      </c>
      <c r="D14" s="20">
        <f>'EIA Costs'!F19*1000</f>
        <v>73960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EIA Costs</vt:lpstr>
      <vt:lpstr>Start Year Wind and Solar</vt:lpstr>
      <vt:lpstr>Coal Cost Multipliers</vt:lpstr>
      <vt:lpstr>Cost Improvement and Off Wnd</vt:lpstr>
      <vt:lpstr>Anexo Tabla 4.2.10.</vt:lpstr>
      <vt:lpstr>Anexo Tabla 4.2.11.</vt:lpstr>
      <vt:lpstr>Anexo Tabla 4.2.12.</vt:lpstr>
      <vt:lpstr>FIixed O&amp;M - US</vt:lpstr>
      <vt:lpstr>Variable O&amp;M - US</vt:lpstr>
      <vt:lpstr>Capital Costs - US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2018-06-05T18:12:33Z</dcterms:modified>
</cp:coreProperties>
</file>