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50251B27-EB47-48FB-936C-A3BE4BDB0408}" xr6:coauthVersionLast="47" xr6:coauthVersionMax="47" xr10:uidLastSave="{00000000-0000-0000-0000-000000000000}"/>
  <bookViews>
    <workbookView xWindow="1080" yWindow="108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3" i="24" l="1"/>
  <c r="D11" i="28"/>
  <c r="D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24" i="26" s="1"/>
  <c r="O24" i="26" s="1"/>
  <c r="P24" i="26" s="1"/>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<sst xmlns="http://schemas.openxmlformats.org/spreadsheetml/2006/main" count="35267" uniqueCount="4365">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</sst>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3806</v>
      </c>
      <c r="C1" s="349">
        <v>45516</v>
      </c>
      <c r="G1" s="350" t="s">
        <v>3761</v>
      </c>
      <c r="H1" s="350" t="s">
        <v>3762</v>
      </c>
    </row>
    <row r="2" spans="1:8" x14ac:dyDescent="0.75">
      <c r="B2" t="str">
        <f>_xlfn.XLOOKUP(B1,H:H,G:G,0,0,1)</f>
        <v>MI</v>
      </c>
      <c r="C2" t="str">
        <f>_xlfn.XLOOKUP(B2,G:G, H:H, 0,0,1)</f>
        <v>Michigan</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Michigan.</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153%.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-16%.</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Michigan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PV:**Michigan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Wind:**Michigan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Michigan.</v>
      </c>
      <c r="L9" s="291" t="str">
        <f>J9&amp;K9</f>
        <v>**Description:** This policy prevents new capacity of the selected type(s) from being built or deployed.  // **Guidance for setting values:**No new coal is planned in Michigan.</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290"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Michigan</v>
      </c>
      <c r="B3" s="388">
        <f>ROUND(SUMIFS(B$4:B$54, $A$4:$A$54, $A$3),0)</f>
        <v>115274</v>
      </c>
      <c r="C3" s="389">
        <f t="shared" ref="C3" si="0">ROUND(SUMIFS(C$4:C$54, $A$4:$A$54, $A$3),0)</f>
        <v>115</v>
      </c>
      <c r="D3" s="388">
        <f>SUMIFS(D$4:D$54, $A$4:$A$54, $A$3)</f>
        <v>6305172</v>
      </c>
      <c r="E3" s="388">
        <f>SUMIFS(E$4:E$54, $A$4:$A$54, $A$3)</f>
        <v>5282203.9999999907</v>
      </c>
      <c r="F3" s="390">
        <f>ROUND(SUMIFS(F$4:F$54,$A$4:$A$54,$A$3)*100,0)</f>
        <v>-16</v>
      </c>
      <c r="G3" s="174">
        <f>SUMIFS(G$4:G$54, $A$4:$A$54, $A$3)</f>
        <v>5249898</v>
      </c>
      <c r="H3" s="174">
        <f>SUMIFS(H$4:H$54, $A$4:$A$54, $A$3)</f>
        <v>13267728</v>
      </c>
      <c r="I3" s="390">
        <f>ROUND(SUMIFS(I$4:I$54,$A$4:$A$54,$A$3)*100,0)</f>
        <v>153</v>
      </c>
      <c r="J3" s="390">
        <f>ROUND(SUMIFS(J$4:J$54, $A$4:$A$54, $A$3),0)</f>
        <v>9694</v>
      </c>
      <c r="K3" s="174">
        <f t="shared" ref="K3:AI3" si="1">ROUND(SUMIFS(K$4:K$54, $A$4:$A$54, $A$3),0)</f>
        <v>3528</v>
      </c>
      <c r="L3" s="390">
        <f t="shared" si="1"/>
        <v>4636</v>
      </c>
      <c r="M3" s="174">
        <f t="shared" si="1"/>
        <v>4600</v>
      </c>
      <c r="N3" s="174">
        <f t="shared" si="1"/>
        <v>1200</v>
      </c>
      <c r="O3" s="174">
        <f t="shared" si="1"/>
        <v>0</v>
      </c>
      <c r="P3" s="174">
        <f t="shared" si="1"/>
        <v>0</v>
      </c>
      <c r="Q3" s="174">
        <f t="shared" si="1"/>
        <v>0</v>
      </c>
      <c r="R3" s="174">
        <f t="shared" si="1"/>
        <v>0</v>
      </c>
      <c r="S3" s="390">
        <f t="shared" si="1"/>
        <v>0</v>
      </c>
      <c r="T3" s="174">
        <f t="shared" si="1"/>
        <v>8585</v>
      </c>
      <c r="U3" s="174">
        <f t="shared" si="1"/>
        <v>4401</v>
      </c>
      <c r="V3" s="174">
        <f t="shared" si="1"/>
        <v>4090</v>
      </c>
      <c r="W3" s="174">
        <f t="shared" si="1"/>
        <v>272</v>
      </c>
      <c r="X3" s="174">
        <f t="shared" si="1"/>
        <v>2186</v>
      </c>
      <c r="Y3" s="174">
        <f t="shared" si="1"/>
        <v>101</v>
      </c>
      <c r="Z3" s="174">
        <f t="shared" si="1"/>
        <v>0</v>
      </c>
      <c r="AA3" s="174">
        <f t="shared" si="1"/>
        <v>329</v>
      </c>
      <c r="AB3" s="174">
        <f t="shared" si="1"/>
        <v>0</v>
      </c>
      <c r="AC3" s="174">
        <f t="shared" si="1"/>
        <v>447</v>
      </c>
      <c r="AD3" s="174">
        <f t="shared" si="1"/>
        <v>6079</v>
      </c>
      <c r="AE3" s="174">
        <f t="shared" si="1"/>
        <v>0</v>
      </c>
      <c r="AF3" s="174">
        <f t="shared" si="1"/>
        <v>0</v>
      </c>
      <c r="AG3" s="174">
        <f t="shared" si="1"/>
        <v>0</v>
      </c>
      <c r="AH3" s="174">
        <f t="shared" si="1"/>
        <v>0</v>
      </c>
      <c r="AI3" s="390">
        <f t="shared" si="1"/>
        <v>0</v>
      </c>
      <c r="AJ3" s="174">
        <f>ROUND(SUMIFS(AJ$4:AJ$54,$A$4:$A$54,$A$3)*100,0)</f>
        <v>46</v>
      </c>
      <c r="AK3" s="174">
        <f t="shared" ref="AK3:AL3" si="2">ROUND(SUMIFS(AK$4:AK$54,$A$4:$A$54,$A$3)*100,0)</f>
        <v>46</v>
      </c>
      <c r="AL3" s="174">
        <f t="shared" si="2"/>
        <v>46</v>
      </c>
      <c r="AM3" s="174">
        <f>SUMIFS(AM$4:AM$54, $A$4:$A$54, $A$3)</f>
        <v>1</v>
      </c>
      <c r="AN3" s="174">
        <f t="shared" ref="AN3:AQ3" si="3">SUMIFS(AN$4:AN$54, $A$4:$A$54, $A$3)</f>
        <v>0</v>
      </c>
      <c r="AO3" s="390">
        <f t="shared" si="3"/>
        <v>0</v>
      </c>
      <c r="AP3" s="390">
        <f t="shared" si="3"/>
        <v>1642</v>
      </c>
      <c r="AQ3" s="390">
        <f t="shared" si="3"/>
        <v>10041241</v>
      </c>
      <c r="AR3" s="390">
        <f>ROUND(SUMIFS(AR$4:AR$54,$A$4:$A$54,$A$3),2)</f>
        <v>16.350000000000001</v>
      </c>
      <c r="AS3" s="174">
        <f>SUMIFS(AS$4:AS$54, $A$4:$A$54, $A$3)</f>
        <v>29244530000000</v>
      </c>
      <c r="AT3" s="174">
        <f t="shared" ref="AT3:BH3" si="4">SUMIFS(AT$4:AT$54, $A$4:$A$54, $A$3)</f>
        <v>0</v>
      </c>
      <c r="AU3" s="174">
        <f t="shared" si="4"/>
        <v>0</v>
      </c>
      <c r="AV3" s="174">
        <f t="shared" si="4"/>
        <v>0</v>
      </c>
      <c r="AW3" s="174">
        <f t="shared" si="4"/>
        <v>78537344294286.594</v>
      </c>
      <c r="AX3" s="174">
        <f t="shared" si="4"/>
        <v>0</v>
      </c>
      <c r="AY3" s="174">
        <f t="shared" si="4"/>
        <v>0</v>
      </c>
      <c r="AZ3" s="174">
        <f t="shared" si="4"/>
        <v>1573276184134.46</v>
      </c>
      <c r="BA3" s="174">
        <f t="shared" si="4"/>
        <v>30990681650879.602</v>
      </c>
      <c r="BB3" s="174">
        <f t="shared" si="4"/>
        <v>0</v>
      </c>
      <c r="BC3" s="174">
        <f t="shared" si="4"/>
        <v>3643139910450</v>
      </c>
      <c r="BD3" s="174">
        <f t="shared" si="4"/>
        <v>20473853200021.5</v>
      </c>
      <c r="BE3" s="174">
        <f t="shared" si="4"/>
        <v>82734726407729.203</v>
      </c>
      <c r="BF3" s="174">
        <f t="shared" si="4"/>
        <v>90787100551014.406</v>
      </c>
      <c r="BG3" s="174">
        <f t="shared" si="4"/>
        <v>86289597413201.094</v>
      </c>
      <c r="BH3" s="174">
        <f t="shared" si="4"/>
        <v>171089015928062</v>
      </c>
      <c r="BI3" s="174">
        <f>ROUND(SUMIFS(BI$4:BI$54,$A$4:$A$54,$A$3),2)</f>
        <v>94.37</v>
      </c>
      <c r="BJ3" s="174">
        <f t="shared" ref="BJ3:BP3" si="5">ROUND(SUMIFS(BJ$4:BJ$54,$A$4:$A$54,$A$3),2)</f>
        <v>0</v>
      </c>
      <c r="BK3" s="174">
        <f t="shared" si="5"/>
        <v>0</v>
      </c>
      <c r="BL3" s="174">
        <f t="shared" si="5"/>
        <v>0</v>
      </c>
      <c r="BM3" s="174">
        <f t="shared" si="5"/>
        <v>94.93</v>
      </c>
      <c r="BN3" s="174">
        <f t="shared" si="5"/>
        <v>0</v>
      </c>
      <c r="BO3" s="174">
        <f t="shared" si="5"/>
        <v>0</v>
      </c>
      <c r="BP3" s="390">
        <f t="shared" si="5"/>
        <v>0.92</v>
      </c>
      <c r="BQ3" s="390">
        <f t="shared" ref="BQ3:BR3" si="6">ROUND(SUMIFS(BQ$4:BQ$54,$A$4:$A$54,$A$3)*100,0)</f>
        <v>3</v>
      </c>
      <c r="BR3" s="390">
        <f t="shared" si="6"/>
        <v>3</v>
      </c>
      <c r="BS3" s="390">
        <f>ROUND(SUMIFS(BS$4:BS$54,$A$4:$A$54,$A$3)*100,0)</f>
        <v>36</v>
      </c>
      <c r="BT3" s="390">
        <f>ROUND(SUMIFS(BT$4:BT$54,$A$4:$A$54,$A$3)*100,0)</f>
        <v>33</v>
      </c>
      <c r="BU3" s="390">
        <f t="shared" ref="BU3:CH3" si="7">ROUND(SUMIFS(BU$4:BU$54,$A$4:$A$54,$A$3)*100,0)</f>
        <v>62</v>
      </c>
      <c r="BV3" s="390">
        <f t="shared" si="7"/>
        <v>73</v>
      </c>
      <c r="BW3" s="390">
        <f t="shared" si="7"/>
        <v>7</v>
      </c>
      <c r="BX3" s="390">
        <f t="shared" si="7"/>
        <v>10</v>
      </c>
      <c r="BY3" s="390">
        <f t="shared" si="7"/>
        <v>30</v>
      </c>
      <c r="BZ3" s="390">
        <f>ROUND(SUMIFS(BZ$4:BZ$54,$A$4:$A$54,$A$3)*100,0)</f>
        <v>32</v>
      </c>
      <c r="CA3" s="390">
        <f>ROUND(SUMIFS(CA$4:CA$54,$A$4:$A$54,$A$3)*100,0)</f>
        <v>100</v>
      </c>
      <c r="CB3" s="390">
        <f>ROUND(SUMIFS(CB$4:CB$54,$A$4:$A$54,$A$3)*100,0)</f>
        <v>100</v>
      </c>
      <c r="CC3" s="390">
        <f t="shared" si="7"/>
        <v>7</v>
      </c>
      <c r="CD3" s="390">
        <f t="shared" si="7"/>
        <v>10</v>
      </c>
      <c r="CE3" s="390">
        <f t="shared" si="7"/>
        <v>30</v>
      </c>
      <c r="CF3" s="390">
        <f t="shared" si="7"/>
        <v>31</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Michigan.</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Michigan.</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Michigan.</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Michigan.</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Michigan.</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Michigan.</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Michigan.</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Michigan.</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Michigan.</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Michigan.</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Michigan.</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Michigan.</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Michigan.</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Michigan.</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Michigan.</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Michigan.</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Michigan.</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Michigan.</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Michigan.</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Michigan.</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Michigan.</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Michigan.</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Michigan.</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Michigan.</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201</v>
      </c>
      <c r="H24" t="s">
        <v>4035</v>
      </c>
      <c r="I24" s="408">
        <v>2030</v>
      </c>
      <c r="J24" s="408">
        <f t="shared" si="0"/>
        <v>96.47999999999999</v>
      </c>
      <c r="K24" s="408">
        <f t="shared" si="1"/>
        <v>96.47999999999999</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ht="44.25" x14ac:dyDescent="0.75">
      <c r="A3" s="1" t="s">
        <v>3572</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MI</v>
      </c>
      <c r="C1" s="415">
        <f>SUM(C4:C87)</f>
        <v>188.70935535723865</v>
      </c>
      <c r="D1" s="415">
        <f t="shared" ref="D1:AG1" si="0">SUM(D4:D87)</f>
        <v>188.10711823005624</v>
      </c>
      <c r="E1" s="415">
        <f t="shared" si="0"/>
        <v>188.48257081191133</v>
      </c>
      <c r="F1" s="415">
        <f t="shared" si="0"/>
        <v>189.02287502190637</v>
      </c>
      <c r="G1" s="415">
        <f t="shared" si="0"/>
        <v>193.86781238853919</v>
      </c>
      <c r="H1" s="415">
        <f t="shared" si="0"/>
        <v>197.49770797516447</v>
      </c>
      <c r="I1" s="415">
        <f t="shared" si="0"/>
        <v>203.33735427267843</v>
      </c>
      <c r="J1" s="415">
        <f t="shared" si="0"/>
        <v>200.96434625233786</v>
      </c>
      <c r="K1" s="415">
        <f t="shared" si="0"/>
        <v>199.78659900391804</v>
      </c>
      <c r="L1" s="415">
        <f t="shared" si="0"/>
        <v>205.02425262015058</v>
      </c>
      <c r="M1" s="415">
        <f t="shared" si="0"/>
        <v>203.69595466614982</v>
      </c>
      <c r="N1" s="415">
        <f t="shared" si="0"/>
        <v>199.61980540759907</v>
      </c>
      <c r="O1" s="415">
        <f t="shared" si="0"/>
        <v>200.33557424794404</v>
      </c>
      <c r="P1" s="415">
        <f t="shared" si="0"/>
        <v>198.33952675571697</v>
      </c>
      <c r="Q1" s="415">
        <f t="shared" si="0"/>
        <v>199.98301439273399</v>
      </c>
      <c r="R1" s="415">
        <f t="shared" si="0"/>
        <v>201.0139762518852</v>
      </c>
      <c r="S1" s="415">
        <f t="shared" si="0"/>
        <v>189.25221715161729</v>
      </c>
      <c r="T1" s="415">
        <f t="shared" si="0"/>
        <v>191.58206893308738</v>
      </c>
      <c r="U1" s="415">
        <f t="shared" si="0"/>
        <v>184.65219005767395</v>
      </c>
      <c r="V1" s="415">
        <f t="shared" si="0"/>
        <v>172.68283924132814</v>
      </c>
      <c r="W1" s="415">
        <f t="shared" si="0"/>
        <v>182.37515727509182</v>
      </c>
      <c r="X1" s="415">
        <f t="shared" si="0"/>
        <v>177.2687691441493</v>
      </c>
      <c r="Y1" s="415">
        <f t="shared" si="0"/>
        <v>169.89981624940387</v>
      </c>
      <c r="Z1" s="415">
        <f t="shared" si="0"/>
        <v>177.39616479213169</v>
      </c>
      <c r="AA1" s="415">
        <f t="shared" si="0"/>
        <v>176.9160118102134</v>
      </c>
      <c r="AB1" s="415">
        <f t="shared" si="0"/>
        <v>176.61250112113467</v>
      </c>
      <c r="AC1" s="415">
        <f t="shared" si="0"/>
        <v>167.39576727584347</v>
      </c>
      <c r="AD1" s="415">
        <f t="shared" si="0"/>
        <v>165.45278645894118</v>
      </c>
      <c r="AE1" s="415">
        <f t="shared" si="0"/>
        <v>172.03246854207413</v>
      </c>
      <c r="AF1" s="415">
        <f t="shared" si="0"/>
        <v>167.17772903592268</v>
      </c>
      <c r="AG1" s="415">
        <f t="shared" si="0"/>
        <v>145.21904783464484</v>
      </c>
      <c r="AH1" s="415">
        <f>SUM(AH4:AH87)</f>
        <v>155.85395000855854</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75">
      <c r="A5" s="419" t="s">
        <v>2220</v>
      </c>
      <c r="B5" s="392" t="s">
        <v>4122</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75">
      <c r="A6" s="419" t="s">
        <v>2220</v>
      </c>
      <c r="B6" s="392" t="s">
        <v>4126</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75">
      <c r="A7" s="419" t="s">
        <v>2220</v>
      </c>
      <c r="B7" s="392" t="s">
        <v>4128</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75">
      <c r="A8" s="419" t="s">
        <v>2220</v>
      </c>
      <c r="B8" s="392" t="s">
        <v>4130</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75">
      <c r="A9" s="419" t="s">
        <v>2220</v>
      </c>
      <c r="B9" s="392" t="s">
        <v>4140</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75">
      <c r="A10" s="419" t="s">
        <v>2220</v>
      </c>
      <c r="B10" s="392" t="s">
        <v>4149</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75">
      <c r="A11" s="419" t="s">
        <v>2220</v>
      </c>
      <c r="B11" s="392" t="s">
        <v>4144</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75">
      <c r="A12" s="419" t="s">
        <v>2220</v>
      </c>
      <c r="B12" s="392" t="s">
        <v>4155</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75">
      <c r="A13" s="419" t="s">
        <v>2220</v>
      </c>
      <c r="B13" s="392" t="s">
        <v>4159</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75">
      <c r="A14" s="419" t="s">
        <v>2220</v>
      </c>
      <c r="B14" s="392" t="s">
        <v>4177</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75">
      <c r="A17" s="419" t="s">
        <v>2220</v>
      </c>
      <c r="B17" s="392" t="s">
        <v>4157</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75">
      <c r="A21" s="419" t="s">
        <v>2220</v>
      </c>
      <c r="B21" s="392" t="s">
        <v>4169</v>
      </c>
      <c r="C21" s="420">
        <f>SUMIFS('EPA Export Aggregation'!F:F,'EPA Export Aggregation'!$A:$A,$B21,'EPA Export Aggregation'!$D:$D,$A$1)*IF($A21="CH4",About!$D$58,IF($A21="N2O",About!$D$59,1))</f>
        <v>0.23989587222219999</v>
      </c>
      <c r="D21" s="420">
        <f>SUMIFS('EPA Export Aggregation'!G:G,'EPA Export Aggregation'!$A:$A,$B21,'EPA Export Aggregation'!$D:$D,$A$1)*IF($A21="CH4",About!$D$58,IF($A21="N2O",About!$D$59,1))</f>
        <v>0.2028534972222</v>
      </c>
      <c r="E21" s="420">
        <f>SUMIFS('EPA Export Aggregation'!H:H,'EPA Export Aggregation'!$A:$A,$B21,'EPA Export Aggregation'!$D:$D,$A$1)*IF($A21="CH4",About!$D$58,IF($A21="N2O",About!$D$59,1))</f>
        <v>0.20751087222219999</v>
      </c>
      <c r="F21" s="420">
        <f>SUMIFS('EPA Export Aggregation'!I:I,'EPA Export Aggregation'!$A:$A,$B21,'EPA Export Aggregation'!$D:$D,$A$1)*IF($A21="CH4",About!$D$58,IF($A21="N2O",About!$D$59,1))</f>
        <v>0.19869341388889999</v>
      </c>
      <c r="G21" s="420">
        <f>SUMIFS('EPA Export Aggregation'!J:J,'EPA Export Aggregation'!$A:$A,$B21,'EPA Export Aggregation'!$D:$D,$A$1)*IF($A21="CH4",About!$D$58,IF($A21="N2O",About!$D$59,1))</f>
        <v>0.1869033904762</v>
      </c>
      <c r="H21" s="420">
        <f>SUMIFS('EPA Export Aggregation'!K:K,'EPA Export Aggregation'!$A:$A,$B21,'EPA Export Aggregation'!$D:$D,$A$1)*IF($A21="CH4",About!$D$58,IF($A21="N2O",About!$D$59,1))</f>
        <v>0.18908196190480001</v>
      </c>
      <c r="I21" s="420">
        <f>SUMIFS('EPA Export Aggregation'!L:L,'EPA Export Aggregation'!$A:$A,$B21,'EPA Export Aggregation'!$D:$D,$A$1)*IF($A21="CH4",About!$D$58,IF($A21="N2O",About!$D$59,1))</f>
        <v>0.20297481904760001</v>
      </c>
      <c r="J21" s="420">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75">
      <c r="A30" s="419" t="s">
        <v>2220</v>
      </c>
      <c r="B30" s="392" t="s">
        <v>4190</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420">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420">
        <f>SUMIFS('EPA Export Aggregation'!R:R,'EPA Export Aggregation'!$A:$A,$B33,'EPA Export Aggregation'!$D:$D,$A$1)*IF($A33="CH4",About!$D$58,IF($A33="N2O",About!$D$59,1))</f>
        <v>0</v>
      </c>
      <c r="P33" s="420">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420">
        <f>SUMIFS('EPA Export Aggregation'!U:U,'EPA Export Aggregation'!$A:$A,$B33,'EPA Export Aggregation'!$D:$D,$A$1)*IF($A33="CH4",About!$D$58,IF($A33="N2O",About!$D$59,1))</f>
        <v>6.0901280287699998E-2</v>
      </c>
      <c r="S33" s="420">
        <f>SUMIFS('EPA Export Aggregation'!V:V,'EPA Export Aggregation'!$A:$A,$B33,'EPA Export Aggregation'!$D:$D,$A$1)*IF($A33="CH4",About!$D$58,IF($A33="N2O",About!$D$59,1))</f>
        <v>5.31918058734E-2</v>
      </c>
      <c r="T33" s="420">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420">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420">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420">
        <f>SUMIFS('EPA Export Aggregation'!AD:AD,'EPA Export Aggregation'!$A:$A,$B33,'EPA Export Aggregation'!$D:$D,$A$1)*IF($A33="CH4",About!$D$58,IF($A33="N2O",About!$D$59,1))</f>
        <v>0.34895107330019998</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0.34917185299679998</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2.5601576945199999E-2</v>
      </c>
      <c r="AH33" s="420">
        <f>SUMIFS('EPA Export Aggregation'!AK:AK,'EPA Export Aggregation'!$A:$A,$B33,'EPA Export Aggregation'!$D:$D,$A$1)*IF($A33="CH4",About!$D$58,IF($A33="N2O",About!$D$59,1))</f>
        <v>2.6756871925200001E-2</v>
      </c>
    </row>
    <row r="34" spans="1:34" x14ac:dyDescent="0.75">
      <c r="A34" s="419" t="s">
        <v>2220</v>
      </c>
      <c r="B34" s="392" t="s">
        <v>4161</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2024-08-12T23:21:11Z</dcterms:modified>
</cp:coreProperties>
</file>