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952730B5-5B7B-4AB7-9516-2164CEF73CF8}" xr6:coauthVersionLast="46" xr6:coauthVersionMax="46" xr10:uidLastSave="{00000000-0000-0000-0000-000000000000}"/>
  <bookViews>
    <workbookView xWindow="3630" yWindow="495" windowWidth="24585" windowHeight="16365" activeTab="4"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139" i="5"/>
  <c r="K7" i="10"/>
  <c r="P140" i="5"/>
  <c r="P126" i="5"/>
  <c r="B673" i="5"/>
  <c r="B669" i="5"/>
  <c r="B670" i="5"/>
  <c r="B672" i="5"/>
  <c r="B671" i="5"/>
  <c r="B668" i="5"/>
  <c r="P240" i="5"/>
  <c r="P204" i="5"/>
  <c r="E11" i="10"/>
  <c r="D11" i="10"/>
  <c r="P62" i="5"/>
  <c r="B10" i="10"/>
  <c r="H10" i="10" s="1"/>
  <c r="B11" i="10"/>
  <c r="H11" i="10" s="1"/>
  <c r="I3" i="10"/>
  <c r="P207" i="5" l="1"/>
  <c r="P211" i="5"/>
  <c r="P215" i="5"/>
  <c r="P213" i="5"/>
  <c r="P209" i="5"/>
  <c r="P208"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<sst xmlns="http://schemas.openxmlformats.org/spreadsheetml/2006/main" count="18388" uniqueCount="2197">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</sst>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2" sqref="J2"/>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4.9531170055089788</v>
      </c>
      <c r="C3" s="74">
        <f>E28</f>
        <v>3.6472799999999999</v>
      </c>
      <c r="D3" s="75">
        <v>0.55000000000000004</v>
      </c>
      <c r="E3" s="75">
        <v>0.4</v>
      </c>
      <c r="F3" s="117">
        <f t="shared" ref="F3:G9" si="0">$C3*(1-D3)</f>
        <v>1.6412759999999997</v>
      </c>
      <c r="G3" s="117">
        <f t="shared" si="0"/>
        <v>2.1883679999999996</v>
      </c>
      <c r="H3" s="69"/>
      <c r="I3" s="76">
        <f t="shared" ref="I3:I11" si="1">1-F3/$B3</f>
        <v>0.66863774908314655</v>
      </c>
      <c r="J3" s="76">
        <f>1-G3/$B3</f>
        <v>0.5581836654441954</v>
      </c>
      <c r="K3" s="69" t="str">
        <f t="shared" ref="K3:K11" si="2">"In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5">
      <c r="A4" s="73" t="s">
        <v>1028</v>
      </c>
      <c r="B4" s="116">
        <f>'State 2005 Data'!J6</f>
        <v>32.660987663503803</v>
      </c>
      <c r="C4" s="74">
        <f>G28</f>
        <v>12.6975</v>
      </c>
      <c r="D4" s="75">
        <v>0.89</v>
      </c>
      <c r="E4" s="75">
        <v>0.66</v>
      </c>
      <c r="F4" s="117">
        <f t="shared" si="0"/>
        <v>1.3967249999999998</v>
      </c>
      <c r="G4" s="117">
        <f t="shared" si="0"/>
        <v>4.3171499999999998</v>
      </c>
      <c r="H4" s="69"/>
      <c r="I4" s="76">
        <f t="shared" si="1"/>
        <v>0.95723567779425311</v>
      </c>
      <c r="J4" s="76">
        <f t="shared" ref="J4:J11" si="3">1-G4/$B4</f>
        <v>0.86781936772769153</v>
      </c>
      <c r="K4" s="69" t="str">
        <f t="shared" si="2"/>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1859</v>
      </c>
      <c r="B5" s="116">
        <f>'State 2005 Data'!J7</f>
        <v>19.123861321281314</v>
      </c>
      <c r="C5" s="118">
        <f>H28</f>
        <v>26.9559</v>
      </c>
      <c r="D5" s="75">
        <v>0.41</v>
      </c>
      <c r="E5" s="75">
        <v>0.33</v>
      </c>
      <c r="F5" s="117">
        <f t="shared" si="0"/>
        <v>15.903981000000002</v>
      </c>
      <c r="G5" s="117">
        <f t="shared" si="0"/>
        <v>18.060452999999999</v>
      </c>
      <c r="H5" s="69"/>
      <c r="I5" s="76">
        <f>1-F5/$B5</f>
        <v>0.16836977988844659</v>
      </c>
      <c r="J5" s="76">
        <f t="shared" si="3"/>
        <v>5.5606360212303918E-2</v>
      </c>
      <c r="K5" s="69" t="str">
        <f t="shared" si="2"/>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5">
      <c r="A6" s="73" t="s">
        <v>1860</v>
      </c>
      <c r="B6" s="116">
        <f>'State 2005 Data'!J8</f>
        <v>16.307886959943442</v>
      </c>
      <c r="C6" s="118">
        <f>F28</f>
        <v>14.0167</v>
      </c>
      <c r="D6" s="75">
        <v>0.48</v>
      </c>
      <c r="E6" s="75">
        <v>0.27</v>
      </c>
      <c r="F6" s="117">
        <f>$C6*(1-D6)</f>
        <v>7.2886839999999999</v>
      </c>
      <c r="G6" s="117">
        <f t="shared" si="0"/>
        <v>10.232191</v>
      </c>
      <c r="H6" s="69"/>
      <c r="I6" s="76">
        <f t="shared" si="1"/>
        <v>0.55305773102898192</v>
      </c>
      <c r="J6" s="76">
        <f t="shared" si="3"/>
        <v>0.37256181471376304</v>
      </c>
      <c r="K6" s="69" t="str">
        <f t="shared" si="2"/>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5">
      <c r="A7" s="73" t="s">
        <v>775</v>
      </c>
      <c r="B7" s="116">
        <f>'State 2005 Data'!J9</f>
        <v>7.3467290162071146</v>
      </c>
      <c r="C7" s="118">
        <f>D28</f>
        <v>7.6132600000000004</v>
      </c>
      <c r="D7" s="75">
        <v>0.06</v>
      </c>
      <c r="E7" s="75">
        <v>0.02</v>
      </c>
      <c r="F7" s="117">
        <f t="shared" si="0"/>
        <v>7.1564643999999999</v>
      </c>
      <c r="G7" s="117">
        <f t="shared" si="0"/>
        <v>7.4609947999999999</v>
      </c>
      <c r="H7" s="69"/>
      <c r="I7" s="76">
        <f t="shared" si="1"/>
        <v>2.5897867716011436E-2</v>
      </c>
      <c r="J7" s="76">
        <f t="shared" si="3"/>
        <v>-1.5553286849264714E-2</v>
      </c>
      <c r="K7" s="69" t="str">
        <f t="shared" si="2"/>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1.5819243221093799</v>
      </c>
      <c r="C9" s="118">
        <f>C28</f>
        <v>1.59965</v>
      </c>
      <c r="D9" s="75">
        <v>0.06</v>
      </c>
      <c r="E9" s="75">
        <v>0.02</v>
      </c>
      <c r="F9" s="117">
        <f t="shared" si="0"/>
        <v>1.503671</v>
      </c>
      <c r="G9" s="117">
        <f t="shared" si="0"/>
        <v>1.5676570000000001</v>
      </c>
      <c r="H9" s="69"/>
      <c r="I9" s="76">
        <f t="shared" si="1"/>
        <v>4.9467171732358817E-2</v>
      </c>
      <c r="J9" s="76">
        <f t="shared" si="3"/>
        <v>9.0189662741612109E-3</v>
      </c>
      <c r="K9" s="69" t="str">
        <f t="shared" si="2"/>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5">
      <c r="A10" s="73" t="s">
        <v>1865</v>
      </c>
      <c r="B10" s="119">
        <f>SUM(B3:B9)</f>
        <v>75.53614628855405</v>
      </c>
      <c r="C10" s="119">
        <f>SUM(C3:C9)</f>
        <v>60.091929999999991</v>
      </c>
      <c r="D10" s="76">
        <f>1-F10/$C10</f>
        <v>0.52651809652311032</v>
      </c>
      <c r="E10" s="76">
        <f>1-G10/$C10</f>
        <v>0.37781239843686165</v>
      </c>
      <c r="F10" s="117">
        <f>SUM(F3:F9)</f>
        <v>28.452441400000005</v>
      </c>
      <c r="G10" s="117">
        <f>SUM(G3:G9)</f>
        <v>37.388453799999994</v>
      </c>
      <c r="H10" s="171">
        <f>IFERROR(B10*(1-'Unique State Inputs'!A$8),"")</f>
        <v>41.544880458704732</v>
      </c>
      <c r="I10" s="76">
        <f t="shared" si="1"/>
        <v>0.6233268071247714</v>
      </c>
      <c r="J10" s="76">
        <f t="shared" si="3"/>
        <v>0.50502566470397969</v>
      </c>
      <c r="K10" s="69" t="str">
        <f t="shared" si="2"/>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5">
      <c r="A11" s="73" t="s">
        <v>1867</v>
      </c>
      <c r="B11" s="119">
        <f>SUM(B3:B9)-B8</f>
        <v>81.974506288554053</v>
      </c>
      <c r="C11" s="119">
        <f>SUM(C3:C9)-C8</f>
        <v>66.530289999999994</v>
      </c>
      <c r="D11" s="76">
        <f>1-F11/$C11</f>
        <v>0.47556516888773503</v>
      </c>
      <c r="E11" s="76">
        <f>1-G11/$C11</f>
        <v>0.34125022151564344</v>
      </c>
      <c r="F11" s="117">
        <f>F10-F8</f>
        <v>34.890801400000008</v>
      </c>
      <c r="G11" s="117">
        <f>G10-G8</f>
        <v>43.826813799999996</v>
      </c>
      <c r="H11" s="171">
        <f>IFERROR(B11*(1-'Unique State Inputs'!A$8),"")</f>
        <v>45.08597845870473</v>
      </c>
      <c r="I11" s="76">
        <f t="shared" si="1"/>
        <v>0.57437009407311623</v>
      </c>
      <c r="J11" s="76">
        <f t="shared" si="3"/>
        <v>0.46536044211443517</v>
      </c>
      <c r="K11" s="69" t="str">
        <f t="shared" si="2"/>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2"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abSelected="1" topLeftCell="O1" zoomScale="85" zoomScaleNormal="85" workbookViewId="0">
      <pane ySplit="1" topLeftCell="A2" activePane="bottomLeft" state="frozen"/>
      <selection pane="bottomLeft" activeCell="P2" sqref="P2"/>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59" t="str">
        <f t="shared" si="40"/>
        <v>buildings-sector-main.html#component-elec</v>
      </c>
      <c r="R140" s="259" t="str">
        <f t="shared" si="40"/>
        <v>building-component-electrification.html</v>
      </c>
      <c r="S140" s="218"/>
      <c r="T140" s="217"/>
      <c r="U140" s="183" t="s">
        <v>143</v>
      </c>
    </row>
    <row r="141" spans="1:21" s="191" customFormat="1" ht="9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row>
    <row r="142" spans="1:21" s="191" customFormat="1" ht="9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9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9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9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9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9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9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9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9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9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9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9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9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9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9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9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9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row>
    <row r="225" spans="1:21" ht="45"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row>
    <row r="234" spans="1:21" ht="45"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60"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920" s="186"/>
      <c r="R920" s="193" t="s">
        <v>922</v>
      </c>
      <c r="S920" s="207" t="s">
        <v>446</v>
      </c>
      <c r="T920" s="186"/>
      <c r="U920" s="183" t="s">
        <v>149</v>
      </c>
    </row>
    <row r="921" spans="1:21" ht="60"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60"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60"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927" s="186"/>
      <c r="R927" s="191" t="str">
        <f t="shared" si="173"/>
        <v>reduce-fuel-exports.html</v>
      </c>
      <c r="S927" s="226" t="str">
        <f t="shared" si="170"/>
        <v>Calculated from model data; see the relevant variable(s) in the InputData folder for source information.</v>
      </c>
      <c r="T927" s="186"/>
      <c r="U927" s="183" t="s">
        <v>149</v>
      </c>
    </row>
    <row r="928" spans="1:21" ht="60"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333</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Mexico</v>
      </c>
      <c r="B6" s="145">
        <f>SUMIFS(B7:B57,$A7:$A57,$A$6)</f>
        <v>364</v>
      </c>
      <c r="C6" s="145">
        <f>SUMIFS(C7:C57,$A7:$A57,$A$6)</f>
        <v>2099134</v>
      </c>
      <c r="D6" s="145">
        <f>ROUND(SUMIFS(D7:D57,$A7:$A57,$A$6),2)</f>
        <v>17.34</v>
      </c>
      <c r="E6" s="145">
        <f t="shared" ref="E6:L6" si="0">SUMIFS(E7:E57,$A7:$A57,$A$6)</f>
        <v>0</v>
      </c>
      <c r="F6" s="145">
        <f t="shared" si="0"/>
        <v>0.20961953304417216</v>
      </c>
      <c r="G6" s="145">
        <f t="shared" si="0"/>
        <v>0.37566173732864705</v>
      </c>
      <c r="H6" s="145">
        <f t="shared" si="0"/>
        <v>0.73146646079537891</v>
      </c>
      <c r="I6" s="145">
        <f t="shared" si="0"/>
        <v>39073</v>
      </c>
      <c r="J6" s="145">
        <f t="shared" si="0"/>
        <v>13046937</v>
      </c>
      <c r="K6" s="145">
        <f t="shared" si="0"/>
        <v>4043</v>
      </c>
      <c r="L6" s="145">
        <f t="shared" si="0"/>
        <v>7071638</v>
      </c>
      <c r="M6" s="145">
        <f>ROUND(SUMIFS(M7:M57,$A7:$A57,$A$6)*100,0)</f>
        <v>-90</v>
      </c>
      <c r="N6" s="145">
        <f>ROUND(SUMIFS(N7:N57,$A7:$A57,$A$6)*100,0)</f>
        <v>-46</v>
      </c>
      <c r="O6" s="145">
        <f t="shared" ref="O6:AM6" si="1">ROUND(SUMIFS(O7:O57,$A7:$A57,$A$6),0)</f>
        <v>192</v>
      </c>
      <c r="P6" s="145">
        <f t="shared" si="1"/>
        <v>92</v>
      </c>
      <c r="Q6" s="145">
        <f t="shared" si="1"/>
        <v>2640</v>
      </c>
      <c r="R6" s="145">
        <f t="shared" si="1"/>
        <v>0</v>
      </c>
      <c r="S6" s="145">
        <f t="shared" si="1"/>
        <v>0</v>
      </c>
      <c r="T6" s="145">
        <f t="shared" si="1"/>
        <v>0</v>
      </c>
      <c r="U6" s="145">
        <f t="shared" si="1"/>
        <v>17</v>
      </c>
      <c r="V6" s="145">
        <f t="shared" si="1"/>
        <v>737</v>
      </c>
      <c r="W6" s="145">
        <f t="shared" si="1"/>
        <v>0</v>
      </c>
      <c r="X6" s="145">
        <f t="shared" si="1"/>
        <v>2640</v>
      </c>
      <c r="Y6" s="145">
        <f t="shared" si="1"/>
        <v>1416</v>
      </c>
      <c r="Z6" s="145">
        <f t="shared" si="1"/>
        <v>0</v>
      </c>
      <c r="AA6" s="145">
        <f t="shared" si="1"/>
        <v>83</v>
      </c>
      <c r="AB6" s="145">
        <f t="shared" si="1"/>
        <v>2034</v>
      </c>
      <c r="AC6" s="145">
        <f t="shared" si="1"/>
        <v>672</v>
      </c>
      <c r="AD6" s="145">
        <f t="shared" si="1"/>
        <v>0</v>
      </c>
      <c r="AE6" s="145">
        <f t="shared" si="1"/>
        <v>5</v>
      </c>
      <c r="AF6" s="145">
        <f t="shared" si="1"/>
        <v>9</v>
      </c>
      <c r="AG6" s="145">
        <f t="shared" si="1"/>
        <v>19</v>
      </c>
      <c r="AH6" s="145">
        <f t="shared" si="1"/>
        <v>1792</v>
      </c>
      <c r="AI6" s="145">
        <f t="shared" si="1"/>
        <v>0</v>
      </c>
      <c r="AJ6" s="145">
        <f t="shared" si="1"/>
        <v>0</v>
      </c>
      <c r="AK6" s="145">
        <f t="shared" si="1"/>
        <v>0</v>
      </c>
      <c r="AL6" s="145">
        <f t="shared" si="1"/>
        <v>0</v>
      </c>
      <c r="AM6" s="145">
        <f t="shared" si="1"/>
        <v>0</v>
      </c>
      <c r="AN6" s="145">
        <f>ROUND(SUMIFS(AN7:AN57,$A7:$A57,$A$6),)</f>
        <v>649</v>
      </c>
      <c r="AO6" s="145">
        <f t="shared" ref="AO6:AP6" si="2">ROUND(SUMIFS(AO7:AO57,$A7:$A57,$A$6),)</f>
        <v>8273</v>
      </c>
      <c r="AP6" s="145">
        <f t="shared" si="2"/>
        <v>254</v>
      </c>
      <c r="AQ6" s="145">
        <f>ROUND(SUMIFS(AQ7:AQ57,$A7:$A57,$A$6),0)</f>
        <v>78</v>
      </c>
      <c r="AR6" s="146">
        <f>SUMIFS(AR7:AR57,$A7:$A57,$A$6)</f>
        <v>0.31997526761216533</v>
      </c>
      <c r="AS6" s="145">
        <f>ROUND(SUMIFS(AS7:AS57,$A7:$A57,$A$6),0)</f>
        <v>68</v>
      </c>
      <c r="AT6" s="145">
        <f>ROUND(SUMIFS(AT7:AT57,$A7:$A57,$A$6),0)</f>
        <v>92</v>
      </c>
      <c r="AU6" s="145">
        <f>ROUND(SUMIFS(AU7:AU57,$A7:$A57,$A$6),0)</f>
        <v>284</v>
      </c>
      <c r="AV6" s="145">
        <f>ROUND(SUMIFS(AV7:AV57,$A7:$A57,$A$6)*100,0)</f>
        <v>20</v>
      </c>
      <c r="AW6" s="145">
        <f>ROUND(SUMIFS(AW7:AW57,$A7:$A57,$A$6)*100,0)</f>
        <v>36</v>
      </c>
      <c r="AX6" s="145">
        <f>ROUND(SUMIFS(AX7:AX57,$A7:$A57,$A$6)*100,0)</f>
        <v>70</v>
      </c>
      <c r="AY6" s="145">
        <f>SUMIFS(AY7:AY57,$A7:$A57,$A$6)</f>
        <v>1</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NM</v>
      </c>
      <c r="B63" s="155">
        <f>SUMIFS(B64:B72,$A$64:$A$72,$A$63)</f>
        <v>1569822951793760</v>
      </c>
      <c r="C63" s="155">
        <f t="shared" ref="C63:Y63" si="9">SUMIFS(C64:C72,$A$64:$A$72,$A$63)</f>
        <v>158850204000000</v>
      </c>
      <c r="D63" s="155">
        <f t="shared" si="9"/>
        <v>6265495785837.5</v>
      </c>
      <c r="E63" s="155">
        <f t="shared" si="9"/>
        <v>28083822007599.301</v>
      </c>
      <c r="F63" s="155">
        <f t="shared" si="9"/>
        <v>16910855262890.699</v>
      </c>
      <c r="G63" s="155">
        <f t="shared" si="9"/>
        <v>1514136560000000</v>
      </c>
      <c r="H63" s="155">
        <f t="shared" si="9"/>
        <v>0</v>
      </c>
      <c r="I63" s="155">
        <f t="shared" si="9"/>
        <v>0</v>
      </c>
      <c r="J63" s="155">
        <f t="shared" si="9"/>
        <v>1885631209000000</v>
      </c>
      <c r="K63" s="155">
        <f t="shared" si="9"/>
        <v>281991804000000</v>
      </c>
      <c r="L63" s="155">
        <f t="shared" si="9"/>
        <v>6265495785837.5</v>
      </c>
      <c r="M63" s="155">
        <f t="shared" si="9"/>
        <v>33324822007599.301</v>
      </c>
      <c r="N63" s="155">
        <f t="shared" si="9"/>
        <v>24260855262890.699</v>
      </c>
      <c r="O63" s="155">
        <f t="shared" si="9"/>
        <v>1795366560000000</v>
      </c>
      <c r="P63" s="155">
        <f t="shared" si="9"/>
        <v>106619620381533</v>
      </c>
      <c r="Q63" s="155">
        <f t="shared" si="9"/>
        <v>73976158075227.297</v>
      </c>
      <c r="R63" s="155">
        <f t="shared" si="9"/>
        <v>83.251854567377393</v>
      </c>
      <c r="S63" s="156">
        <f t="shared" si="9"/>
        <v>56.331496783502267</v>
      </c>
      <c r="T63" s="156">
        <f t="shared" si="9"/>
        <v>100</v>
      </c>
      <c r="U63" s="156">
        <f t="shared" si="9"/>
        <v>84.272984267388267</v>
      </c>
      <c r="V63" s="156">
        <f t="shared" si="9"/>
        <v>69.704283215264354</v>
      </c>
      <c r="W63" s="156">
        <f t="shared" si="9"/>
        <v>84.335789344321981</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NM</v>
      </c>
      <c r="D77" s="93">
        <v>2019</v>
      </c>
      <c r="E77" s="93">
        <v>2050</v>
      </c>
    </row>
    <row r="78" spans="1:40" ht="15.95" customHeight="1" x14ac:dyDescent="0.25">
      <c r="B78" s="93" t="s">
        <v>2058</v>
      </c>
      <c r="C78" s="93" t="s">
        <v>497</v>
      </c>
      <c r="D78" s="93" cm="1">
        <f t="array" ref="D78">ROUND(INDEX($B$95:$H$845,MATCH(1,($C78=$E$95:$E$845)*($B78=$F$95:$F$845)*($C$77=$B$95:$B$845),0),MATCH(D$77,$B$95:$H$95,0))*100,1)</f>
        <v>5.6</v>
      </c>
      <c r="E78" s="165" cm="1">
        <f t="array" ref="E78">ROUND(INDEX($B$95:$H$845,MATCH(1,($C78=$E$95:$E$845)*($B78=$F$95:$F$845)*($C$77=$B$95:$B$845),0),MATCH(E$77,$B$95:$H$95,0))*100,1)</f>
        <v>10</v>
      </c>
    </row>
    <row r="79" spans="1:40" ht="15.95" customHeight="1" x14ac:dyDescent="0.25">
      <c r="B79" s="165" t="s">
        <v>2058</v>
      </c>
      <c r="C79" s="93" t="s">
        <v>2057</v>
      </c>
      <c r="D79" s="165" cm="1">
        <f t="array" ref="D79">ROUND(INDEX($B$95:$H$845,MATCH(1,($C79=$E$95:$E$845)*($B79=$F$95:$F$845)*($C$77=$B$95:$B$845),0),MATCH(D$77,$B$95:$H$95,0))*100,1)</f>
        <v>60.3</v>
      </c>
      <c r="E79" s="165" cm="1">
        <f t="array" ref="E79">ROUND(INDEX($B$95:$H$845,MATCH(1,($C79=$E$95:$E$845)*($B79=$F$95:$F$845)*($C$77=$B$95:$B$845),0),MATCH(E$77,$B$95:$H$95,0))*100,1)</f>
        <v>65.3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5.6</v>
      </c>
      <c r="E81" s="165" cm="1">
        <f t="array" ref="E81">ROUND(INDEX($B$95:$H$845,MATCH(1,($C81=$E$95:$E$845)*($B81=$F$95:$F$845)*($C$77=$B$95:$B$845),0),MATCH(E$77,$B$95:$H$95,0))*100,1)</f>
        <v>10</v>
      </c>
    </row>
    <row r="82" spans="2:26" ht="15.95" customHeight="1" x14ac:dyDescent="0.25">
      <c r="B82" s="165" t="s">
        <v>2055</v>
      </c>
      <c r="C82" s="165" t="s">
        <v>2057</v>
      </c>
      <c r="D82" s="165" cm="1">
        <f t="array" ref="D82">ROUND(INDEX($B$95:$H$845,MATCH(1,($C82=$E$95:$E$845)*($B82=$F$95:$F$845)*($C$77=$B$95:$B$845),0),MATCH(D$77,$B$95:$H$95,0))*100,1)</f>
        <v>60.3</v>
      </c>
      <c r="E82" s="165" cm="1">
        <f t="array" ref="E82">ROUND(INDEX($B$95:$H$845,MATCH(1,($C82=$E$95:$E$845)*($B82=$F$95:$F$845)*($C$77=$B$95:$B$845),0),MATCH(E$77,$B$95:$H$95,0))*100,1)</f>
        <v>65.3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NM</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43.3</v>
      </c>
      <c r="E85" s="165" cm="1">
        <f t="array" ref="E85">ROUND(INDEX($B$95:$H$845,MATCH(1,($C85=$E$95:$E$845)*($B85=$F$95:$F$845)*($C$77=$B$95:$B$845),0),MATCH(E$77,$B$95:$H$95,0))*100,1)</f>
        <v>26.3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73</v>
      </c>
      <c r="E86" s="165" cm="1">
        <f t="array" ref="E86">ROUND(INDEX($B$95:$H$845,MATCH(1,($C86=$E$95:$E$845)*($B86=$F$95:$F$845)*($C$77=$B$95:$B$845),0),MATCH(E$77,$B$95:$H$95,0))*100,1)</f>
        <v>85.9</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5917083135189.4902</v>
      </c>
      <c r="N86" s="165" cm="1">
        <f t="array" ref="N86">INDEX($K$95:$Z$195,MATCH(1,($J86=$L$95:$L$195)*($J$83=$K$95:$K$195),0),MATCH(N$85,$K$95:$Z$95,0))</f>
        <v>26230690194106.5</v>
      </c>
      <c r="O86" s="165" cm="1">
        <f t="array" ref="O86">INDEX($K$95:$Z$195,MATCH(1,($J86=$L$95:$L$195)*($J$83=$K$95:$K$195),0),MATCH(O$85,$K$95:$Z$95,0))</f>
        <v>15561753902350.699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5917083135189.4902</v>
      </c>
      <c r="N87" s="165" cm="1">
        <f t="array" ref="N87">INDEX($K$95:$Z$195,MATCH(1,($J87=$L$95:$L$195)*($J$83=$K$95:$K$195),0),MATCH(N$85,$K$95:$Z$95,0))</f>
        <v>31471690194106.5</v>
      </c>
      <c r="O87" s="165" cm="1">
        <f t="array" ref="O87">INDEX($K$95:$Z$195,MATCH(1,($J87=$L$95:$L$195)*($J$83=$K$95:$K$195),0),MATCH(O$85,$K$95:$Z$95,0))</f>
        <v>22911753902350.699</v>
      </c>
      <c r="P87" s="165" cm="1">
        <f t="array" ref="P87">INDEX($K$95:$Z$195,MATCH(1,($J87=$L$95:$L$195)*($J$83=$K$95:$K$195),0),MATCH(P$85,$K$95:$Z$95,0))</f>
        <v>0</v>
      </c>
      <c r="Q87" s="165" cm="1">
        <f t="array" ref="Q87">INDEX($K$95:$Z$195,MATCH(1,($J87=$L$95:$L$195)*($J$83=$K$95:$K$195),0),MATCH(Q$85,$K$95:$Z$95,0))</f>
        <v>100690700178254</v>
      </c>
      <c r="R87" s="165" cm="1">
        <f t="array" ref="R87">INDEX($K$95:$Z$195,MATCH(1,($J87=$L$95:$L$195)*($J$83=$K$95:$K$195),0),MATCH(R$85,$K$95:$Z$95,0))</f>
        <v>69862480530665.602</v>
      </c>
    </row>
    <row r="88" spans="2:26" ht="15.95" customHeight="1" x14ac:dyDescent="0.25">
      <c r="J88" s="93" t="s">
        <v>2060</v>
      </c>
      <c r="K88" s="165">
        <f>IFERROR(K86/K87 *100,0)</f>
        <v>0</v>
      </c>
      <c r="L88" s="165">
        <f t="shared" ref="L88:R88" si="19">IFERROR(L86/L87 *100,0)</f>
        <v>0</v>
      </c>
      <c r="M88" s="165">
        <f t="shared" si="19"/>
        <v>100</v>
      </c>
      <c r="N88" s="273">
        <f>ROUND(IFERROR(N86/N87 *100,0),0)</f>
        <v>83</v>
      </c>
      <c r="O88" s="165">
        <f>ROUND(IFERROR(O86/O87 *100,0),0)</f>
        <v>68</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Mexico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Mexico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1.5819243221093799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2021-05-03T16:09:09Z</dcterms:modified>
</cp:coreProperties>
</file>