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telyn\Dropbox\OR EPS Input Data\OR EPS\OR InputData\elec\BGrBSC\"/>
    </mc:Choice>
  </mc:AlternateContent>
  <xr:revisionPtr revIDLastSave="0" documentId="13_ncr:1_{95036F3C-A621-44BE-B9B5-774961ABD22E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About" sheetId="1" r:id="rId1"/>
    <sheet name="BGrBSC" sheetId="3" r:id="rId2"/>
    <sheet name="OR calculations" sheetId="24" r:id="rId3"/>
    <sheet name="2018 and 2019" sheetId="23" state="hidden" r:id="rId4"/>
    <sheet name="2017 and earlier" sheetId="16" state="hidden" r:id="rId5"/>
    <sheet name="Time series 2020-2030" sheetId="22" state="hidden" r:id="rId6"/>
    <sheet name="Resolve output" sheetId="21" state="hidden" r:id="rId7"/>
    <sheet name="Scenarios - 2030 comparison" sheetId="20" state="hidden" r:id="rId8"/>
    <sheet name="Scenarios- graphical over time" sheetId="19" state="hidden" r:id="rId9"/>
  </sheets>
  <definedNames>
    <definedName name="__FDS_HYPERLINK_TOGGLE_STATE__" hidden="1">"ON"</definedName>
    <definedName name="_Order1" hidden="1">255</definedName>
    <definedName name="_Order2" hidden="1">255</definedName>
    <definedName name="CasesToCompare">#REF!</definedName>
    <definedName name="PVResultsComparisonTableHome">#REF!</definedName>
    <definedName name="ResultsComparisonTable">#REF!</definedName>
    <definedName name="ResultsComparisonTableHome">#REF!</definedName>
    <definedName name="ScenarioNameHeader">#REF!</definedName>
    <definedName name="ScenarioNameHome">#REF!</definedName>
    <definedName name="ScenariosWithResultsList2">#REF!</definedName>
    <definedName name="yea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2" i="3"/>
  <c r="E19" i="24"/>
  <c r="E20" i="24" s="1"/>
  <c r="E21" i="24" s="1"/>
  <c r="E22" i="24" s="1"/>
  <c r="E23" i="24" s="1"/>
  <c r="E24" i="24" s="1"/>
  <c r="E25" i="24" s="1"/>
  <c r="E26" i="24" s="1"/>
  <c r="E27" i="24" s="1"/>
  <c r="E28" i="24" s="1"/>
  <c r="E29" i="24" s="1"/>
  <c r="E30" i="24" s="1"/>
  <c r="E31" i="24" s="1"/>
  <c r="E32" i="24" s="1"/>
  <c r="E33" i="24" s="1"/>
  <c r="E34" i="24" s="1"/>
  <c r="E35" i="24" s="1"/>
  <c r="E36" i="24" s="1"/>
  <c r="E37" i="24" s="1"/>
  <c r="E38" i="24" s="1"/>
  <c r="F19" i="24"/>
  <c r="F20" i="24" s="1"/>
  <c r="F21" i="24" s="1"/>
  <c r="F22" i="24" s="1"/>
  <c r="F23" i="24" s="1"/>
  <c r="F24" i="24" s="1"/>
  <c r="F25" i="24" s="1"/>
  <c r="F26" i="24" s="1"/>
  <c r="F27" i="24" s="1"/>
  <c r="F28" i="24" s="1"/>
  <c r="F29" i="24" s="1"/>
  <c r="F30" i="24" s="1"/>
  <c r="F31" i="24" s="1"/>
  <c r="F32" i="24" s="1"/>
  <c r="F33" i="24" s="1"/>
  <c r="F34" i="24" s="1"/>
  <c r="F35" i="24" s="1"/>
  <c r="F36" i="24" s="1"/>
  <c r="F37" i="24" s="1"/>
  <c r="F38" i="24" s="1"/>
  <c r="F11" i="24"/>
  <c r="F12" i="24" s="1"/>
  <c r="F13" i="24" s="1"/>
  <c r="F14" i="24" s="1"/>
  <c r="F15" i="24" s="1"/>
  <c r="F16" i="24" s="1"/>
  <c r="F17" i="24" s="1"/>
  <c r="F18" i="24" s="1"/>
  <c r="F10" i="24"/>
  <c r="F9" i="24"/>
  <c r="E11" i="24"/>
  <c r="E12" i="24" s="1"/>
  <c r="E13" i="24" s="1"/>
  <c r="E14" i="24" s="1"/>
  <c r="E15" i="24" s="1"/>
  <c r="E16" i="24" s="1"/>
  <c r="E17" i="24" s="1"/>
  <c r="E18" i="24" s="1"/>
  <c r="E10" i="24"/>
  <c r="E9" i="24"/>
  <c r="D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8" i="24"/>
  <c r="D7" i="24"/>
  <c r="D6" i="24"/>
  <c r="D5" i="24"/>
  <c r="D4" i="24"/>
  <c r="C38" i="24"/>
  <c r="C37" i="24"/>
  <c r="C36" i="24"/>
  <c r="C35" i="24"/>
  <c r="C34" i="24"/>
  <c r="C33" i="24"/>
  <c r="C32" i="24"/>
  <c r="C31" i="24"/>
  <c r="C30" i="24"/>
  <c r="C29" i="24"/>
  <c r="C28" i="24"/>
  <c r="C27" i="24"/>
  <c r="C26" i="24"/>
  <c r="C25" i="24"/>
  <c r="C24" i="24"/>
  <c r="C23" i="24"/>
  <c r="C22" i="24"/>
  <c r="C21" i="24"/>
  <c r="C20" i="24"/>
  <c r="C19" i="24"/>
  <c r="C18" i="24"/>
  <c r="C17" i="24"/>
  <c r="C16" i="24"/>
  <c r="C15" i="24"/>
  <c r="C14" i="24"/>
  <c r="C13" i="24"/>
  <c r="C12" i="24"/>
  <c r="C11" i="24"/>
  <c r="C10" i="24"/>
  <c r="C9" i="24"/>
  <c r="C8" i="24"/>
  <c r="C7" i="24"/>
  <c r="C6" i="24"/>
  <c r="C5" i="24"/>
  <c r="C4" i="24"/>
  <c r="B18" i="24"/>
  <c r="B19" i="24" s="1"/>
  <c r="B20" i="24" s="1"/>
  <c r="B21" i="24" s="1"/>
  <c r="B22" i="24" s="1"/>
  <c r="B23" i="24" s="1"/>
  <c r="B24" i="24" s="1"/>
  <c r="B25" i="24" s="1"/>
  <c r="B26" i="24" s="1"/>
  <c r="B27" i="24" s="1"/>
  <c r="B28" i="24" s="1"/>
  <c r="B29" i="24" s="1"/>
  <c r="B30" i="24" s="1"/>
  <c r="B31" i="24" s="1"/>
  <c r="B32" i="24" s="1"/>
  <c r="B33" i="24" s="1"/>
  <c r="B34" i="24" s="1"/>
  <c r="B35" i="24" s="1"/>
  <c r="B36" i="24" s="1"/>
  <c r="B37" i="24" s="1"/>
  <c r="B38" i="24" s="1"/>
  <c r="B17" i="24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N54" i="23" l="1"/>
  <c r="N55" i="23" s="1"/>
  <c r="M4" i="22" l="1"/>
  <c r="M2" i="22"/>
  <c r="B18" i="22" s="1"/>
  <c r="D9" i="21"/>
  <c r="D2" i="22" s="1"/>
  <c r="C9" i="21"/>
  <c r="C2" i="22" s="1"/>
  <c r="A6" i="21"/>
  <c r="D3" i="21"/>
  <c r="E3" i="21"/>
  <c r="E9" i="21" s="1"/>
  <c r="E2" i="22" s="1"/>
  <c r="F3" i="21"/>
  <c r="F9" i="21" s="1"/>
  <c r="F2" i="22" s="1"/>
  <c r="G3" i="21"/>
  <c r="G9" i="21" s="1"/>
  <c r="G2" i="22" s="1"/>
  <c r="C3" i="21"/>
  <c r="I3" i="21"/>
  <c r="I9" i="21" s="1"/>
  <c r="I2" i="22" s="1"/>
  <c r="H3" i="21"/>
  <c r="H9" i="21" s="1"/>
  <c r="H2" i="22" s="1"/>
  <c r="S5" i="21"/>
  <c r="D1" i="21"/>
  <c r="E1" i="21" s="1"/>
  <c r="F1" i="21" s="1"/>
  <c r="G1" i="21" s="1"/>
  <c r="H1" i="21" s="1"/>
  <c r="I1" i="21" s="1"/>
  <c r="J1" i="21" s="1"/>
  <c r="K1" i="21" s="1"/>
  <c r="L1" i="21" s="1"/>
  <c r="M1" i="21" s="1"/>
  <c r="E4" i="22" l="1"/>
  <c r="B10" i="22"/>
  <c r="J2" i="22"/>
  <c r="K2" i="22" s="1"/>
  <c r="L2" i="22" s="1"/>
  <c r="B14" i="22"/>
  <c r="D4" i="22"/>
  <c r="B9" i="22"/>
  <c r="G4" i="22"/>
  <c r="B12" i="22"/>
  <c r="H4" i="22"/>
  <c r="B13" i="22"/>
  <c r="F4" i="22"/>
  <c r="B11" i="22"/>
  <c r="C4" i="22"/>
  <c r="B8" i="22"/>
  <c r="B17" i="22"/>
  <c r="B15" i="22"/>
  <c r="I4" i="22"/>
  <c r="J4" i="22" s="1"/>
  <c r="K4" i="22" s="1"/>
  <c r="L4" i="22" s="1"/>
  <c r="B16" i="22" l="1"/>
  <c r="F2" i="20"/>
  <c r="F3" i="16" l="1"/>
  <c r="F4" i="16" l="1"/>
  <c r="F5" i="16" l="1"/>
</calcChain>
</file>

<file path=xl/sharedStrings.xml><?xml version="1.0" encoding="utf-8"?>
<sst xmlns="http://schemas.openxmlformats.org/spreadsheetml/2006/main" count="78" uniqueCount="73">
  <si>
    <t>Year</t>
  </si>
  <si>
    <t>Battery Storage Capacity (MW)</t>
  </si>
  <si>
    <t>BGrBSC BAU Grid Battery Storage Capacity</t>
  </si>
  <si>
    <t>Source</t>
  </si>
  <si>
    <t>California Public Utilties Commision</t>
  </si>
  <si>
    <t xml:space="preserve">Notes </t>
  </si>
  <si>
    <t>Data released as part of 10/8/19 Preliminary Results Workshop</t>
  </si>
  <si>
    <t>IOU</t>
  </si>
  <si>
    <t>POU</t>
  </si>
  <si>
    <t>Quote from tracking progress page 6:</t>
  </si>
  <si>
    <t>Through June 2017, stationary battery energy storage systems totaled 177 MW in California (a 30 MW increase from 2016)</t>
  </si>
  <si>
    <t>BTM</t>
  </si>
  <si>
    <t>Webpage for download and background information: https://www.cpuc.ca.gov/General.aspx?id=6442462047</t>
  </si>
  <si>
    <t>Spreadsheet download: ftp://ftp.cpuc.ca.gov/energy/modeling/storage_annual_capmax_with_pivots.xlsx</t>
  </si>
  <si>
    <t>Access the file, "Baseline Generic Annual Storge"</t>
  </si>
  <si>
    <t xml:space="preserve">The tab, "baseline storage," shows the existing storage trajectory to which </t>
  </si>
  <si>
    <t>the "resource build" data is added.  Resource build refers to new resources built</t>
  </si>
  <si>
    <t xml:space="preserve">beyond existing plans. </t>
  </si>
  <si>
    <t xml:space="preserve">Most work relates to documenting and calculating additional storage to meet BAU or higher targets (i.e. 38 MMT for the electricity sector). </t>
  </si>
  <si>
    <t>Difference between 46 MMT and 38 MMT case:</t>
  </si>
  <si>
    <t>MW</t>
  </si>
  <si>
    <t>2030 storage capacity in summary metrics:</t>
  </si>
  <si>
    <t>38 MMT case - 2030 storage capacity in summary metrics:</t>
  </si>
  <si>
    <t>46 MMT case - 2030 storage capacity in summary metrics:</t>
  </si>
  <si>
    <t xml:space="preserve">Difference with summary metrics presentation and Resolve output viewer. </t>
  </si>
  <si>
    <t>Use summary metrics value.</t>
  </si>
  <si>
    <t>Add to earlier years</t>
  </si>
  <si>
    <t>Battery Storage 38 MMT Case</t>
  </si>
  <si>
    <t>interpolate 2025</t>
  </si>
  <si>
    <t>Use result from summary metrics in presentation, which differs by 578</t>
  </si>
  <si>
    <t>MW to add to years 2024-2026</t>
  </si>
  <si>
    <t>True up with presentation value</t>
  </si>
  <si>
    <t>38 MMT imputed</t>
  </si>
  <si>
    <t>BAU 46 MMT case</t>
  </si>
  <si>
    <t>Column arrangement</t>
  </si>
  <si>
    <t xml:space="preserve">POUs have installed 59 MW of energy storage through 2017 </t>
  </si>
  <si>
    <t>https://www.energy.ca.gov/sites/default/files/2019-12/energy_storage_ada.pdf</t>
  </si>
  <si>
    <t xml:space="preserve">For 2018-2019, use data below, by visual approximation. </t>
  </si>
  <si>
    <t>Of this total, about 332 MW are on-line. (See Table 1.) Projects procured under AB 2514 must be installed by 2024.</t>
  </si>
  <si>
    <t>Total</t>
  </si>
  <si>
    <t>LSE</t>
  </si>
  <si>
    <t>Aug 2018 data based on note below table 1</t>
  </si>
  <si>
    <t>https://www.cpuc.ca.gov/uploadedFiles/CPUCWebsite/Content/UtilitiesIndustries/Energy/EnergyPrograms/ElectPowerProcurementGeneration/irp/2018/IRP_MAG_20190617_CoreInputs.pdf</t>
  </si>
  <si>
    <t>Annual additions to cumulative</t>
  </si>
  <si>
    <t>Cumulative total, adding IOU and POU</t>
  </si>
  <si>
    <t>The empirical data above are from a previous version of the CEC's Tracking Progress, Battery Storage report.</t>
  </si>
  <si>
    <t>It is no longer available on the CEC website.  It provided the data above, and stated:</t>
  </si>
  <si>
    <t xml:space="preserve">California’s publicly owned utilities (POUs) are also working to advance energy storage. </t>
  </si>
  <si>
    <t>Modeling Advisory Group (MAG) presentation on June 17, 2019</t>
  </si>
  <si>
    <t>Baseline Battery Storage in the IRP Modeling 2019-2020</t>
  </si>
  <si>
    <t>Baseline storage resources (2018 and 2019)</t>
  </si>
  <si>
    <t>Resolve outputs, accessed from linke to "New RESOLVE Scenario Tool and Results Viewer for IDER-Related Analysis"</t>
  </si>
  <si>
    <t>ftp://ftp.cpuc.ca.gov/energy/modeling/IDER%20Appendix%20B%20RESOLVE%20docs.7z</t>
  </si>
  <si>
    <t>2019-2020 Integrated Resource Plan and Long Term Procurement Plan (IRP-LTPP) process</t>
  </si>
  <si>
    <t>Shown at tab, "Resolve output"</t>
  </si>
  <si>
    <t>Web page hosting above link: https://www.cpuc.ca.gov/General.aspx?id=6442463190</t>
  </si>
  <si>
    <t>Background (2017)</t>
  </si>
  <si>
    <t>https://ww2.energy.ca.gov/renewables/tracking_progress/documents/energy_storage.pdf</t>
  </si>
  <si>
    <t>Archived 2018 version (accessed 28 January 2020)</t>
  </si>
  <si>
    <t>Tracking Progress  - Energy Storage</t>
  </si>
  <si>
    <t xml:space="preserve">California Energy Commission </t>
  </si>
  <si>
    <t>CA data:</t>
  </si>
  <si>
    <t>Assumption: Oregon battery storage capacity is not as far along as CA and will grow at roughly half the pace</t>
  </si>
  <si>
    <t>OR estimates:</t>
  </si>
  <si>
    <t>CA Growth</t>
  </si>
  <si>
    <t>OR est. growth</t>
  </si>
  <si>
    <t>Battery Storage Capacity (MW) - half CA growth</t>
  </si>
  <si>
    <t>Battery Storage Capacity (MW) - CA growth</t>
  </si>
  <si>
    <t>https://olis.leg.state.or.us/liz/2015R1/Downloads/MeasureDocument/HB2193</t>
  </si>
  <si>
    <t>OR HB-2193</t>
  </si>
  <si>
    <t>2015</t>
  </si>
  <si>
    <t>We apply CA battery storage growth rates to the 2020 OR mandated level</t>
  </si>
  <si>
    <t>OR Energy storage mandate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</si>
</sst>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_([$€-2]* #,##0.00_);_([$€-2]* \(#,##0.00\);_([$€-2]* &quot;-&quot;??_)"/>
    <numFmt numFmtId="165" formatCode="_(* #,##0_);_(* \(#,##0\);_(* &quot;-&quot;??_);_(@_)"/>
  </numFmts>
  <fonts count="4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6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</font>
    <font>
      <sz val="10"/>
      <color indexed="8"/>
      <name val="Arial"/>
      <family val="2"/>
    </font>
    <font>
      <sz val="10"/>
      <color theme="1"/>
      <name val="Calibri"/>
      <family val="2"/>
      <scheme val="minor"/>
    </font>
    <font>
      <i/>
      <sz val="10"/>
      <color theme="2" tint="-0.499984740745262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</borders>
  <cellStyleXfs count="110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3" borderId="0" applyNumberFormat="0" applyBorder="0" applyAlignment="0" applyProtection="0"/>
    <xf numFmtId="0" fontId="4" fillId="6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6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8" borderId="0" applyNumberFormat="0" applyBorder="0" applyAlignment="0" applyProtection="0"/>
    <xf numFmtId="0" fontId="5" fillId="12" borderId="0" applyNumberFormat="0" applyBorder="0" applyAlignment="0" applyProtection="0"/>
    <xf numFmtId="0" fontId="6" fillId="13" borderId="0" applyNumberFormat="0" applyBorder="0" applyAlignment="0" applyProtection="0"/>
    <xf numFmtId="0" fontId="7" fillId="2" borderId="1" applyNumberFormat="0" applyAlignment="0" applyProtection="0"/>
    <xf numFmtId="0" fontId="8" fillId="14" borderId="2" applyNumberFormat="0" applyAlignment="0" applyProtection="0"/>
    <xf numFmtId="164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15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3" borderId="1" applyNumberFormat="0" applyAlignment="0" applyProtection="0"/>
    <xf numFmtId="0" fontId="15" fillId="0" borderId="6" applyNumberFormat="0" applyFill="0" applyAlignment="0" applyProtection="0"/>
    <xf numFmtId="0" fontId="16" fillId="4" borderId="0" applyNumberFormat="0" applyBorder="0" applyAlignment="0" applyProtection="0"/>
    <xf numFmtId="0" fontId="3" fillId="4" borderId="7" applyNumberFormat="0" applyFont="0" applyAlignment="0" applyProtection="0"/>
    <xf numFmtId="0" fontId="17" fillId="2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21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17" borderId="0" applyNumberFormat="0" applyBorder="0" applyAlignment="0" applyProtection="0"/>
    <xf numFmtId="0" fontId="28" fillId="18" borderId="0" applyNumberFormat="0" applyBorder="0" applyAlignment="0" applyProtection="0"/>
    <xf numFmtId="0" fontId="30" fillId="20" borderId="14" applyNumberFormat="0" applyAlignment="0" applyProtection="0"/>
    <xf numFmtId="0" fontId="31" fillId="21" borderId="15" applyNumberFormat="0" applyAlignment="0" applyProtection="0"/>
    <xf numFmtId="0" fontId="32" fillId="21" borderId="14" applyNumberFormat="0" applyAlignment="0" applyProtection="0"/>
    <xf numFmtId="0" fontId="33" fillId="0" borderId="16" applyNumberFormat="0" applyFill="0" applyAlignment="0" applyProtection="0"/>
    <xf numFmtId="0" fontId="34" fillId="22" borderId="17" applyNumberFormat="0" applyAlignment="0" applyProtection="0"/>
    <xf numFmtId="0" fontId="35" fillId="0" borderId="0" applyNumberFormat="0" applyFill="0" applyBorder="0" applyAlignment="0" applyProtection="0"/>
    <xf numFmtId="0" fontId="21" fillId="23" borderId="18" applyNumberFormat="0" applyFont="0" applyAlignment="0" applyProtection="0"/>
    <xf numFmtId="0" fontId="36" fillId="0" borderId="0" applyNumberFormat="0" applyFill="0" applyBorder="0" applyAlignment="0" applyProtection="0"/>
    <xf numFmtId="0" fontId="1" fillId="0" borderId="19" applyNumberFormat="0" applyFill="0" applyAlignment="0" applyProtection="0"/>
    <xf numFmtId="0" fontId="37" fillId="24" borderId="0" applyNumberFormat="0" applyBorder="0" applyAlignment="0" applyProtection="0"/>
    <xf numFmtId="0" fontId="21" fillId="25" borderId="0" applyNumberFormat="0" applyBorder="0" applyAlignment="0" applyProtection="0"/>
    <xf numFmtId="0" fontId="21" fillId="26" borderId="0" applyNumberFormat="0" applyBorder="0" applyAlignment="0" applyProtection="0"/>
    <xf numFmtId="0" fontId="37" fillId="28" borderId="0" applyNumberFormat="0" applyBorder="0" applyAlignment="0" applyProtection="0"/>
    <xf numFmtId="0" fontId="21" fillId="29" borderId="0" applyNumberFormat="0" applyBorder="0" applyAlignment="0" applyProtection="0"/>
    <xf numFmtId="0" fontId="21" fillId="30" borderId="0" applyNumberFormat="0" applyBorder="0" applyAlignment="0" applyProtection="0"/>
    <xf numFmtId="0" fontId="37" fillId="32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37" fillId="36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37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2" borderId="0" applyNumberFormat="0" applyBorder="0" applyAlignment="0" applyProtection="0"/>
    <xf numFmtId="0" fontId="37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3" fillId="0" borderId="0" applyNumberFormat="0" applyFill="0" applyBorder="0" applyAlignment="0" applyProtection="0"/>
    <xf numFmtId="0" fontId="29" fillId="19" borderId="0" applyNumberFormat="0" applyBorder="0" applyAlignment="0" applyProtection="0"/>
    <xf numFmtId="0" fontId="37" fillId="27" borderId="0" applyNumberFormat="0" applyBorder="0" applyAlignment="0" applyProtection="0"/>
    <xf numFmtId="0" fontId="37" fillId="31" borderId="0" applyNumberFormat="0" applyBorder="0" applyAlignment="0" applyProtection="0"/>
    <xf numFmtId="0" fontId="37" fillId="35" borderId="0" applyNumberFormat="0" applyBorder="0" applyAlignment="0" applyProtection="0"/>
    <xf numFmtId="0" fontId="37" fillId="39" borderId="0" applyNumberFormat="0" applyBorder="0" applyAlignment="0" applyProtection="0"/>
    <xf numFmtId="0" fontId="37" fillId="43" borderId="0" applyNumberFormat="0" applyBorder="0" applyAlignment="0" applyProtection="0"/>
    <xf numFmtId="0" fontId="37" fillId="47" borderId="0" applyNumberFormat="0" applyBorder="0" applyAlignment="0" applyProtection="0"/>
    <xf numFmtId="0" fontId="21" fillId="0" borderId="0"/>
    <xf numFmtId="0" fontId="21" fillId="39" borderId="0" applyNumberFormat="0" applyBorder="0" applyAlignment="0" applyProtection="0"/>
    <xf numFmtId="0" fontId="21" fillId="31" borderId="0" applyNumberFormat="0" applyBorder="0" applyAlignment="0" applyProtection="0"/>
    <xf numFmtId="0" fontId="39" fillId="19" borderId="0" applyNumberFormat="0" applyBorder="0" applyAlignment="0" applyProtection="0"/>
    <xf numFmtId="0" fontId="21" fillId="35" borderId="0" applyNumberFormat="0" applyBorder="0" applyAlignment="0" applyProtection="0"/>
    <xf numFmtId="0" fontId="21" fillId="27" borderId="0" applyNumberFormat="0" applyBorder="0" applyAlignment="0" applyProtection="0"/>
    <xf numFmtId="0" fontId="21" fillId="47" borderId="0" applyNumberFormat="0" applyBorder="0" applyAlignment="0" applyProtection="0"/>
    <xf numFmtId="0" fontId="21" fillId="43" borderId="0" applyNumberFormat="0" applyBorder="0" applyAlignment="0" applyProtection="0"/>
    <xf numFmtId="0" fontId="38" fillId="0" borderId="0" applyNumberFormat="0" applyFill="0" applyBorder="0" applyAlignment="0" applyProtection="0"/>
    <xf numFmtId="0" fontId="40" fillId="0" borderId="0"/>
    <xf numFmtId="0" fontId="41" fillId="0" borderId="0"/>
    <xf numFmtId="0" fontId="21" fillId="0" borderId="0"/>
    <xf numFmtId="0" fontId="42" fillId="0" borderId="0"/>
    <xf numFmtId="9" fontId="42" fillId="0" borderId="0" applyFont="0" applyFill="0" applyBorder="0" applyAlignment="0" applyProtection="0"/>
    <xf numFmtId="43" fontId="42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0" fillId="0" borderId="0" xfId="0" applyAlignment="1"/>
    <xf numFmtId="0" fontId="1" fillId="16" borderId="0" xfId="0" applyFont="1" applyFill="1" applyAlignment="1"/>
    <xf numFmtId="0" fontId="1" fillId="16" borderId="0" xfId="0" applyFont="1" applyFill="1"/>
    <xf numFmtId="0" fontId="0" fillId="0" borderId="0" xfId="0" applyFill="1"/>
    <xf numFmtId="165" fontId="0" fillId="0" borderId="0" xfId="0" applyNumberFormat="1"/>
    <xf numFmtId="0" fontId="1" fillId="16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165" fontId="42" fillId="0" borderId="0" xfId="52" applyNumberFormat="1" applyFont="1" applyFill="1" applyBorder="1"/>
    <xf numFmtId="43" fontId="0" fillId="0" borderId="0" xfId="0" applyNumberFormat="1"/>
    <xf numFmtId="0" fontId="0" fillId="0" borderId="0" xfId="0"/>
    <xf numFmtId="0" fontId="43" fillId="0" borderId="20" xfId="0" applyFont="1" applyBorder="1" applyAlignment="1">
      <alignment horizontal="right"/>
    </xf>
    <xf numFmtId="0" fontId="42" fillId="0" borderId="10" xfId="0" applyFont="1" applyBorder="1"/>
    <xf numFmtId="165" fontId="42" fillId="16" borderId="0" xfId="52" applyNumberFormat="1" applyFont="1" applyFill="1" applyBorder="1"/>
    <xf numFmtId="0" fontId="42" fillId="0" borderId="0" xfId="0" applyFont="1" applyFill="1" applyBorder="1"/>
    <xf numFmtId="0" fontId="0" fillId="0" borderId="0" xfId="0" applyFont="1"/>
    <xf numFmtId="0" fontId="43" fillId="0" borderId="0" xfId="0" applyFont="1" applyFill="1" applyBorder="1" applyAlignment="1">
      <alignment horizontal="right"/>
    </xf>
    <xf numFmtId="0" fontId="0" fillId="0" borderId="0" xfId="0" quotePrefix="1"/>
  </cellXfs>
  <cellStyles count="110">
    <cellStyle name="20% - Accent1" xfId="70" builtinId="30" customBuiltin="1"/>
    <cellStyle name="20% - Accent1 2" xfId="3" xr:uid="{00000000-0005-0000-0000-000001000000}"/>
    <cellStyle name="20% - Accent2" xfId="73" builtinId="34" customBuiltin="1"/>
    <cellStyle name="20% - Accent2 2" xfId="4" xr:uid="{00000000-0005-0000-0000-000003000000}"/>
    <cellStyle name="20% - Accent3" xfId="76" builtinId="38" customBuiltin="1"/>
    <cellStyle name="20% - Accent3 2" xfId="5" xr:uid="{00000000-0005-0000-0000-000005000000}"/>
    <cellStyle name="20% - Accent4" xfId="79" builtinId="42" customBuiltin="1"/>
    <cellStyle name="20% - Accent4 2" xfId="6" xr:uid="{00000000-0005-0000-0000-000007000000}"/>
    <cellStyle name="20% - Accent5" xfId="82" builtinId="46" customBuiltin="1"/>
    <cellStyle name="20% - Accent5 2" xfId="7" xr:uid="{00000000-0005-0000-0000-000009000000}"/>
    <cellStyle name="20% - Accent6" xfId="85" builtinId="50" customBuiltin="1"/>
    <cellStyle name="20% - Accent6 2" xfId="8" xr:uid="{00000000-0005-0000-0000-00000B000000}"/>
    <cellStyle name="40% - Accent1" xfId="71" builtinId="31" customBuiltin="1"/>
    <cellStyle name="40% - Accent1 2" xfId="9" xr:uid="{00000000-0005-0000-0000-00000D000000}"/>
    <cellStyle name="40% - Accent2" xfId="74" builtinId="35" customBuiltin="1"/>
    <cellStyle name="40% - Accent2 2" xfId="10" xr:uid="{00000000-0005-0000-0000-00000F000000}"/>
    <cellStyle name="40% - Accent3" xfId="77" builtinId="39" customBuiltin="1"/>
    <cellStyle name="40% - Accent3 2" xfId="11" xr:uid="{00000000-0005-0000-0000-000011000000}"/>
    <cellStyle name="40% - Accent4" xfId="80" builtinId="43" customBuiltin="1"/>
    <cellStyle name="40% - Accent4 2" xfId="12" xr:uid="{00000000-0005-0000-0000-000013000000}"/>
    <cellStyle name="40% - Accent5" xfId="83" builtinId="47" customBuiltin="1"/>
    <cellStyle name="40% - Accent5 2" xfId="13" xr:uid="{00000000-0005-0000-0000-000015000000}"/>
    <cellStyle name="40% - Accent6" xfId="86" builtinId="51" customBuiltin="1"/>
    <cellStyle name="40% - Accent6 2" xfId="14" xr:uid="{00000000-0005-0000-0000-000017000000}"/>
    <cellStyle name="60% - Accent1 2" xfId="15" xr:uid="{00000000-0005-0000-0000-000018000000}"/>
    <cellStyle name="60% - Accent1 2 2" xfId="100" xr:uid="{00000000-0005-0000-0000-000019000000}"/>
    <cellStyle name="60% - Accent1 3" xfId="89" xr:uid="{00000000-0005-0000-0000-00001A000000}"/>
    <cellStyle name="60% - Accent2 2" xfId="16" xr:uid="{00000000-0005-0000-0000-00001B000000}"/>
    <cellStyle name="60% - Accent2 2 2" xfId="97" xr:uid="{00000000-0005-0000-0000-00001C000000}"/>
    <cellStyle name="60% - Accent2 3" xfId="90" xr:uid="{00000000-0005-0000-0000-00001D000000}"/>
    <cellStyle name="60% - Accent3 2" xfId="17" xr:uid="{00000000-0005-0000-0000-00001E000000}"/>
    <cellStyle name="60% - Accent3 2 2" xfId="99" xr:uid="{00000000-0005-0000-0000-00001F000000}"/>
    <cellStyle name="60% - Accent3 3" xfId="91" xr:uid="{00000000-0005-0000-0000-000020000000}"/>
    <cellStyle name="60% - Accent4 2" xfId="18" xr:uid="{00000000-0005-0000-0000-000021000000}"/>
    <cellStyle name="60% - Accent4 2 2" xfId="96" xr:uid="{00000000-0005-0000-0000-000022000000}"/>
    <cellStyle name="60% - Accent4 3" xfId="92" xr:uid="{00000000-0005-0000-0000-000023000000}"/>
    <cellStyle name="60% - Accent5 2" xfId="19" xr:uid="{00000000-0005-0000-0000-000024000000}"/>
    <cellStyle name="60% - Accent5 2 2" xfId="102" xr:uid="{00000000-0005-0000-0000-000025000000}"/>
    <cellStyle name="60% - Accent5 3" xfId="93" xr:uid="{00000000-0005-0000-0000-000026000000}"/>
    <cellStyle name="60% - Accent6 2" xfId="20" xr:uid="{00000000-0005-0000-0000-000027000000}"/>
    <cellStyle name="60% - Accent6 2 2" xfId="101" xr:uid="{00000000-0005-0000-0000-000028000000}"/>
    <cellStyle name="60% - Accent6 3" xfId="94" xr:uid="{00000000-0005-0000-0000-000029000000}"/>
    <cellStyle name="Accent1" xfId="69" builtinId="29" customBuiltin="1"/>
    <cellStyle name="Accent1 2" xfId="21" xr:uid="{00000000-0005-0000-0000-00002B000000}"/>
    <cellStyle name="Accent2" xfId="72" builtinId="33" customBuiltin="1"/>
    <cellStyle name="Accent2 2" xfId="22" xr:uid="{00000000-0005-0000-0000-00002D000000}"/>
    <cellStyle name="Accent3" xfId="75" builtinId="37" customBuiltin="1"/>
    <cellStyle name="Accent3 2" xfId="23" xr:uid="{00000000-0005-0000-0000-00002F000000}"/>
    <cellStyle name="Accent4" xfId="78" builtinId="41" customBuiltin="1"/>
    <cellStyle name="Accent4 2" xfId="24" xr:uid="{00000000-0005-0000-0000-000031000000}"/>
    <cellStyle name="Accent5" xfId="81" builtinId="45" customBuiltin="1"/>
    <cellStyle name="Accent5 2" xfId="25" xr:uid="{00000000-0005-0000-0000-000033000000}"/>
    <cellStyle name="Accent6" xfId="84" builtinId="49" customBuiltin="1"/>
    <cellStyle name="Accent6 2" xfId="26" xr:uid="{00000000-0005-0000-0000-000035000000}"/>
    <cellStyle name="Bad" xfId="59" builtinId="27" customBuiltin="1"/>
    <cellStyle name="Bad 2" xfId="27" xr:uid="{00000000-0005-0000-0000-000037000000}"/>
    <cellStyle name="Calculation" xfId="62" builtinId="22" customBuiltin="1"/>
    <cellStyle name="Calculation 2" xfId="28" xr:uid="{00000000-0005-0000-0000-000039000000}"/>
    <cellStyle name="Check Cell" xfId="64" builtinId="23" customBuiltin="1"/>
    <cellStyle name="Check Cell 2" xfId="29" xr:uid="{00000000-0005-0000-0000-00003B000000}"/>
    <cellStyle name="Comma" xfId="52" builtinId="3"/>
    <cellStyle name="Comma 2" xfId="53" xr:uid="{00000000-0005-0000-0000-00003D000000}"/>
    <cellStyle name="Comma 2 2" xfId="109" xr:uid="{00000000-0005-0000-0000-00003E000000}"/>
    <cellStyle name="Euro" xfId="30" xr:uid="{00000000-0005-0000-0000-00003F000000}"/>
    <cellStyle name="Explanatory Text" xfId="67" builtinId="53" customBuiltin="1"/>
    <cellStyle name="Explanatory Text 2" xfId="31" xr:uid="{00000000-0005-0000-0000-000041000000}"/>
    <cellStyle name="Good" xfId="58" builtinId="26" customBuiltin="1"/>
    <cellStyle name="Good 2" xfId="32" xr:uid="{00000000-0005-0000-0000-000043000000}"/>
    <cellStyle name="Heading 1" xfId="54" builtinId="16" customBuiltin="1"/>
    <cellStyle name="Heading 1 2" xfId="33" xr:uid="{00000000-0005-0000-0000-000045000000}"/>
    <cellStyle name="Heading 2" xfId="55" builtinId="17" customBuiltin="1"/>
    <cellStyle name="Heading 2 2" xfId="34" xr:uid="{00000000-0005-0000-0000-000047000000}"/>
    <cellStyle name="Heading 3" xfId="56" builtinId="18" customBuiltin="1"/>
    <cellStyle name="Heading 3 2" xfId="35" xr:uid="{00000000-0005-0000-0000-000049000000}"/>
    <cellStyle name="Heading 4" xfId="57" builtinId="19" customBuiltin="1"/>
    <cellStyle name="Heading 4 2" xfId="36" xr:uid="{00000000-0005-0000-0000-00004B000000}"/>
    <cellStyle name="Hyperlink" xfId="1" builtinId="8"/>
    <cellStyle name="Input" xfId="60" builtinId="20" customBuiltin="1"/>
    <cellStyle name="Input 2" xfId="37" xr:uid="{00000000-0005-0000-0000-00004E000000}"/>
    <cellStyle name="Linked Cell" xfId="63" builtinId="24" customBuiltin="1"/>
    <cellStyle name="Linked Cell 2" xfId="38" xr:uid="{00000000-0005-0000-0000-000050000000}"/>
    <cellStyle name="Neutral 2" xfId="39" xr:uid="{00000000-0005-0000-0000-000051000000}"/>
    <cellStyle name="Neutral 2 2" xfId="98" xr:uid="{00000000-0005-0000-0000-000052000000}"/>
    <cellStyle name="Neutral 3" xfId="88" xr:uid="{00000000-0005-0000-0000-000053000000}"/>
    <cellStyle name="Normal" xfId="0" builtinId="0"/>
    <cellStyle name="Normal 2" xfId="2" xr:uid="{00000000-0005-0000-0000-000055000000}"/>
    <cellStyle name="Normal 2 2" xfId="45" xr:uid="{00000000-0005-0000-0000-000056000000}"/>
    <cellStyle name="Normal 2 3" xfId="48" xr:uid="{00000000-0005-0000-0000-000057000000}"/>
    <cellStyle name="Normal 2 4" xfId="49" xr:uid="{00000000-0005-0000-0000-000058000000}"/>
    <cellStyle name="Normal 2 5" xfId="50" xr:uid="{00000000-0005-0000-0000-000059000000}"/>
    <cellStyle name="Normal 2 6" xfId="51" xr:uid="{00000000-0005-0000-0000-00005A000000}"/>
    <cellStyle name="Normal 2 6 2" xfId="95" xr:uid="{00000000-0005-0000-0000-00005B000000}"/>
    <cellStyle name="Normal 2 7" xfId="105" xr:uid="{00000000-0005-0000-0000-00005C000000}"/>
    <cellStyle name="Normal 3" xfId="46" xr:uid="{00000000-0005-0000-0000-00005D000000}"/>
    <cellStyle name="Normal 3 2" xfId="104" xr:uid="{00000000-0005-0000-0000-00005E000000}"/>
    <cellStyle name="Normal 4" xfId="47" xr:uid="{00000000-0005-0000-0000-00005F000000}"/>
    <cellStyle name="Normal 4 2" xfId="107" xr:uid="{00000000-0005-0000-0000-000060000000}"/>
    <cellStyle name="Normal 6" xfId="106" xr:uid="{00000000-0005-0000-0000-000061000000}"/>
    <cellStyle name="Note" xfId="66" builtinId="10" customBuiltin="1"/>
    <cellStyle name="Note 2" xfId="40" xr:uid="{00000000-0005-0000-0000-000063000000}"/>
    <cellStyle name="Output" xfId="61" builtinId="21" customBuiltin="1"/>
    <cellStyle name="Output 2" xfId="41" xr:uid="{00000000-0005-0000-0000-000065000000}"/>
    <cellStyle name="Percent 2" xfId="108" xr:uid="{00000000-0005-0000-0000-000066000000}"/>
    <cellStyle name="Title 2" xfId="42" xr:uid="{00000000-0005-0000-0000-000067000000}"/>
    <cellStyle name="Title 2 2" xfId="103" xr:uid="{00000000-0005-0000-0000-000068000000}"/>
    <cellStyle name="Title 3" xfId="87" xr:uid="{00000000-0005-0000-0000-000069000000}"/>
    <cellStyle name="Total" xfId="68" builtinId="25" customBuiltin="1"/>
    <cellStyle name="Total 2" xfId="43" xr:uid="{00000000-0005-0000-0000-00006B000000}"/>
    <cellStyle name="Warning Text" xfId="65" builtinId="11" customBuiltin="1"/>
    <cellStyle name="Warning Text 2" xfId="44" xr:uid="{00000000-0005-0000-0000-00006D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50800</xdr:colOff>
      <xdr:row>6</xdr:row>
      <xdr:rowOff>133350</xdr:rowOff>
    </xdr:from>
    <xdr:to>
      <xdr:col>23</xdr:col>
      <xdr:colOff>544819</xdr:colOff>
      <xdr:row>10</xdr:row>
      <xdr:rowOff>82464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531BEF-96C6-45B3-9588-F36A7D2710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8350" y="1238250"/>
          <a:ext cx="10247619" cy="6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13</xdr:row>
      <xdr:rowOff>47626</xdr:rowOff>
    </xdr:from>
    <xdr:to>
      <xdr:col>11</xdr:col>
      <xdr:colOff>638175</xdr:colOff>
      <xdr:row>45</xdr:row>
      <xdr:rowOff>64207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2400301"/>
          <a:ext cx="7762874" cy="58077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10</xdr:col>
      <xdr:colOff>362905</xdr:colOff>
      <xdr:row>99</xdr:row>
      <xdr:rowOff>67871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410700"/>
          <a:ext cx="6839905" cy="85736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11</xdr:col>
      <xdr:colOff>20047</xdr:colOff>
      <xdr:row>102</xdr:row>
      <xdr:rowOff>66735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8097500"/>
          <a:ext cx="7144747" cy="4286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16</xdr:col>
      <xdr:colOff>601605</xdr:colOff>
      <xdr:row>8</xdr:row>
      <xdr:rowOff>152472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085850"/>
          <a:ext cx="10964805" cy="51442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11</xdr:col>
      <xdr:colOff>14344</xdr:colOff>
      <xdr:row>27</xdr:row>
      <xdr:rowOff>47648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85850"/>
          <a:ext cx="7734357" cy="3124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52387</xdr:rowOff>
    </xdr:from>
    <xdr:to>
      <xdr:col>10</xdr:col>
      <xdr:colOff>423913</xdr:colOff>
      <xdr:row>32</xdr:row>
      <xdr:rowOff>42899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76287"/>
          <a:ext cx="6900913" cy="505781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356628</xdr:colOff>
      <xdr:row>19</xdr:row>
      <xdr:rowOff>41678</xdr:rowOff>
    </xdr:from>
    <xdr:to>
      <xdr:col>7</xdr:col>
      <xdr:colOff>309002</xdr:colOff>
      <xdr:row>37</xdr:row>
      <xdr:rowOff>107894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6628" y="3448266"/>
          <a:ext cx="4501962" cy="3293510"/>
        </a:xfrm>
        <a:prstGeom prst="rect">
          <a:avLst/>
        </a:prstGeom>
      </xdr:spPr>
    </xdr:pic>
    <xdr:clientData/>
  </xdr:twoCellAnchor>
  <xdr:twoCellAnchor editAs="oneCell">
    <xdr:from>
      <xdr:col>0</xdr:col>
      <xdr:colOff>612963</xdr:colOff>
      <xdr:row>0</xdr:row>
      <xdr:rowOff>156883</xdr:rowOff>
    </xdr:from>
    <xdr:to>
      <xdr:col>7</xdr:col>
      <xdr:colOff>494284</xdr:colOff>
      <xdr:row>18</xdr:row>
      <xdr:rowOff>161645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2963" y="156883"/>
          <a:ext cx="4430909" cy="32320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olis.leg.state.or.us/liz/2015R1/Downloads/MeasureDocument/HB219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www.cpuc.ca.gov/uploadedFiles/CPUCWebsite/Content/UtilitiesIndustries/Energy/EnergyPrograms/ElectPowerProcurementGeneration/irp/2018/IRP_MAG_20190617_CoreInputs.pdf" TargetMode="External"/><Relationship Id="rId1" Type="http://schemas.openxmlformats.org/officeDocument/2006/relationships/hyperlink" Target="https://www.energy.ca.gov/sites/default/files/2019-12/energy_storage_ada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"/>
  <sheetViews>
    <sheetView tabSelected="1" workbookViewId="0">
      <selection activeCell="A6" sqref="A6"/>
    </sheetView>
  </sheetViews>
  <sheetFormatPr defaultRowHeight="14.5" x14ac:dyDescent="0.35"/>
  <cols>
    <col min="2" max="2" width="117.7265625" bestFit="1" customWidth="1"/>
  </cols>
  <sheetData>
    <row r="1" spans="1:2" x14ac:dyDescent="0.35">
      <c r="A1" s="1" t="s">
        <v>2</v>
      </c>
    </row>
    <row r="2" spans="1:2" s="4" customFormat="1" x14ac:dyDescent="0.35"/>
    <row r="3" spans="1:2" s="17" customFormat="1" x14ac:dyDescent="0.35">
      <c r="A3" s="5" t="s">
        <v>3</v>
      </c>
      <c r="B3" s="10" t="s">
        <v>69</v>
      </c>
    </row>
    <row r="4" spans="1:2" s="17" customFormat="1" x14ac:dyDescent="0.35">
      <c r="B4" s="17" t="s">
        <v>72</v>
      </c>
    </row>
    <row r="5" spans="1:2" s="17" customFormat="1" x14ac:dyDescent="0.35">
      <c r="B5" s="24" t="s">
        <v>70</v>
      </c>
    </row>
    <row r="6" spans="1:2" s="17" customFormat="1" x14ac:dyDescent="0.35">
      <c r="B6" s="3" t="s">
        <v>68</v>
      </c>
    </row>
    <row r="7" spans="1:2" s="17" customFormat="1" x14ac:dyDescent="0.35"/>
    <row r="8" spans="1:2" s="17" customFormat="1" x14ac:dyDescent="0.35">
      <c r="B8" s="17" t="s">
        <v>71</v>
      </c>
    </row>
    <row r="9" spans="1:2" s="4" customFormat="1" x14ac:dyDescent="0.35">
      <c r="A9" s="5"/>
      <c r="B9" s="10" t="s">
        <v>4</v>
      </c>
    </row>
    <row r="10" spans="1:2" s="4" customFormat="1" x14ac:dyDescent="0.35">
      <c r="B10" s="4" t="s">
        <v>53</v>
      </c>
    </row>
    <row r="11" spans="1:2" s="4" customFormat="1" x14ac:dyDescent="0.35">
      <c r="B11" s="4" t="s">
        <v>6</v>
      </c>
    </row>
    <row r="12" spans="1:2" s="4" customFormat="1" x14ac:dyDescent="0.35">
      <c r="B12" s="4" t="s">
        <v>51</v>
      </c>
    </row>
    <row r="13" spans="1:2" s="4" customFormat="1" x14ac:dyDescent="0.35">
      <c r="B13" s="3" t="s">
        <v>52</v>
      </c>
    </row>
    <row r="14" spans="1:2" s="17" customFormat="1" x14ac:dyDescent="0.35">
      <c r="B14" s="17" t="s">
        <v>54</v>
      </c>
    </row>
    <row r="15" spans="1:2" s="4" customFormat="1" x14ac:dyDescent="0.35">
      <c r="B15" s="17" t="s">
        <v>55</v>
      </c>
    </row>
    <row r="16" spans="1:2" s="17" customFormat="1" x14ac:dyDescent="0.35">
      <c r="B16" s="3"/>
    </row>
    <row r="17" spans="1:9" s="4" customFormat="1" x14ac:dyDescent="0.35">
      <c r="B17" s="9" t="s">
        <v>50</v>
      </c>
    </row>
    <row r="18" spans="1:9" s="4" customFormat="1" x14ac:dyDescent="0.35">
      <c r="B18" s="4" t="s">
        <v>4</v>
      </c>
      <c r="I18" s="17"/>
    </row>
    <row r="19" spans="1:9" s="17" customFormat="1" x14ac:dyDescent="0.35">
      <c r="B19" s="4" t="s">
        <v>49</v>
      </c>
      <c r="I19" s="3"/>
    </row>
    <row r="20" spans="1:9" s="4" customFormat="1" x14ac:dyDescent="0.35">
      <c r="B20" s="17" t="s">
        <v>48</v>
      </c>
    </row>
    <row r="21" spans="1:9" s="4" customFormat="1" x14ac:dyDescent="0.35">
      <c r="B21" s="4" t="s">
        <v>12</v>
      </c>
    </row>
    <row r="22" spans="1:9" s="4" customFormat="1" x14ac:dyDescent="0.35">
      <c r="B22" s="8" t="s">
        <v>13</v>
      </c>
    </row>
    <row r="23" spans="1:9" s="4" customFormat="1" x14ac:dyDescent="0.35">
      <c r="B23" s="8" t="s">
        <v>14</v>
      </c>
    </row>
    <row r="24" spans="1:9" s="4" customFormat="1" x14ac:dyDescent="0.35">
      <c r="B24" s="2"/>
    </row>
    <row r="25" spans="1:9" s="4" customFormat="1" x14ac:dyDescent="0.35">
      <c r="B25" s="13" t="s">
        <v>56</v>
      </c>
    </row>
    <row r="26" spans="1:9" s="17" customFormat="1" x14ac:dyDescent="0.35">
      <c r="A26" s="22"/>
      <c r="B26" s="14" t="s">
        <v>60</v>
      </c>
    </row>
    <row r="27" spans="1:9" s="4" customFormat="1" x14ac:dyDescent="0.35">
      <c r="B27" s="4" t="s">
        <v>59</v>
      </c>
    </row>
    <row r="28" spans="1:9" s="4" customFormat="1" x14ac:dyDescent="0.35">
      <c r="B28" s="4" t="s">
        <v>58</v>
      </c>
    </row>
    <row r="29" spans="1:9" s="4" customFormat="1" x14ac:dyDescent="0.35">
      <c r="B29" s="4" t="s">
        <v>57</v>
      </c>
    </row>
    <row r="30" spans="1:9" s="4" customFormat="1" x14ac:dyDescent="0.35">
      <c r="B30" s="2"/>
    </row>
    <row r="31" spans="1:9" s="4" customFormat="1" x14ac:dyDescent="0.35">
      <c r="A31" s="5" t="s">
        <v>5</v>
      </c>
      <c r="B31" s="2" t="s">
        <v>18</v>
      </c>
    </row>
    <row r="32" spans="1:9" s="4" customFormat="1" x14ac:dyDescent="0.35">
      <c r="A32" s="5"/>
      <c r="B32" s="2"/>
    </row>
    <row r="33" spans="1:13" s="4" customFormat="1" x14ac:dyDescent="0.35">
      <c r="A33" s="5"/>
      <c r="B33" s="2" t="s">
        <v>15</v>
      </c>
    </row>
    <row r="34" spans="1:13" s="4" customFormat="1" x14ac:dyDescent="0.35">
      <c r="B34" s="2" t="s">
        <v>16</v>
      </c>
    </row>
    <row r="35" spans="1:13" s="4" customFormat="1" x14ac:dyDescent="0.35">
      <c r="B35" s="2" t="s">
        <v>17</v>
      </c>
    </row>
    <row r="36" spans="1:13" s="4" customFormat="1" x14ac:dyDescent="0.35"/>
    <row r="37" spans="1:13" s="4" customFormat="1" x14ac:dyDescent="0.35"/>
    <row r="38" spans="1:13" s="4" customFormat="1" x14ac:dyDescent="0.35">
      <c r="B38"/>
      <c r="C38"/>
      <c r="D38"/>
      <c r="E38"/>
      <c r="F38"/>
      <c r="G38"/>
      <c r="H38"/>
      <c r="I38"/>
      <c r="J38"/>
      <c r="K38"/>
      <c r="L38"/>
      <c r="M38"/>
    </row>
    <row r="39" spans="1:13" s="4" customFormat="1" x14ac:dyDescent="0.35">
      <c r="B39"/>
      <c r="C39"/>
      <c r="D39"/>
      <c r="E39"/>
      <c r="F39"/>
      <c r="G39"/>
      <c r="H39"/>
      <c r="I39"/>
      <c r="J39"/>
      <c r="K39"/>
      <c r="L39"/>
      <c r="M39"/>
    </row>
    <row r="40" spans="1:13" s="4" customFormat="1" x14ac:dyDescent="0.35">
      <c r="C40"/>
      <c r="D40"/>
      <c r="E40"/>
      <c r="F40"/>
      <c r="G40"/>
      <c r="H40"/>
      <c r="I40"/>
      <c r="J40"/>
      <c r="K40"/>
      <c r="L40"/>
      <c r="M40"/>
    </row>
    <row r="41" spans="1:13" s="4" customFormat="1" x14ac:dyDescent="0.35">
      <c r="C41"/>
      <c r="D41"/>
      <c r="E41" s="3"/>
      <c r="F41"/>
      <c r="G41"/>
      <c r="H41"/>
      <c r="I41"/>
      <c r="J41"/>
      <c r="K41"/>
      <c r="L41"/>
      <c r="M41"/>
    </row>
    <row r="42" spans="1:13" s="4" customFormat="1" x14ac:dyDescent="0.35">
      <c r="C42"/>
      <c r="D42"/>
      <c r="E42"/>
      <c r="F42"/>
      <c r="G42"/>
      <c r="H42"/>
      <c r="I42"/>
      <c r="J42"/>
      <c r="K42"/>
      <c r="L42"/>
      <c r="M42"/>
    </row>
    <row r="43" spans="1:13" s="4" customFormat="1" x14ac:dyDescent="0.35">
      <c r="C43"/>
      <c r="D43"/>
      <c r="E43"/>
      <c r="F43"/>
      <c r="G43"/>
      <c r="H43"/>
      <c r="I43"/>
      <c r="J43"/>
      <c r="K43"/>
      <c r="L43"/>
      <c r="M43"/>
    </row>
  </sheetData>
  <hyperlinks>
    <hyperlink ref="B6" r:id="rId1" xr:uid="{78F86FF6-6771-403C-8056-801073157E7E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38"/>
  <sheetViews>
    <sheetView workbookViewId="0"/>
  </sheetViews>
  <sheetFormatPr defaultRowHeight="14.5" x14ac:dyDescent="0.35"/>
  <cols>
    <col min="2" max="2" width="12.453125" customWidth="1"/>
  </cols>
  <sheetData>
    <row r="1" spans="1:2" x14ac:dyDescent="0.35">
      <c r="A1" t="s">
        <v>0</v>
      </c>
      <c r="B1" t="s">
        <v>1</v>
      </c>
    </row>
    <row r="2" spans="1:2" x14ac:dyDescent="0.35">
      <c r="A2" s="4">
        <v>2015</v>
      </c>
      <c r="B2" s="6">
        <f>'OR calculations'!F3</f>
        <v>0</v>
      </c>
    </row>
    <row r="3" spans="1:2" x14ac:dyDescent="0.35">
      <c r="A3" s="4">
        <v>2016</v>
      </c>
      <c r="B3" s="6">
        <f>'OR calculations'!F4</f>
        <v>0</v>
      </c>
    </row>
    <row r="4" spans="1:2" x14ac:dyDescent="0.35">
      <c r="A4" s="4">
        <v>2017</v>
      </c>
      <c r="B4" s="6">
        <f>'OR calculations'!F5</f>
        <v>0</v>
      </c>
    </row>
    <row r="5" spans="1:2" x14ac:dyDescent="0.35">
      <c r="A5" s="4">
        <v>2018</v>
      </c>
      <c r="B5" s="6">
        <f>'OR calculations'!F6</f>
        <v>0</v>
      </c>
    </row>
    <row r="6" spans="1:2" x14ac:dyDescent="0.35">
      <c r="A6" s="4">
        <v>2019</v>
      </c>
      <c r="B6" s="6">
        <f>'OR calculations'!F7</f>
        <v>0</v>
      </c>
    </row>
    <row r="7" spans="1:2" x14ac:dyDescent="0.35">
      <c r="A7" s="4">
        <v>2020</v>
      </c>
      <c r="B7" s="6">
        <f>'OR calculations'!F8</f>
        <v>5</v>
      </c>
    </row>
    <row r="8" spans="1:2" x14ac:dyDescent="0.35">
      <c r="A8" s="4">
        <v>2021</v>
      </c>
      <c r="B8" s="6">
        <f>'OR calculations'!F9</f>
        <v>7.0431323283082072</v>
      </c>
    </row>
    <row r="9" spans="1:2" x14ac:dyDescent="0.35">
      <c r="A9" s="4">
        <v>2022</v>
      </c>
      <c r="B9" s="6">
        <f>'OR calculations'!F10</f>
        <v>7.0431323283082072</v>
      </c>
    </row>
    <row r="10" spans="1:2" x14ac:dyDescent="0.35">
      <c r="A10" s="4">
        <v>2023</v>
      </c>
      <c r="B10" s="6">
        <f>'OR calculations'!F11</f>
        <v>7.6230909449206807</v>
      </c>
    </row>
    <row r="11" spans="1:2" x14ac:dyDescent="0.35">
      <c r="A11" s="4">
        <v>2024</v>
      </c>
      <c r="B11" s="6">
        <f>'OR calculations'!F12</f>
        <v>16.815991723322494</v>
      </c>
    </row>
    <row r="12" spans="1:2" x14ac:dyDescent="0.35">
      <c r="A12" s="4">
        <v>2025</v>
      </c>
      <c r="B12" s="6">
        <f>'OR calculations'!F13</f>
        <v>21.415964627056852</v>
      </c>
    </row>
    <row r="13" spans="1:2" x14ac:dyDescent="0.35">
      <c r="A13" s="4">
        <v>2026</v>
      </c>
      <c r="B13" s="6">
        <f>'OR calculations'!F14</f>
        <v>26.015937530791206</v>
      </c>
    </row>
    <row r="14" spans="1:2" x14ac:dyDescent="0.35">
      <c r="A14" s="4">
        <v>2027</v>
      </c>
      <c r="B14" s="6">
        <f>'OR calculations'!F15</f>
        <v>26.532349246231149</v>
      </c>
    </row>
    <row r="15" spans="1:2" x14ac:dyDescent="0.35">
      <c r="A15" s="4">
        <v>2028</v>
      </c>
      <c r="B15" s="6">
        <f>'OR calculations'!F16</f>
        <v>27.048760961671096</v>
      </c>
    </row>
    <row r="16" spans="1:2" x14ac:dyDescent="0.35">
      <c r="A16" s="4">
        <v>2029</v>
      </c>
      <c r="B16" s="6">
        <f>'OR calculations'!F17</f>
        <v>27.565172677111043</v>
      </c>
    </row>
    <row r="17" spans="1:2" x14ac:dyDescent="0.35">
      <c r="A17" s="4">
        <v>2030</v>
      </c>
      <c r="B17" s="6">
        <f>'OR calculations'!F18</f>
        <v>28.081584392550994</v>
      </c>
    </row>
    <row r="18" spans="1:2" x14ac:dyDescent="0.35">
      <c r="A18" s="4">
        <v>2031</v>
      </c>
      <c r="B18" s="6">
        <f>'OR calculations'!F19</f>
        <v>28.081584392550994</v>
      </c>
    </row>
    <row r="19" spans="1:2" x14ac:dyDescent="0.35">
      <c r="A19" s="4">
        <v>2032</v>
      </c>
      <c r="B19" s="6">
        <f>'OR calculations'!F20</f>
        <v>28.081584392550994</v>
      </c>
    </row>
    <row r="20" spans="1:2" x14ac:dyDescent="0.35">
      <c r="A20" s="4">
        <v>2033</v>
      </c>
      <c r="B20" s="6">
        <f>'OR calculations'!F21</f>
        <v>28.081584392550994</v>
      </c>
    </row>
    <row r="21" spans="1:2" x14ac:dyDescent="0.35">
      <c r="A21" s="4">
        <v>2034</v>
      </c>
      <c r="B21" s="6">
        <f>'OR calculations'!F22</f>
        <v>28.081584392550994</v>
      </c>
    </row>
    <row r="22" spans="1:2" x14ac:dyDescent="0.35">
      <c r="A22" s="4">
        <v>2035</v>
      </c>
      <c r="B22" s="6">
        <f>'OR calculations'!F23</f>
        <v>28.081584392550994</v>
      </c>
    </row>
    <row r="23" spans="1:2" x14ac:dyDescent="0.35">
      <c r="A23" s="4">
        <v>2036</v>
      </c>
      <c r="B23" s="6">
        <f>'OR calculations'!F24</f>
        <v>28.081584392550994</v>
      </c>
    </row>
    <row r="24" spans="1:2" x14ac:dyDescent="0.35">
      <c r="A24" s="4">
        <v>2037</v>
      </c>
      <c r="B24" s="6">
        <f>'OR calculations'!F25</f>
        <v>28.081584392550994</v>
      </c>
    </row>
    <row r="25" spans="1:2" x14ac:dyDescent="0.35">
      <c r="A25" s="4">
        <v>2038</v>
      </c>
      <c r="B25" s="6">
        <f>'OR calculations'!F26</f>
        <v>28.081584392550994</v>
      </c>
    </row>
    <row r="26" spans="1:2" x14ac:dyDescent="0.35">
      <c r="A26" s="4">
        <v>2039</v>
      </c>
      <c r="B26" s="6">
        <f>'OR calculations'!F27</f>
        <v>28.081584392550994</v>
      </c>
    </row>
    <row r="27" spans="1:2" x14ac:dyDescent="0.35">
      <c r="A27" s="4">
        <v>2040</v>
      </c>
      <c r="B27" s="6">
        <f>'OR calculations'!F28</f>
        <v>28.081584392550994</v>
      </c>
    </row>
    <row r="28" spans="1:2" x14ac:dyDescent="0.35">
      <c r="A28" s="4">
        <v>2041</v>
      </c>
      <c r="B28" s="6">
        <f>'OR calculations'!F29</f>
        <v>28.081584392550994</v>
      </c>
    </row>
    <row r="29" spans="1:2" x14ac:dyDescent="0.35">
      <c r="A29" s="4">
        <v>2042</v>
      </c>
      <c r="B29" s="6">
        <f>'OR calculations'!F30</f>
        <v>28.081584392550994</v>
      </c>
    </row>
    <row r="30" spans="1:2" x14ac:dyDescent="0.35">
      <c r="A30" s="4">
        <v>2043</v>
      </c>
      <c r="B30" s="6">
        <f>'OR calculations'!F31</f>
        <v>28.081584392550994</v>
      </c>
    </row>
    <row r="31" spans="1:2" x14ac:dyDescent="0.35">
      <c r="A31" s="4">
        <v>2044</v>
      </c>
      <c r="B31" s="6">
        <f>'OR calculations'!F32</f>
        <v>28.081584392550994</v>
      </c>
    </row>
    <row r="32" spans="1:2" x14ac:dyDescent="0.35">
      <c r="A32" s="4">
        <v>2045</v>
      </c>
      <c r="B32" s="6">
        <f>'OR calculations'!F33</f>
        <v>28.081584392550994</v>
      </c>
    </row>
    <row r="33" spans="1:2" x14ac:dyDescent="0.35">
      <c r="A33" s="4">
        <v>2046</v>
      </c>
      <c r="B33" s="6">
        <f>'OR calculations'!F34</f>
        <v>28.081584392550994</v>
      </c>
    </row>
    <row r="34" spans="1:2" x14ac:dyDescent="0.35">
      <c r="A34" s="4">
        <v>2047</v>
      </c>
      <c r="B34" s="6">
        <f>'OR calculations'!F35</f>
        <v>28.081584392550994</v>
      </c>
    </row>
    <row r="35" spans="1:2" x14ac:dyDescent="0.35">
      <c r="A35" s="4">
        <v>2048</v>
      </c>
      <c r="B35" s="6">
        <f>'OR calculations'!F36</f>
        <v>28.081584392550994</v>
      </c>
    </row>
    <row r="36" spans="1:2" x14ac:dyDescent="0.35">
      <c r="A36" s="4">
        <v>2049</v>
      </c>
      <c r="B36" s="6">
        <f>'OR calculations'!F37</f>
        <v>28.081584392550994</v>
      </c>
    </row>
    <row r="37" spans="1:2" x14ac:dyDescent="0.35">
      <c r="A37" s="4">
        <v>2050</v>
      </c>
      <c r="B37" s="6">
        <f>'OR calculations'!F38</f>
        <v>28.081584392550994</v>
      </c>
    </row>
    <row r="38" spans="1:2" x14ac:dyDescent="0.35">
      <c r="B3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B1D5D-D1E8-410B-BE80-7DF93D6DAE7B}">
  <dimension ref="A1:H39"/>
  <sheetViews>
    <sheetView workbookViewId="0">
      <selection activeCell="E2" sqref="E2"/>
    </sheetView>
  </sheetViews>
  <sheetFormatPr defaultRowHeight="14.5" x14ac:dyDescent="0.35"/>
  <cols>
    <col min="1" max="1" width="8.7265625" style="17"/>
    <col min="2" max="2" width="12.453125" style="17" customWidth="1"/>
    <col min="3" max="4" width="8.7265625" style="17"/>
    <col min="5" max="5" width="40.7265625" style="17" bestFit="1" customWidth="1"/>
    <col min="6" max="6" width="37" style="17" bestFit="1" customWidth="1"/>
    <col min="7" max="16384" width="8.7265625" style="17"/>
  </cols>
  <sheetData>
    <row r="1" spans="1:8" x14ac:dyDescent="0.35">
      <c r="A1" s="17" t="s">
        <v>61</v>
      </c>
      <c r="E1" s="17" t="s">
        <v>63</v>
      </c>
    </row>
    <row r="2" spans="1:8" x14ac:dyDescent="0.35">
      <c r="A2" s="17" t="s">
        <v>0</v>
      </c>
      <c r="B2" s="17" t="s">
        <v>1</v>
      </c>
      <c r="C2" s="17" t="s">
        <v>64</v>
      </c>
      <c r="D2" s="17" t="s">
        <v>65</v>
      </c>
      <c r="E2" s="17" t="s">
        <v>66</v>
      </c>
      <c r="F2" s="17" t="s">
        <v>67</v>
      </c>
    </row>
    <row r="3" spans="1:8" x14ac:dyDescent="0.35">
      <c r="A3" s="17">
        <v>2015</v>
      </c>
      <c r="B3" s="7">
        <f>'2017 and earlier'!F3</f>
        <v>73.5</v>
      </c>
      <c r="E3" s="17">
        <v>0</v>
      </c>
      <c r="F3" s="17">
        <v>0</v>
      </c>
    </row>
    <row r="4" spans="1:8" x14ac:dyDescent="0.35">
      <c r="A4" s="17">
        <v>2016</v>
      </c>
      <c r="B4" s="7">
        <f>'2017 and earlier'!F4</f>
        <v>73.5</v>
      </c>
      <c r="C4" s="17">
        <f>(B4-B3)/B3</f>
        <v>0</v>
      </c>
      <c r="D4" s="17">
        <f>C4/2</f>
        <v>0</v>
      </c>
      <c r="E4" s="17">
        <v>0</v>
      </c>
      <c r="F4" s="17">
        <v>0</v>
      </c>
    </row>
    <row r="5" spans="1:8" x14ac:dyDescent="0.35">
      <c r="A5" s="17">
        <v>2017</v>
      </c>
      <c r="B5" s="7">
        <f>'2017 and earlier'!F5</f>
        <v>162.5</v>
      </c>
      <c r="C5" s="17">
        <f t="shared" ref="C5:C38" si="0">(B5-B4)/B4</f>
        <v>1.2108843537414966</v>
      </c>
      <c r="D5" s="17">
        <f t="shared" ref="D5:D38" si="1">C5/2</f>
        <v>0.60544217687074831</v>
      </c>
      <c r="E5" s="17">
        <v>0</v>
      </c>
      <c r="F5" s="17">
        <v>0</v>
      </c>
    </row>
    <row r="6" spans="1:8" x14ac:dyDescent="0.35">
      <c r="A6" s="17">
        <v>2018</v>
      </c>
      <c r="B6" s="7">
        <f>'2018 and 2019'!$B$3</f>
        <v>205</v>
      </c>
      <c r="C6" s="17">
        <f t="shared" si="0"/>
        <v>0.26153846153846155</v>
      </c>
      <c r="D6" s="17">
        <f t="shared" si="1"/>
        <v>0.13076923076923078</v>
      </c>
      <c r="E6" s="17">
        <v>0</v>
      </c>
      <c r="F6" s="17">
        <v>0</v>
      </c>
      <c r="H6" s="17" t="s">
        <v>62</v>
      </c>
    </row>
    <row r="7" spans="1:8" x14ac:dyDescent="0.35">
      <c r="A7" s="17">
        <v>2019</v>
      </c>
      <c r="B7" s="7">
        <f>'2018 and 2019'!$B$4</f>
        <v>350</v>
      </c>
      <c r="C7" s="17">
        <f t="shared" si="0"/>
        <v>0.70731707317073167</v>
      </c>
      <c r="D7" s="17">
        <f t="shared" si="1"/>
        <v>0.35365853658536583</v>
      </c>
      <c r="E7" s="17">
        <v>0</v>
      </c>
      <c r="F7" s="17">
        <v>0</v>
      </c>
    </row>
    <row r="8" spans="1:8" x14ac:dyDescent="0.35">
      <c r="A8" s="17">
        <v>2020</v>
      </c>
      <c r="B8" s="7">
        <f>'Time series 2020-2030'!B8</f>
        <v>2029.8000000000002</v>
      </c>
      <c r="C8" s="17">
        <f t="shared" si="0"/>
        <v>4.7994285714285718</v>
      </c>
      <c r="D8" s="17">
        <f t="shared" si="1"/>
        <v>2.3997142857142859</v>
      </c>
      <c r="E8" s="17">
        <v>5</v>
      </c>
      <c r="F8" s="17">
        <v>5</v>
      </c>
    </row>
    <row r="9" spans="1:8" x14ac:dyDescent="0.35">
      <c r="A9" s="17">
        <v>2021</v>
      </c>
      <c r="B9" s="7">
        <f>'Time series 2020-2030'!B9</f>
        <v>2859.23</v>
      </c>
      <c r="C9" s="17">
        <f t="shared" si="0"/>
        <v>0.4086264656616414</v>
      </c>
      <c r="D9" s="17">
        <f t="shared" si="1"/>
        <v>0.2043132328308207</v>
      </c>
      <c r="E9" s="17">
        <f>E8*(1+D9)</f>
        <v>6.0215661641541036</v>
      </c>
      <c r="F9" s="17">
        <f>F8*(1+C9)</f>
        <v>7.0431323283082072</v>
      </c>
    </row>
    <row r="10" spans="1:8" x14ac:dyDescent="0.35">
      <c r="A10" s="17">
        <v>2022</v>
      </c>
      <c r="B10" s="7">
        <f>'Time series 2020-2030'!B10</f>
        <v>2859.23</v>
      </c>
      <c r="C10" s="17">
        <f t="shared" si="0"/>
        <v>0</v>
      </c>
      <c r="D10" s="17">
        <f t="shared" si="1"/>
        <v>0</v>
      </c>
      <c r="E10" s="17">
        <f t="shared" ref="E10:E38" si="2">E9*(1+D10)</f>
        <v>6.0215661641541036</v>
      </c>
      <c r="F10" s="17">
        <f t="shared" ref="F10:F38" si="3">F9*(1+C10)</f>
        <v>7.0431323283082072</v>
      </c>
    </row>
    <row r="11" spans="1:8" x14ac:dyDescent="0.35">
      <c r="A11" s="17">
        <v>2023</v>
      </c>
      <c r="B11" s="7">
        <f>'Time series 2020-2030'!B11</f>
        <v>3094.6699999999996</v>
      </c>
      <c r="C11" s="17">
        <f t="shared" si="0"/>
        <v>8.2343847819167953E-2</v>
      </c>
      <c r="D11" s="17">
        <f t="shared" si="1"/>
        <v>4.1171923909583977E-2</v>
      </c>
      <c r="E11" s="17">
        <f t="shared" si="2"/>
        <v>6.2694856280811821</v>
      </c>
      <c r="F11" s="17">
        <f t="shared" si="3"/>
        <v>7.6230909449206807</v>
      </c>
    </row>
    <row r="12" spans="1:8" x14ac:dyDescent="0.35">
      <c r="A12" s="17">
        <v>2024</v>
      </c>
      <c r="B12" s="7">
        <f>'Time series 2020-2030'!B12</f>
        <v>6826.62</v>
      </c>
      <c r="C12" s="17">
        <f t="shared" si="0"/>
        <v>1.2059282572939929</v>
      </c>
      <c r="D12" s="17">
        <f t="shared" si="1"/>
        <v>0.60296412864699644</v>
      </c>
      <c r="E12" s="17">
        <f t="shared" si="2"/>
        <v>10.04976056688202</v>
      </c>
      <c r="F12" s="17">
        <f t="shared" si="3"/>
        <v>16.815991723322494</v>
      </c>
    </row>
    <row r="13" spans="1:8" x14ac:dyDescent="0.35">
      <c r="A13" s="17">
        <v>2025</v>
      </c>
      <c r="B13" s="7">
        <f>'Time series 2020-2030'!B13</f>
        <v>8694.0249999999996</v>
      </c>
      <c r="C13" s="17">
        <f t="shared" si="0"/>
        <v>0.27354752425065404</v>
      </c>
      <c r="D13" s="17">
        <f t="shared" si="1"/>
        <v>0.13677376212532702</v>
      </c>
      <c r="E13" s="17">
        <f t="shared" si="2"/>
        <v>11.424304128073233</v>
      </c>
      <c r="F13" s="17">
        <f t="shared" si="3"/>
        <v>21.415964627056852</v>
      </c>
    </row>
    <row r="14" spans="1:8" x14ac:dyDescent="0.35">
      <c r="A14" s="17">
        <v>2026</v>
      </c>
      <c r="B14" s="7">
        <f>'Time series 2020-2030'!B14</f>
        <v>10561.429999999998</v>
      </c>
      <c r="C14" s="17">
        <f t="shared" si="0"/>
        <v>0.21479176790956994</v>
      </c>
      <c r="D14" s="17">
        <f t="shared" si="1"/>
        <v>0.10739588395478497</v>
      </c>
      <c r="E14" s="17">
        <f t="shared" si="2"/>
        <v>12.651227368475958</v>
      </c>
      <c r="F14" s="17">
        <f t="shared" si="3"/>
        <v>26.015937530791206</v>
      </c>
    </row>
    <row r="15" spans="1:8" x14ac:dyDescent="0.35">
      <c r="A15" s="17">
        <v>2027</v>
      </c>
      <c r="B15" s="7">
        <f>'Time series 2020-2030'!B15</f>
        <v>10771.072499999998</v>
      </c>
      <c r="C15" s="17">
        <f t="shared" si="0"/>
        <v>1.9849821473039157E-2</v>
      </c>
      <c r="D15" s="17">
        <f t="shared" si="1"/>
        <v>9.9249107365195783E-3</v>
      </c>
      <c r="E15" s="17">
        <f t="shared" si="2"/>
        <v>12.776789670815495</v>
      </c>
      <c r="F15" s="17">
        <f t="shared" si="3"/>
        <v>26.532349246231149</v>
      </c>
    </row>
    <row r="16" spans="1:8" x14ac:dyDescent="0.35">
      <c r="A16" s="17">
        <v>2028</v>
      </c>
      <c r="B16" s="7">
        <f>'Time series 2020-2030'!B16</f>
        <v>10980.714999999998</v>
      </c>
      <c r="C16" s="17">
        <f t="shared" si="0"/>
        <v>1.9463474969646705E-2</v>
      </c>
      <c r="D16" s="17">
        <f t="shared" si="1"/>
        <v>9.7317374848233523E-3</v>
      </c>
      <c r="E16" s="17">
        <f t="shared" si="2"/>
        <v>12.901130033790674</v>
      </c>
      <c r="F16" s="17">
        <f t="shared" si="3"/>
        <v>27.048760961671096</v>
      </c>
    </row>
    <row r="17" spans="1:6" x14ac:dyDescent="0.35">
      <c r="A17" s="17">
        <v>2029</v>
      </c>
      <c r="B17" s="7">
        <f>'Time series 2020-2030'!B17</f>
        <v>11190.357499999998</v>
      </c>
      <c r="C17" s="17">
        <f t="shared" si="0"/>
        <v>1.9091880628902578E-2</v>
      </c>
      <c r="D17" s="17">
        <f t="shared" si="1"/>
        <v>9.5459403144512889E-3</v>
      </c>
      <c r="E17" s="17">
        <f t="shared" si="2"/>
        <v>13.024283451082216</v>
      </c>
      <c r="F17" s="17">
        <f t="shared" si="3"/>
        <v>27.565172677111043</v>
      </c>
    </row>
    <row r="18" spans="1:6" x14ac:dyDescent="0.35">
      <c r="A18" s="17">
        <v>2030</v>
      </c>
      <c r="B18" s="7">
        <f>'Time series 2020-2030'!B18</f>
        <v>11400</v>
      </c>
      <c r="C18" s="17">
        <f t="shared" si="0"/>
        <v>1.8734209340497101E-2</v>
      </c>
      <c r="D18" s="17">
        <f t="shared" si="1"/>
        <v>9.3671046702485505E-3</v>
      </c>
      <c r="E18" s="17">
        <f t="shared" si="2"/>
        <v>13.146283277423489</v>
      </c>
      <c r="F18" s="17">
        <f t="shared" si="3"/>
        <v>28.081584392550994</v>
      </c>
    </row>
    <row r="19" spans="1:6" x14ac:dyDescent="0.35">
      <c r="A19" s="17">
        <v>2031</v>
      </c>
      <c r="B19" s="7">
        <f>B18</f>
        <v>11400</v>
      </c>
      <c r="C19" s="17">
        <f t="shared" si="0"/>
        <v>0</v>
      </c>
      <c r="D19" s="17">
        <f t="shared" si="1"/>
        <v>0</v>
      </c>
      <c r="E19" s="17">
        <f t="shared" si="2"/>
        <v>13.146283277423489</v>
      </c>
      <c r="F19" s="17">
        <f t="shared" si="3"/>
        <v>28.081584392550994</v>
      </c>
    </row>
    <row r="20" spans="1:6" x14ac:dyDescent="0.35">
      <c r="A20" s="17">
        <v>2032</v>
      </c>
      <c r="B20" s="7">
        <f t="shared" ref="B20:B38" si="4">B19</f>
        <v>11400</v>
      </c>
      <c r="C20" s="17">
        <f t="shared" si="0"/>
        <v>0</v>
      </c>
      <c r="D20" s="17">
        <f t="shared" si="1"/>
        <v>0</v>
      </c>
      <c r="E20" s="17">
        <f t="shared" si="2"/>
        <v>13.146283277423489</v>
      </c>
      <c r="F20" s="17">
        <f t="shared" si="3"/>
        <v>28.081584392550994</v>
      </c>
    </row>
    <row r="21" spans="1:6" x14ac:dyDescent="0.35">
      <c r="A21" s="17">
        <v>2033</v>
      </c>
      <c r="B21" s="7">
        <f t="shared" si="4"/>
        <v>11400</v>
      </c>
      <c r="C21" s="17">
        <f t="shared" si="0"/>
        <v>0</v>
      </c>
      <c r="D21" s="17">
        <f t="shared" si="1"/>
        <v>0</v>
      </c>
      <c r="E21" s="17">
        <f t="shared" si="2"/>
        <v>13.146283277423489</v>
      </c>
      <c r="F21" s="17">
        <f t="shared" si="3"/>
        <v>28.081584392550994</v>
      </c>
    </row>
    <row r="22" spans="1:6" x14ac:dyDescent="0.35">
      <c r="A22" s="17">
        <v>2034</v>
      </c>
      <c r="B22" s="7">
        <f t="shared" si="4"/>
        <v>11400</v>
      </c>
      <c r="C22" s="17">
        <f t="shared" si="0"/>
        <v>0</v>
      </c>
      <c r="D22" s="17">
        <f t="shared" si="1"/>
        <v>0</v>
      </c>
      <c r="E22" s="17">
        <f t="shared" si="2"/>
        <v>13.146283277423489</v>
      </c>
      <c r="F22" s="17">
        <f t="shared" si="3"/>
        <v>28.081584392550994</v>
      </c>
    </row>
    <row r="23" spans="1:6" x14ac:dyDescent="0.35">
      <c r="A23" s="17">
        <v>2035</v>
      </c>
      <c r="B23" s="7">
        <f t="shared" si="4"/>
        <v>11400</v>
      </c>
      <c r="C23" s="17">
        <f t="shared" si="0"/>
        <v>0</v>
      </c>
      <c r="D23" s="17">
        <f t="shared" si="1"/>
        <v>0</v>
      </c>
      <c r="E23" s="17">
        <f t="shared" si="2"/>
        <v>13.146283277423489</v>
      </c>
      <c r="F23" s="17">
        <f t="shared" si="3"/>
        <v>28.081584392550994</v>
      </c>
    </row>
    <row r="24" spans="1:6" x14ac:dyDescent="0.35">
      <c r="A24" s="17">
        <v>2036</v>
      </c>
      <c r="B24" s="7">
        <f t="shared" si="4"/>
        <v>11400</v>
      </c>
      <c r="C24" s="17">
        <f t="shared" si="0"/>
        <v>0</v>
      </c>
      <c r="D24" s="17">
        <f t="shared" si="1"/>
        <v>0</v>
      </c>
      <c r="E24" s="17">
        <f t="shared" si="2"/>
        <v>13.146283277423489</v>
      </c>
      <c r="F24" s="17">
        <f t="shared" si="3"/>
        <v>28.081584392550994</v>
      </c>
    </row>
    <row r="25" spans="1:6" x14ac:dyDescent="0.35">
      <c r="A25" s="17">
        <v>2037</v>
      </c>
      <c r="B25" s="7">
        <f t="shared" si="4"/>
        <v>11400</v>
      </c>
      <c r="C25" s="17">
        <f t="shared" si="0"/>
        <v>0</v>
      </c>
      <c r="D25" s="17">
        <f t="shared" si="1"/>
        <v>0</v>
      </c>
      <c r="E25" s="17">
        <f t="shared" si="2"/>
        <v>13.146283277423489</v>
      </c>
      <c r="F25" s="17">
        <f t="shared" si="3"/>
        <v>28.081584392550994</v>
      </c>
    </row>
    <row r="26" spans="1:6" x14ac:dyDescent="0.35">
      <c r="A26" s="17">
        <v>2038</v>
      </c>
      <c r="B26" s="7">
        <f t="shared" si="4"/>
        <v>11400</v>
      </c>
      <c r="C26" s="17">
        <f t="shared" si="0"/>
        <v>0</v>
      </c>
      <c r="D26" s="17">
        <f t="shared" si="1"/>
        <v>0</v>
      </c>
      <c r="E26" s="17">
        <f t="shared" si="2"/>
        <v>13.146283277423489</v>
      </c>
      <c r="F26" s="17">
        <f t="shared" si="3"/>
        <v>28.081584392550994</v>
      </c>
    </row>
    <row r="27" spans="1:6" x14ac:dyDescent="0.35">
      <c r="A27" s="17">
        <v>2039</v>
      </c>
      <c r="B27" s="7">
        <f t="shared" si="4"/>
        <v>11400</v>
      </c>
      <c r="C27" s="17">
        <f t="shared" si="0"/>
        <v>0</v>
      </c>
      <c r="D27" s="17">
        <f t="shared" si="1"/>
        <v>0</v>
      </c>
      <c r="E27" s="17">
        <f t="shared" si="2"/>
        <v>13.146283277423489</v>
      </c>
      <c r="F27" s="17">
        <f t="shared" si="3"/>
        <v>28.081584392550994</v>
      </c>
    </row>
    <row r="28" spans="1:6" x14ac:dyDescent="0.35">
      <c r="A28" s="17">
        <v>2040</v>
      </c>
      <c r="B28" s="7">
        <f t="shared" si="4"/>
        <v>11400</v>
      </c>
      <c r="C28" s="17">
        <f t="shared" si="0"/>
        <v>0</v>
      </c>
      <c r="D28" s="17">
        <f t="shared" si="1"/>
        <v>0</v>
      </c>
      <c r="E28" s="17">
        <f t="shared" si="2"/>
        <v>13.146283277423489</v>
      </c>
      <c r="F28" s="17">
        <f t="shared" si="3"/>
        <v>28.081584392550994</v>
      </c>
    </row>
    <row r="29" spans="1:6" x14ac:dyDescent="0.35">
      <c r="A29" s="17">
        <v>2041</v>
      </c>
      <c r="B29" s="7">
        <f t="shared" si="4"/>
        <v>11400</v>
      </c>
      <c r="C29" s="17">
        <f t="shared" si="0"/>
        <v>0</v>
      </c>
      <c r="D29" s="17">
        <f t="shared" si="1"/>
        <v>0</v>
      </c>
      <c r="E29" s="17">
        <f t="shared" si="2"/>
        <v>13.146283277423489</v>
      </c>
      <c r="F29" s="17">
        <f t="shared" si="3"/>
        <v>28.081584392550994</v>
      </c>
    </row>
    <row r="30" spans="1:6" x14ac:dyDescent="0.35">
      <c r="A30" s="17">
        <v>2042</v>
      </c>
      <c r="B30" s="7">
        <f t="shared" si="4"/>
        <v>11400</v>
      </c>
      <c r="C30" s="17">
        <f t="shared" si="0"/>
        <v>0</v>
      </c>
      <c r="D30" s="17">
        <f t="shared" si="1"/>
        <v>0</v>
      </c>
      <c r="E30" s="17">
        <f t="shared" si="2"/>
        <v>13.146283277423489</v>
      </c>
      <c r="F30" s="17">
        <f t="shared" si="3"/>
        <v>28.081584392550994</v>
      </c>
    </row>
    <row r="31" spans="1:6" x14ac:dyDescent="0.35">
      <c r="A31" s="17">
        <v>2043</v>
      </c>
      <c r="B31" s="7">
        <f t="shared" si="4"/>
        <v>11400</v>
      </c>
      <c r="C31" s="17">
        <f t="shared" si="0"/>
        <v>0</v>
      </c>
      <c r="D31" s="17">
        <f t="shared" si="1"/>
        <v>0</v>
      </c>
      <c r="E31" s="17">
        <f t="shared" si="2"/>
        <v>13.146283277423489</v>
      </c>
      <c r="F31" s="17">
        <f t="shared" si="3"/>
        <v>28.081584392550994</v>
      </c>
    </row>
    <row r="32" spans="1:6" x14ac:dyDescent="0.35">
      <c r="A32" s="17">
        <v>2044</v>
      </c>
      <c r="B32" s="7">
        <f t="shared" si="4"/>
        <v>11400</v>
      </c>
      <c r="C32" s="17">
        <f t="shared" si="0"/>
        <v>0</v>
      </c>
      <c r="D32" s="17">
        <f t="shared" si="1"/>
        <v>0</v>
      </c>
      <c r="E32" s="17">
        <f t="shared" si="2"/>
        <v>13.146283277423489</v>
      </c>
      <c r="F32" s="17">
        <f t="shared" si="3"/>
        <v>28.081584392550994</v>
      </c>
    </row>
    <row r="33" spans="1:6" x14ac:dyDescent="0.35">
      <c r="A33" s="17">
        <v>2045</v>
      </c>
      <c r="B33" s="7">
        <f t="shared" si="4"/>
        <v>11400</v>
      </c>
      <c r="C33" s="17">
        <f t="shared" si="0"/>
        <v>0</v>
      </c>
      <c r="D33" s="17">
        <f t="shared" si="1"/>
        <v>0</v>
      </c>
      <c r="E33" s="17">
        <f t="shared" si="2"/>
        <v>13.146283277423489</v>
      </c>
      <c r="F33" s="17">
        <f t="shared" si="3"/>
        <v>28.081584392550994</v>
      </c>
    </row>
    <row r="34" spans="1:6" x14ac:dyDescent="0.35">
      <c r="A34" s="17">
        <v>2046</v>
      </c>
      <c r="B34" s="7">
        <f t="shared" si="4"/>
        <v>11400</v>
      </c>
      <c r="C34" s="17">
        <f t="shared" si="0"/>
        <v>0</v>
      </c>
      <c r="D34" s="17">
        <f t="shared" si="1"/>
        <v>0</v>
      </c>
      <c r="E34" s="17">
        <f t="shared" si="2"/>
        <v>13.146283277423489</v>
      </c>
      <c r="F34" s="17">
        <f t="shared" si="3"/>
        <v>28.081584392550994</v>
      </c>
    </row>
    <row r="35" spans="1:6" x14ac:dyDescent="0.35">
      <c r="A35" s="17">
        <v>2047</v>
      </c>
      <c r="B35" s="7">
        <f t="shared" si="4"/>
        <v>11400</v>
      </c>
      <c r="C35" s="17">
        <f t="shared" si="0"/>
        <v>0</v>
      </c>
      <c r="D35" s="17">
        <f t="shared" si="1"/>
        <v>0</v>
      </c>
      <c r="E35" s="17">
        <f t="shared" si="2"/>
        <v>13.146283277423489</v>
      </c>
      <c r="F35" s="17">
        <f t="shared" si="3"/>
        <v>28.081584392550994</v>
      </c>
    </row>
    <row r="36" spans="1:6" x14ac:dyDescent="0.35">
      <c r="A36" s="17">
        <v>2048</v>
      </c>
      <c r="B36" s="7">
        <f t="shared" si="4"/>
        <v>11400</v>
      </c>
      <c r="C36" s="17">
        <f t="shared" si="0"/>
        <v>0</v>
      </c>
      <c r="D36" s="17">
        <f t="shared" si="1"/>
        <v>0</v>
      </c>
      <c r="E36" s="17">
        <f t="shared" si="2"/>
        <v>13.146283277423489</v>
      </c>
      <c r="F36" s="17">
        <f t="shared" si="3"/>
        <v>28.081584392550994</v>
      </c>
    </row>
    <row r="37" spans="1:6" x14ac:dyDescent="0.35">
      <c r="A37" s="17">
        <v>2049</v>
      </c>
      <c r="B37" s="7">
        <f t="shared" si="4"/>
        <v>11400</v>
      </c>
      <c r="C37" s="17">
        <f t="shared" si="0"/>
        <v>0</v>
      </c>
      <c r="D37" s="17">
        <f t="shared" si="1"/>
        <v>0</v>
      </c>
      <c r="E37" s="17">
        <f t="shared" si="2"/>
        <v>13.146283277423489</v>
      </c>
      <c r="F37" s="17">
        <f t="shared" si="3"/>
        <v>28.081584392550994</v>
      </c>
    </row>
    <row r="38" spans="1:6" x14ac:dyDescent="0.35">
      <c r="A38" s="17">
        <v>2050</v>
      </c>
      <c r="B38" s="7">
        <f t="shared" si="4"/>
        <v>11400</v>
      </c>
      <c r="C38" s="17">
        <f t="shared" si="0"/>
        <v>0</v>
      </c>
      <c r="D38" s="17">
        <f t="shared" si="1"/>
        <v>0</v>
      </c>
      <c r="E38" s="17">
        <f t="shared" si="2"/>
        <v>13.146283277423489</v>
      </c>
      <c r="F38" s="17">
        <f t="shared" si="3"/>
        <v>28.081584392550994</v>
      </c>
    </row>
    <row r="39" spans="1:6" x14ac:dyDescent="0.35">
      <c r="B39" s="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5"/>
  <sheetViews>
    <sheetView workbookViewId="0">
      <selection activeCell="M41" sqref="M41"/>
    </sheetView>
  </sheetViews>
  <sheetFormatPr defaultRowHeight="14.5" x14ac:dyDescent="0.35"/>
  <sheetData>
    <row r="1" spans="1:2" x14ac:dyDescent="0.35">
      <c r="A1" t="s">
        <v>37</v>
      </c>
    </row>
    <row r="3" spans="1:2" x14ac:dyDescent="0.35">
      <c r="A3">
        <v>2018</v>
      </c>
      <c r="B3">
        <v>205</v>
      </c>
    </row>
    <row r="4" spans="1:2" x14ac:dyDescent="0.35">
      <c r="A4">
        <v>2019</v>
      </c>
      <c r="B4">
        <v>350</v>
      </c>
    </row>
    <row r="12" spans="1:2" x14ac:dyDescent="0.35">
      <c r="A12" s="3" t="s">
        <v>42</v>
      </c>
    </row>
    <row r="49" spans="1:16" x14ac:dyDescent="0.35">
      <c r="A49" s="3" t="s">
        <v>36</v>
      </c>
    </row>
    <row r="50" spans="1:16" x14ac:dyDescent="0.35">
      <c r="A50" t="s">
        <v>38</v>
      </c>
    </row>
    <row r="53" spans="1:16" x14ac:dyDescent="0.35">
      <c r="M53" t="s">
        <v>39</v>
      </c>
      <c r="N53">
        <v>332</v>
      </c>
    </row>
    <row r="54" spans="1:16" x14ac:dyDescent="0.35">
      <c r="M54" t="s">
        <v>11</v>
      </c>
      <c r="N54">
        <f>6.5+56+46</f>
        <v>108.5</v>
      </c>
    </row>
    <row r="55" spans="1:16" x14ac:dyDescent="0.35">
      <c r="M55" t="s">
        <v>40</v>
      </c>
      <c r="N55">
        <f>N53-N54</f>
        <v>223.5</v>
      </c>
      <c r="P55" t="s">
        <v>41</v>
      </c>
    </row>
  </sheetData>
  <hyperlinks>
    <hyperlink ref="A49" r:id="rId1" xr:uid="{00000000-0004-0000-0200-000000000000}"/>
    <hyperlink ref="A12" r:id="rId2" xr:uid="{00000000-0004-0000-0200-000001000000}"/>
  </hyperlinks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40"/>
  <sheetViews>
    <sheetView zoomScale="85" zoomScaleNormal="85" workbookViewId="0">
      <selection activeCell="M41" sqref="M41"/>
    </sheetView>
  </sheetViews>
  <sheetFormatPr defaultColWidth="8.7265625" defaultRowHeight="14.5" x14ac:dyDescent="0.35"/>
  <cols>
    <col min="1" max="3" width="8.7265625" style="4"/>
    <col min="4" max="4" width="14.08984375" style="11" customWidth="1"/>
    <col min="5" max="5" width="8.7265625" style="4"/>
    <col min="6" max="6" width="17" style="4" customWidth="1"/>
    <col min="7" max="7" width="5.54296875" style="11" customWidth="1"/>
    <col min="8" max="8" width="6.453125" style="11" customWidth="1"/>
    <col min="9" max="12" width="8.7265625" style="4"/>
    <col min="13" max="13" width="29.1796875" style="4" customWidth="1"/>
    <col min="14" max="16384" width="8.7265625" style="4"/>
  </cols>
  <sheetData>
    <row r="1" spans="1:6" x14ac:dyDescent="0.35">
      <c r="B1" s="4" t="s">
        <v>43</v>
      </c>
      <c r="F1" s="4" t="s">
        <v>44</v>
      </c>
    </row>
    <row r="2" spans="1:6" x14ac:dyDescent="0.35">
      <c r="A2" s="4" t="s">
        <v>0</v>
      </c>
      <c r="B2" s="4" t="s">
        <v>7</v>
      </c>
      <c r="C2" s="4" t="s">
        <v>8</v>
      </c>
    </row>
    <row r="3" spans="1:6" x14ac:dyDescent="0.35">
      <c r="A3" s="4">
        <v>2015</v>
      </c>
      <c r="B3" s="4">
        <v>73.5</v>
      </c>
      <c r="C3" s="4">
        <v>0</v>
      </c>
      <c r="F3" s="4">
        <f>SUM(B3:E3)</f>
        <v>73.5</v>
      </c>
    </row>
    <row r="4" spans="1:6" x14ac:dyDescent="0.35">
      <c r="A4" s="4">
        <v>2016</v>
      </c>
      <c r="B4" s="4">
        <v>73.5</v>
      </c>
      <c r="C4" s="4">
        <v>0</v>
      </c>
      <c r="F4" s="4">
        <f>F3+SUM(E4:E4)</f>
        <v>73.5</v>
      </c>
    </row>
    <row r="5" spans="1:6" x14ac:dyDescent="0.35">
      <c r="A5" s="4">
        <v>2017</v>
      </c>
      <c r="B5" s="4">
        <v>103.5</v>
      </c>
      <c r="C5" s="4">
        <v>59</v>
      </c>
      <c r="F5" s="4">
        <f>B5+C5</f>
        <v>162.5</v>
      </c>
    </row>
    <row r="7" spans="1:6" s="11" customFormat="1" x14ac:dyDescent="0.35">
      <c r="A7" s="11" t="s">
        <v>45</v>
      </c>
    </row>
    <row r="8" spans="1:6" s="11" customFormat="1" x14ac:dyDescent="0.35"/>
    <row r="9" spans="1:6" s="11" customFormat="1" x14ac:dyDescent="0.35">
      <c r="A9" s="11" t="s">
        <v>46</v>
      </c>
    </row>
    <row r="10" spans="1:6" s="11" customFormat="1" x14ac:dyDescent="0.35"/>
    <row r="11" spans="1:6" s="11" customFormat="1" x14ac:dyDescent="0.35">
      <c r="A11" s="11" t="s">
        <v>9</v>
      </c>
    </row>
    <row r="12" spans="1:6" s="11" customFormat="1" x14ac:dyDescent="0.35">
      <c r="A12" s="11" t="s">
        <v>10</v>
      </c>
    </row>
    <row r="13" spans="1:6" s="11" customFormat="1" x14ac:dyDescent="0.35"/>
    <row r="14" spans="1:6" s="11" customFormat="1" x14ac:dyDescent="0.35">
      <c r="A14" s="11" t="s">
        <v>47</v>
      </c>
    </row>
    <row r="15" spans="1:6" s="11" customFormat="1" x14ac:dyDescent="0.35"/>
    <row r="16" spans="1:6" s="11" customFormat="1" x14ac:dyDescent="0.35">
      <c r="A16" s="11" t="s">
        <v>35</v>
      </c>
    </row>
    <row r="17" s="11" customFormat="1" x14ac:dyDescent="0.35"/>
    <row r="18" s="11" customFormat="1" x14ac:dyDescent="0.35"/>
    <row r="19" s="11" customFormat="1" x14ac:dyDescent="0.35"/>
    <row r="20" s="11" customFormat="1" x14ac:dyDescent="0.35"/>
    <row r="21" s="11" customFormat="1" x14ac:dyDescent="0.35"/>
    <row r="22" s="11" customFormat="1" x14ac:dyDescent="0.35"/>
    <row r="23" s="11" customFormat="1" x14ac:dyDescent="0.35"/>
    <row r="24" s="11" customFormat="1" x14ac:dyDescent="0.35"/>
    <row r="25" s="11" customFormat="1" x14ac:dyDescent="0.35"/>
    <row r="26" s="11" customFormat="1" x14ac:dyDescent="0.35"/>
    <row r="27" s="11" customFormat="1" x14ac:dyDescent="0.35"/>
    <row r="28" s="11" customFormat="1" x14ac:dyDescent="0.35"/>
    <row r="29" s="11" customFormat="1" x14ac:dyDescent="0.35"/>
    <row r="30" s="11" customFormat="1" x14ac:dyDescent="0.35"/>
    <row r="31" s="11" customFormat="1" x14ac:dyDescent="0.35"/>
    <row r="32" s="11" customFormat="1" x14ac:dyDescent="0.35"/>
    <row r="33" s="11" customFormat="1" x14ac:dyDescent="0.35"/>
    <row r="34" s="11" customFormat="1" x14ac:dyDescent="0.35"/>
    <row r="35" s="11" customFormat="1" x14ac:dyDescent="0.35"/>
    <row r="36" s="11" customFormat="1" x14ac:dyDescent="0.35"/>
    <row r="37" s="11" customFormat="1" x14ac:dyDescent="0.35"/>
    <row r="38" s="11" customFormat="1" x14ac:dyDescent="0.35"/>
    <row r="39" s="11" customFormat="1" x14ac:dyDescent="0.35"/>
    <row r="40" s="11" customFormat="1" x14ac:dyDescent="0.35"/>
    <row r="41" s="11" customFormat="1" x14ac:dyDescent="0.35"/>
    <row r="42" s="11" customFormat="1" x14ac:dyDescent="0.35"/>
    <row r="43" s="11" customFormat="1" x14ac:dyDescent="0.35"/>
    <row r="44" s="11" customFormat="1" x14ac:dyDescent="0.35"/>
    <row r="45" s="11" customFormat="1" x14ac:dyDescent="0.35"/>
    <row r="46" s="11" customFormat="1" x14ac:dyDescent="0.35"/>
    <row r="47" s="11" customFormat="1" x14ac:dyDescent="0.35"/>
    <row r="48" s="11" customFormat="1" x14ac:dyDescent="0.35"/>
    <row r="49" s="11" customFormat="1" x14ac:dyDescent="0.35"/>
    <row r="50" s="11" customFormat="1" x14ac:dyDescent="0.35"/>
    <row r="51" s="11" customFormat="1" x14ac:dyDescent="0.35"/>
    <row r="52" s="11" customFormat="1" x14ac:dyDescent="0.35"/>
    <row r="53" s="11" customFormat="1" x14ac:dyDescent="0.35"/>
    <row r="54" s="11" customFormat="1" x14ac:dyDescent="0.35"/>
    <row r="55" s="11" customFormat="1" x14ac:dyDescent="0.35"/>
    <row r="56" s="11" customFormat="1" x14ac:dyDescent="0.35"/>
    <row r="57" s="11" customFormat="1" x14ac:dyDescent="0.35"/>
    <row r="58" s="11" customFormat="1" x14ac:dyDescent="0.35"/>
    <row r="59" s="11" customFormat="1" x14ac:dyDescent="0.35"/>
    <row r="60" s="11" customFormat="1" x14ac:dyDescent="0.35"/>
    <row r="61" s="11" customFormat="1" x14ac:dyDescent="0.35"/>
    <row r="62" s="11" customFormat="1" x14ac:dyDescent="0.35"/>
    <row r="63" s="11" customFormat="1" x14ac:dyDescent="0.35"/>
    <row r="64" s="11" customFormat="1" x14ac:dyDescent="0.35"/>
    <row r="65" s="11" customFormat="1" x14ac:dyDescent="0.35"/>
    <row r="66" s="11" customFormat="1" x14ac:dyDescent="0.35"/>
    <row r="67" s="11" customFormat="1" x14ac:dyDescent="0.35"/>
    <row r="68" s="11" customFormat="1" x14ac:dyDescent="0.35"/>
    <row r="69" s="11" customFormat="1" x14ac:dyDescent="0.35"/>
    <row r="70" s="11" customFormat="1" x14ac:dyDescent="0.35"/>
    <row r="71" s="11" customFormat="1" x14ac:dyDescent="0.35"/>
    <row r="72" s="11" customFormat="1" x14ac:dyDescent="0.35"/>
    <row r="73" s="11" customFormat="1" x14ac:dyDescent="0.35"/>
    <row r="74" s="11" customFormat="1" x14ac:dyDescent="0.35"/>
    <row r="75" s="11" customFormat="1" x14ac:dyDescent="0.35"/>
    <row r="76" s="11" customFormat="1" x14ac:dyDescent="0.35"/>
    <row r="77" s="11" customFormat="1" x14ac:dyDescent="0.35"/>
    <row r="78" s="11" customFormat="1" x14ac:dyDescent="0.35"/>
    <row r="79" s="11" customFormat="1" x14ac:dyDescent="0.35"/>
    <row r="80" s="11" customFormat="1" x14ac:dyDescent="0.35"/>
    <row r="81" s="11" customFormat="1" x14ac:dyDescent="0.35"/>
    <row r="82" s="11" customFormat="1" x14ac:dyDescent="0.35"/>
    <row r="83" s="11" customFormat="1" x14ac:dyDescent="0.35"/>
    <row r="84" s="11" customFormat="1" x14ac:dyDescent="0.35"/>
    <row r="85" s="11" customFormat="1" x14ac:dyDescent="0.35"/>
    <row r="86" s="11" customFormat="1" x14ac:dyDescent="0.35"/>
    <row r="87" s="11" customFormat="1" x14ac:dyDescent="0.35"/>
    <row r="88" s="11" customFormat="1" x14ac:dyDescent="0.35"/>
    <row r="89" s="11" customFormat="1" x14ac:dyDescent="0.35"/>
    <row r="90" s="11" customFormat="1" x14ac:dyDescent="0.35"/>
    <row r="91" s="11" customFormat="1" x14ac:dyDescent="0.35"/>
    <row r="92" s="11" customFormat="1" x14ac:dyDescent="0.35"/>
    <row r="93" s="11" customFormat="1" x14ac:dyDescent="0.35"/>
    <row r="94" s="11" customFormat="1" x14ac:dyDescent="0.35"/>
    <row r="95" s="11" customFormat="1" x14ac:dyDescent="0.35"/>
    <row r="96" s="11" customFormat="1" x14ac:dyDescent="0.35"/>
    <row r="97" s="11" customFormat="1" x14ac:dyDescent="0.35"/>
    <row r="98" s="11" customFormat="1" x14ac:dyDescent="0.35"/>
    <row r="99" s="11" customFormat="1" x14ac:dyDescent="0.35"/>
    <row r="100" s="11" customFormat="1" x14ac:dyDescent="0.35"/>
    <row r="101" s="11" customFormat="1" x14ac:dyDescent="0.35"/>
    <row r="102" s="11" customFormat="1" x14ac:dyDescent="0.35"/>
    <row r="103" s="11" customFormat="1" x14ac:dyDescent="0.35"/>
    <row r="104" s="11" customFormat="1" x14ac:dyDescent="0.35"/>
    <row r="105" s="11" customFormat="1" x14ac:dyDescent="0.35"/>
    <row r="106" s="11" customFormat="1" x14ac:dyDescent="0.35"/>
    <row r="107" s="11" customFormat="1" x14ac:dyDescent="0.35"/>
    <row r="108" s="11" customFormat="1" x14ac:dyDescent="0.35"/>
    <row r="109" s="11" customFormat="1" x14ac:dyDescent="0.35"/>
    <row r="110" s="11" customFormat="1" x14ac:dyDescent="0.35"/>
    <row r="111" s="11" customFormat="1" x14ac:dyDescent="0.35"/>
    <row r="112" s="11" customFormat="1" x14ac:dyDescent="0.35"/>
    <row r="113" s="11" customFormat="1" x14ac:dyDescent="0.35"/>
    <row r="114" s="11" customFormat="1" x14ac:dyDescent="0.35"/>
    <row r="115" s="11" customFormat="1" x14ac:dyDescent="0.35"/>
    <row r="116" s="11" customFormat="1" x14ac:dyDescent="0.35"/>
    <row r="117" s="11" customFormat="1" x14ac:dyDescent="0.35"/>
    <row r="118" s="11" customFormat="1" x14ac:dyDescent="0.35"/>
    <row r="119" s="11" customFormat="1" x14ac:dyDescent="0.35"/>
    <row r="120" s="11" customFormat="1" x14ac:dyDescent="0.35"/>
    <row r="121" s="11" customFormat="1" x14ac:dyDescent="0.35"/>
    <row r="122" s="11" customFormat="1" x14ac:dyDescent="0.35"/>
    <row r="123" s="11" customFormat="1" x14ac:dyDescent="0.35"/>
    <row r="124" s="11" customFormat="1" x14ac:dyDescent="0.35"/>
    <row r="125" s="11" customFormat="1" x14ac:dyDescent="0.35"/>
    <row r="126" s="11" customFormat="1" x14ac:dyDescent="0.35"/>
    <row r="127" s="11" customFormat="1" x14ac:dyDescent="0.35"/>
    <row r="128" s="11" customFormat="1" x14ac:dyDescent="0.35"/>
    <row r="129" s="11" customFormat="1" x14ac:dyDescent="0.35"/>
    <row r="130" s="11" customFormat="1" x14ac:dyDescent="0.35"/>
    <row r="131" s="11" customFormat="1" x14ac:dyDescent="0.35"/>
    <row r="132" s="11" customFormat="1" x14ac:dyDescent="0.35"/>
    <row r="133" s="11" customFormat="1" x14ac:dyDescent="0.35"/>
    <row r="134" s="11" customFormat="1" x14ac:dyDescent="0.35"/>
    <row r="135" s="11" customFormat="1" x14ac:dyDescent="0.35"/>
    <row r="136" s="11" customFormat="1" x14ac:dyDescent="0.35"/>
    <row r="137" s="11" customFormat="1" x14ac:dyDescent="0.35"/>
    <row r="138" s="11" customFormat="1" x14ac:dyDescent="0.35"/>
    <row r="139" s="11" customFormat="1" x14ac:dyDescent="0.35"/>
    <row r="140" s="11" customFormat="1" x14ac:dyDescent="0.3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8"/>
  <sheetViews>
    <sheetView workbookViewId="0">
      <selection activeCell="M41" sqref="M41"/>
    </sheetView>
  </sheetViews>
  <sheetFormatPr defaultRowHeight="14.5" x14ac:dyDescent="0.35"/>
  <cols>
    <col min="10" max="10" width="9.81640625" bestFit="1" customWidth="1"/>
    <col min="11" max="11" width="12.36328125" customWidth="1"/>
    <col min="12" max="12" width="11" customWidth="1"/>
  </cols>
  <sheetData>
    <row r="1" spans="1:13" x14ac:dyDescent="0.35">
      <c r="C1">
        <v>2020</v>
      </c>
      <c r="I1">
        <v>2026</v>
      </c>
      <c r="M1">
        <v>2030</v>
      </c>
    </row>
    <row r="2" spans="1:13" x14ac:dyDescent="0.35">
      <c r="A2" s="17" t="s">
        <v>33</v>
      </c>
      <c r="B2" s="17"/>
      <c r="C2" s="12">
        <f>'Resolve output'!C9</f>
        <v>2029.8000000000002</v>
      </c>
      <c r="D2" s="12">
        <f>'Resolve output'!D9</f>
        <v>2859.23</v>
      </c>
      <c r="E2" s="12">
        <f>'Resolve output'!E9</f>
        <v>2859.23</v>
      </c>
      <c r="F2" s="12">
        <f>'Resolve output'!F9</f>
        <v>3094.6699999999996</v>
      </c>
      <c r="G2" s="12">
        <f>'Resolve output'!G9</f>
        <v>6826.62</v>
      </c>
      <c r="H2" s="12">
        <f>'Resolve output'!H9</f>
        <v>8694.0249999999996</v>
      </c>
      <c r="I2" s="12">
        <f>'Resolve output'!I9</f>
        <v>10561.429999999998</v>
      </c>
      <c r="J2" s="16">
        <f>I2+($M$2-$I$2)/4</f>
        <v>10771.072499999998</v>
      </c>
      <c r="K2" s="16">
        <f t="shared" ref="K2:L2" si="0">J2+($M$2-$I$2)/4</f>
        <v>10980.714999999998</v>
      </c>
      <c r="L2" s="16">
        <f t="shared" si="0"/>
        <v>11190.357499999998</v>
      </c>
      <c r="M2">
        <f>11.4*1000</f>
        <v>11400</v>
      </c>
    </row>
    <row r="4" spans="1:13" x14ac:dyDescent="0.35">
      <c r="A4" t="s">
        <v>32</v>
      </c>
      <c r="C4" s="12">
        <f>C2</f>
        <v>2029.8000000000002</v>
      </c>
      <c r="D4" s="12">
        <f t="shared" ref="D4:I4" si="1">D2</f>
        <v>2859.23</v>
      </c>
      <c r="E4" s="12">
        <f t="shared" si="1"/>
        <v>2859.23</v>
      </c>
      <c r="F4" s="12">
        <f t="shared" si="1"/>
        <v>3094.6699999999996</v>
      </c>
      <c r="G4" s="12">
        <f t="shared" si="1"/>
        <v>6826.62</v>
      </c>
      <c r="H4" s="12">
        <f t="shared" si="1"/>
        <v>8694.0249999999996</v>
      </c>
      <c r="I4" s="12">
        <f t="shared" si="1"/>
        <v>10561.429999999998</v>
      </c>
      <c r="J4" s="16">
        <f>I4+($M$4-$I$4)/4</f>
        <v>11871.072499999998</v>
      </c>
      <c r="K4" s="16">
        <f t="shared" ref="K4:L4" si="2">J4+($M$4-$I$4)/4</f>
        <v>13180.714999999998</v>
      </c>
      <c r="L4" s="16">
        <f t="shared" si="2"/>
        <v>14490.357499999998</v>
      </c>
      <c r="M4">
        <f>'Scenarios - 2030 comparison'!F3*1000</f>
        <v>15800</v>
      </c>
    </row>
    <row r="7" spans="1:13" x14ac:dyDescent="0.35">
      <c r="B7" t="s">
        <v>34</v>
      </c>
    </row>
    <row r="8" spans="1:13" x14ac:dyDescent="0.35">
      <c r="A8">
        <v>2020</v>
      </c>
      <c r="B8" s="12">
        <f>C2</f>
        <v>2029.8000000000002</v>
      </c>
    </row>
    <row r="9" spans="1:13" x14ac:dyDescent="0.35">
      <c r="A9">
        <v>2021</v>
      </c>
      <c r="B9" s="12">
        <f>D2</f>
        <v>2859.23</v>
      </c>
    </row>
    <row r="10" spans="1:13" x14ac:dyDescent="0.35">
      <c r="A10">
        <v>2022</v>
      </c>
      <c r="B10" s="12">
        <f>E2</f>
        <v>2859.23</v>
      </c>
    </row>
    <row r="11" spans="1:13" x14ac:dyDescent="0.35">
      <c r="A11">
        <v>2023</v>
      </c>
      <c r="B11" s="12">
        <f>F2</f>
        <v>3094.6699999999996</v>
      </c>
    </row>
    <row r="12" spans="1:13" x14ac:dyDescent="0.35">
      <c r="A12">
        <v>2024</v>
      </c>
      <c r="B12" s="12">
        <f>G2</f>
        <v>6826.62</v>
      </c>
    </row>
    <row r="13" spans="1:13" x14ac:dyDescent="0.35">
      <c r="A13">
        <v>2025</v>
      </c>
      <c r="B13" s="12">
        <f>H2</f>
        <v>8694.0249999999996</v>
      </c>
    </row>
    <row r="14" spans="1:13" x14ac:dyDescent="0.35">
      <c r="A14">
        <v>2026</v>
      </c>
      <c r="B14" s="12">
        <f>I2</f>
        <v>10561.429999999998</v>
      </c>
    </row>
    <row r="15" spans="1:13" x14ac:dyDescent="0.35">
      <c r="A15">
        <v>2027</v>
      </c>
      <c r="B15">
        <f>J2</f>
        <v>10771.072499999998</v>
      </c>
    </row>
    <row r="16" spans="1:13" x14ac:dyDescent="0.35">
      <c r="A16">
        <v>2028</v>
      </c>
      <c r="B16">
        <f>K2</f>
        <v>10980.714999999998</v>
      </c>
    </row>
    <row r="17" spans="1:2" x14ac:dyDescent="0.35">
      <c r="A17">
        <v>2029</v>
      </c>
      <c r="B17">
        <f>L2</f>
        <v>11190.357499999998</v>
      </c>
    </row>
    <row r="18" spans="1:2" x14ac:dyDescent="0.35">
      <c r="A18">
        <v>2030</v>
      </c>
      <c r="B18">
        <f>M2</f>
        <v>11400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2"/>
  <sheetViews>
    <sheetView topLeftCell="A8" workbookViewId="0">
      <selection activeCell="M41" sqref="M41"/>
    </sheetView>
  </sheetViews>
  <sheetFormatPr defaultRowHeight="14.5" x14ac:dyDescent="0.35"/>
  <cols>
    <col min="1" max="1" width="17.36328125" customWidth="1"/>
  </cols>
  <sheetData>
    <row r="1" spans="1:21" x14ac:dyDescent="0.35">
      <c r="C1">
        <v>2020</v>
      </c>
      <c r="D1">
        <f>C1+1</f>
        <v>2021</v>
      </c>
      <c r="E1" s="17">
        <f t="shared" ref="E1:M1" si="0">D1+1</f>
        <v>2022</v>
      </c>
      <c r="F1" s="17">
        <f t="shared" si="0"/>
        <v>2023</v>
      </c>
      <c r="G1" s="17">
        <f t="shared" si="0"/>
        <v>2024</v>
      </c>
      <c r="H1" s="17">
        <f t="shared" si="0"/>
        <v>2025</v>
      </c>
      <c r="I1" s="17">
        <f t="shared" si="0"/>
        <v>2026</v>
      </c>
      <c r="J1" s="17">
        <f t="shared" si="0"/>
        <v>2027</v>
      </c>
      <c r="K1" s="17">
        <f t="shared" si="0"/>
        <v>2028</v>
      </c>
      <c r="L1" s="17">
        <f t="shared" si="0"/>
        <v>2029</v>
      </c>
      <c r="M1" s="17">
        <f t="shared" si="0"/>
        <v>2030</v>
      </c>
    </row>
    <row r="2" spans="1:21" x14ac:dyDescent="0.35">
      <c r="A2" s="19" t="s">
        <v>27</v>
      </c>
      <c r="B2" s="18" t="s">
        <v>20</v>
      </c>
      <c r="C2" s="20">
        <v>2029.8000000000002</v>
      </c>
      <c r="D2" s="20">
        <v>2859.23</v>
      </c>
      <c r="E2" s="20">
        <v>2859.23</v>
      </c>
      <c r="F2" s="20">
        <v>3094.6699999999996</v>
      </c>
      <c r="G2" s="20">
        <v>6826.62</v>
      </c>
      <c r="H2" s="20">
        <v>0</v>
      </c>
      <c r="I2" s="20">
        <v>9983.4299999999985</v>
      </c>
      <c r="J2" s="20">
        <v>0</v>
      </c>
      <c r="K2" s="20">
        <v>0</v>
      </c>
      <c r="L2" s="20">
        <v>0</v>
      </c>
      <c r="M2" s="20">
        <v>15221.619999999999</v>
      </c>
    </row>
    <row r="3" spans="1:21" x14ac:dyDescent="0.35">
      <c r="A3" t="s">
        <v>28</v>
      </c>
      <c r="C3" s="12">
        <f>C2</f>
        <v>2029.8000000000002</v>
      </c>
      <c r="D3" s="12">
        <f t="shared" ref="D3:G3" si="1">D2</f>
        <v>2859.23</v>
      </c>
      <c r="E3" s="12">
        <f t="shared" si="1"/>
        <v>2859.23</v>
      </c>
      <c r="F3" s="12">
        <f t="shared" si="1"/>
        <v>3094.6699999999996</v>
      </c>
      <c r="G3" s="12">
        <f t="shared" si="1"/>
        <v>6826.62</v>
      </c>
      <c r="H3" s="16">
        <f>(I2-G2)/2+G2</f>
        <v>8405.0249999999996</v>
      </c>
      <c r="I3" s="12">
        <f>I2</f>
        <v>9983.4299999999985</v>
      </c>
    </row>
    <row r="4" spans="1:21" s="17" customFormat="1" x14ac:dyDescent="0.35">
      <c r="A4" s="21"/>
      <c r="B4" s="23"/>
      <c r="J4" s="15"/>
      <c r="K4" s="15"/>
      <c r="L4" s="15"/>
      <c r="P4" s="15"/>
      <c r="Q4" s="15"/>
      <c r="R4" s="15"/>
      <c r="S4" s="17">
        <v>15.8</v>
      </c>
      <c r="T4" s="17" t="s">
        <v>21</v>
      </c>
    </row>
    <row r="5" spans="1:21" x14ac:dyDescent="0.35">
      <c r="A5" s="17">
        <v>15.8</v>
      </c>
      <c r="B5" s="15" t="s">
        <v>29</v>
      </c>
      <c r="R5" s="17"/>
      <c r="S5">
        <f>800-222</f>
        <v>578</v>
      </c>
      <c r="T5" t="s">
        <v>24</v>
      </c>
      <c r="U5" s="17"/>
    </row>
    <row r="6" spans="1:21" s="17" customFormat="1" x14ac:dyDescent="0.35">
      <c r="A6">
        <f>800-222</f>
        <v>578</v>
      </c>
      <c r="B6" t="s">
        <v>30</v>
      </c>
    </row>
    <row r="7" spans="1:21" s="17" customFormat="1" x14ac:dyDescent="0.35"/>
    <row r="8" spans="1:21" s="17" customFormat="1" x14ac:dyDescent="0.35"/>
    <row r="9" spans="1:21" x14ac:dyDescent="0.35">
      <c r="A9" t="s">
        <v>31</v>
      </c>
      <c r="C9" s="12">
        <f>C3</f>
        <v>2029.8000000000002</v>
      </c>
      <c r="D9" s="12">
        <f>D3</f>
        <v>2859.23</v>
      </c>
      <c r="E9" s="12">
        <f>E3</f>
        <v>2859.23</v>
      </c>
      <c r="F9" s="12">
        <f>F3</f>
        <v>3094.6699999999996</v>
      </c>
      <c r="G9" s="12">
        <f>G3</f>
        <v>6826.62</v>
      </c>
      <c r="H9" s="12">
        <f>H3+A6/2</f>
        <v>8694.0249999999996</v>
      </c>
      <c r="I9" s="12">
        <f>I3+A6</f>
        <v>10561.429999999998</v>
      </c>
      <c r="T9" t="s">
        <v>25</v>
      </c>
    </row>
    <row r="10" spans="1:21" x14ac:dyDescent="0.35">
      <c r="T10" t="s">
        <v>26</v>
      </c>
    </row>
    <row r="12" spans="1:21" x14ac:dyDescent="0.35">
      <c r="S12">
        <v>11.4</v>
      </c>
      <c r="T12" t="s">
        <v>23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4"/>
  <sheetViews>
    <sheetView workbookViewId="0">
      <selection activeCell="I3" sqref="I3"/>
    </sheetView>
  </sheetViews>
  <sheetFormatPr defaultRowHeight="14.5" x14ac:dyDescent="0.35"/>
  <sheetData>
    <row r="2" spans="1:6" x14ac:dyDescent="0.35">
      <c r="A2" t="s">
        <v>19</v>
      </c>
      <c r="F2">
        <f>15.8-11.4</f>
        <v>4.4000000000000004</v>
      </c>
    </row>
    <row r="3" spans="1:6" x14ac:dyDescent="0.35">
      <c r="A3" t="s">
        <v>22</v>
      </c>
      <c r="F3">
        <v>15.8</v>
      </c>
    </row>
    <row r="4" spans="1:6" x14ac:dyDescent="0.35">
      <c r="A4" s="17" t="s">
        <v>23</v>
      </c>
      <c r="F4">
        <v>11.4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zoomScale="85" zoomScaleNormal="85" workbookViewId="0">
      <selection activeCell="I3" sqref="I3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BGrBSC</vt:lpstr>
      <vt:lpstr>OR calculations</vt:lpstr>
      <vt:lpstr>2018 and 2019</vt:lpstr>
      <vt:lpstr>2017 and earlier</vt:lpstr>
      <vt:lpstr>Time series 2020-2030</vt:lpstr>
      <vt:lpstr>Resolve output</vt:lpstr>
      <vt:lpstr>Scenarios - 2030 comparison</vt:lpstr>
      <vt:lpstr>Scenarios- graphical over time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Katelyn</cp:lastModifiedBy>
  <dcterms:created xsi:type="dcterms:W3CDTF">2014-08-26T20:23:01Z</dcterms:created>
  <dcterms:modified xsi:type="dcterms:W3CDTF">2020-06-29T18:33:10Z</dcterms:modified>
</cp:coreProperties>
</file>