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us\InputData\elec\CCaMC\"/>
    </mc:Choice>
  </mc:AlternateContent>
  <bookViews>
    <workbookView xWindow="0" yWindow="0" windowWidth="11490" windowHeight="9135" tabRatio="724" activeTab="6"/>
  </bookViews>
  <sheets>
    <sheet name="About" sheetId="2" r:id="rId1"/>
    <sheet name="Cost Improvement" sheetId="3" r:id="rId2"/>
    <sheet name="CCaMC-AFOaMCpUC" sheetId="7" r:id="rId3"/>
    <sheet name="Nuclear Fixed O&amp;M Calcs" sheetId="14" r:id="rId4"/>
    <sheet name="Poland Capital Costs" sheetId="11" r:id="rId5"/>
    <sheet name="CCaMC-BCCpUC" sheetId="6" r:id="rId6"/>
    <sheet name="CCaMC-VOaMCpUC" sheetId="8" r:id="rId7"/>
    <sheet name="Currency" sheetId="13" r:id="rId8"/>
  </sheets>
  <calcPr calcId="162913" concurrentCalc="0"/>
  <pivotCaches>
    <pivotCache cacheId="48" r:id="rId9"/>
  </pivotCaches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N2" i="6"/>
  <c r="M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" i="6"/>
  <c r="B2" i="6"/>
  <c r="B13" i="8"/>
  <c r="B14" i="7"/>
  <c r="B13" i="7"/>
  <c r="B2" i="7"/>
  <c r="D97" i="11"/>
  <c r="C97" i="11"/>
  <c r="B97" i="11"/>
  <c r="D96" i="11"/>
  <c r="C96" i="11"/>
  <c r="B96" i="11"/>
  <c r="D95" i="11"/>
  <c r="C95" i="11"/>
  <c r="B95" i="11"/>
  <c r="B14" i="8"/>
  <c r="B2" i="8"/>
  <c r="N1" i="14"/>
  <c r="H3" i="14"/>
  <c r="J8" i="14"/>
  <c r="J10" i="14"/>
  <c r="H12" i="14"/>
  <c r="I13" i="14"/>
  <c r="J14" i="14"/>
  <c r="H16" i="14"/>
  <c r="I22" i="14"/>
  <c r="J23" i="14"/>
  <c r="H25" i="14"/>
  <c r="I26" i="14"/>
  <c r="I28" i="14"/>
  <c r="J29" i="14"/>
  <c r="H31" i="14"/>
  <c r="I32" i="14"/>
  <c r="J33" i="14"/>
  <c r="H35" i="14"/>
  <c r="I42" i="14"/>
  <c r="J43" i="14"/>
  <c r="H45" i="14"/>
  <c r="I46" i="14"/>
  <c r="I48" i="14"/>
  <c r="J49" i="14"/>
  <c r="H51" i="14"/>
  <c r="I52" i="14"/>
  <c r="J53" i="14"/>
  <c r="H55" i="14"/>
  <c r="J54" i="14"/>
  <c r="I53" i="14"/>
  <c r="H52" i="14"/>
  <c r="J50" i="14"/>
  <c r="I49" i="14"/>
  <c r="H48" i="14"/>
  <c r="H46" i="14"/>
  <c r="J44" i="14"/>
  <c r="I43" i="14"/>
  <c r="H42" i="14"/>
  <c r="J34" i="14"/>
  <c r="I33" i="14"/>
  <c r="H32" i="14"/>
  <c r="J30" i="14"/>
  <c r="I29" i="14"/>
  <c r="H28" i="14"/>
  <c r="H26" i="14"/>
  <c r="J24" i="14"/>
  <c r="I23" i="14"/>
  <c r="H22" i="14"/>
  <c r="J15" i="14"/>
  <c r="I14" i="14"/>
  <c r="H13" i="14"/>
  <c r="J11" i="14"/>
  <c r="I10" i="14"/>
  <c r="J6" i="14"/>
  <c r="J55" i="14"/>
  <c r="I54" i="14"/>
  <c r="H53" i="14"/>
  <c r="J51" i="14"/>
  <c r="I50" i="14"/>
  <c r="H49" i="14"/>
  <c r="J47" i="14"/>
  <c r="J45" i="14"/>
  <c r="I44" i="14"/>
  <c r="H43" i="14"/>
  <c r="J35" i="14"/>
  <c r="I34" i="14"/>
  <c r="H33" i="14"/>
  <c r="J31" i="14"/>
  <c r="I30" i="14"/>
  <c r="H29" i="14"/>
  <c r="J27" i="14"/>
  <c r="J25" i="14"/>
  <c r="I24" i="14"/>
  <c r="H23" i="14"/>
  <c r="J16" i="14"/>
  <c r="I15" i="14"/>
  <c r="H14" i="14"/>
  <c r="J12" i="14"/>
  <c r="I11" i="14"/>
  <c r="H10" i="14"/>
  <c r="I5" i="14"/>
  <c r="I55" i="14"/>
  <c r="H54" i="14"/>
  <c r="J52" i="14"/>
  <c r="I51" i="14"/>
  <c r="H50" i="14"/>
  <c r="J48" i="14"/>
  <c r="J46" i="14"/>
  <c r="I45" i="14"/>
  <c r="H44" i="14"/>
  <c r="J42" i="14"/>
  <c r="I35" i="14"/>
  <c r="H34" i="14"/>
  <c r="J32" i="14"/>
  <c r="I31" i="14"/>
  <c r="H30" i="14"/>
  <c r="J28" i="14"/>
  <c r="J26" i="14"/>
  <c r="I25" i="14"/>
  <c r="H24" i="14"/>
  <c r="J22" i="14"/>
  <c r="I16" i="14"/>
  <c r="H15" i="14"/>
  <c r="J13" i="14"/>
  <c r="I12" i="14"/>
  <c r="H11" i="14"/>
  <c r="J9" i="14"/>
  <c r="H4" i="14"/>
  <c r="J7" i="14"/>
  <c r="I6" i="14"/>
  <c r="H5" i="14"/>
  <c r="J3" i="14"/>
  <c r="I9" i="14"/>
  <c r="I7" i="14"/>
  <c r="H6" i="14"/>
  <c r="J4" i="14"/>
  <c r="I3" i="14"/>
  <c r="H9" i="14"/>
  <c r="H7" i="14"/>
  <c r="J5" i="14"/>
  <c r="I4" i="14"/>
  <c r="A78" i="11"/>
  <c r="B4" i="7"/>
  <c r="B3" i="8"/>
  <c r="B4" i="8"/>
  <c r="B5" i="8"/>
  <c r="B6" i="8"/>
  <c r="B7" i="8"/>
  <c r="B9" i="8"/>
  <c r="B11" i="8"/>
  <c r="B12" i="8"/>
  <c r="B3" i="7"/>
  <c r="B5" i="7"/>
  <c r="B6" i="7"/>
  <c r="B7" i="7"/>
  <c r="B9" i="7"/>
  <c r="B10" i="7"/>
  <c r="B11" i="7"/>
  <c r="B12" i="7"/>
  <c r="K19" i="3"/>
  <c r="K20" i="3"/>
  <c r="K21" i="3"/>
  <c r="K22" i="3"/>
  <c r="K23" i="3"/>
  <c r="K24" i="3"/>
  <c r="L24" i="3"/>
  <c r="K25" i="3"/>
  <c r="K26" i="3"/>
  <c r="K27" i="3"/>
  <c r="K28" i="3"/>
  <c r="K29" i="3"/>
  <c r="K30" i="3"/>
  <c r="L30" i="3"/>
  <c r="K31" i="3"/>
  <c r="K32" i="3"/>
  <c r="K33" i="3"/>
  <c r="K34" i="3"/>
  <c r="K35" i="3"/>
  <c r="K36" i="3"/>
  <c r="K37" i="3"/>
  <c r="K38" i="3"/>
  <c r="L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F23" i="3"/>
  <c r="G26" i="3"/>
  <c r="G34" i="3"/>
  <c r="C38" i="3"/>
  <c r="C46" i="3"/>
  <c r="F47" i="3"/>
  <c r="B22" i="3"/>
  <c r="B45" i="3"/>
  <c r="B53" i="3"/>
  <c r="K18" i="3"/>
  <c r="L9" i="3"/>
  <c r="J9" i="3"/>
  <c r="J18" i="3"/>
  <c r="I9" i="3"/>
  <c r="G9" i="3"/>
  <c r="G22" i="3"/>
  <c r="F9" i="3"/>
  <c r="E9" i="3"/>
  <c r="D9" i="3"/>
  <c r="D21" i="3"/>
  <c r="C9" i="3"/>
  <c r="C26" i="3"/>
  <c r="B9" i="3"/>
  <c r="A7" i="13"/>
  <c r="E75" i="11"/>
  <c r="C93" i="11"/>
  <c r="C92" i="11"/>
  <c r="B10" i="8"/>
  <c r="G71" i="11"/>
  <c r="D92" i="11"/>
  <c r="E71" i="11"/>
  <c r="C71" i="11"/>
  <c r="B92" i="11"/>
  <c r="D91" i="11"/>
  <c r="B8" i="7"/>
  <c r="E62" i="11"/>
  <c r="E63" i="11"/>
  <c r="E64" i="11"/>
  <c r="E65" i="11"/>
  <c r="C91" i="11"/>
  <c r="B8" i="8"/>
  <c r="E66" i="11"/>
  <c r="C62" i="11"/>
  <c r="C63" i="11"/>
  <c r="C64" i="11"/>
  <c r="C65" i="11"/>
  <c r="C66" i="11"/>
  <c r="B75" i="11"/>
  <c r="C75" i="11"/>
  <c r="B93" i="11"/>
  <c r="F58" i="11"/>
  <c r="F56" i="11"/>
  <c r="F55" i="11"/>
  <c r="F54" i="11"/>
  <c r="F52" i="11"/>
  <c r="F51" i="11"/>
  <c r="F50" i="11"/>
  <c r="F48" i="11"/>
  <c r="F47" i="11"/>
  <c r="F46" i="11"/>
  <c r="F44" i="11"/>
  <c r="E58" i="11"/>
  <c r="E57" i="11"/>
  <c r="E55" i="11"/>
  <c r="E54" i="11"/>
  <c r="E53" i="11"/>
  <c r="E51" i="11"/>
  <c r="E50" i="11"/>
  <c r="E49" i="11"/>
  <c r="E47" i="11"/>
  <c r="E46" i="11"/>
  <c r="E45" i="11"/>
  <c r="C45" i="11"/>
  <c r="C46" i="11"/>
  <c r="C47" i="11"/>
  <c r="C49" i="11"/>
  <c r="C50" i="11"/>
  <c r="C51" i="11"/>
  <c r="C53" i="11"/>
  <c r="C54" i="11"/>
  <c r="C55" i="11"/>
  <c r="C57" i="11"/>
  <c r="C58" i="11"/>
  <c r="C44" i="11"/>
  <c r="A3" i="13"/>
  <c r="F57" i="11"/>
  <c r="C9" i="6"/>
  <c r="C21" i="6"/>
  <c r="L7" i="6"/>
  <c r="D4" i="6"/>
  <c r="C29" i="6"/>
  <c r="L13" i="6"/>
  <c r="L21" i="6"/>
  <c r="K2" i="6"/>
  <c r="K6" i="6"/>
  <c r="K10" i="6"/>
  <c r="K14" i="6"/>
  <c r="K18" i="6"/>
  <c r="K22" i="6"/>
  <c r="K26" i="6"/>
  <c r="K30" i="6"/>
  <c r="K34" i="6"/>
  <c r="K7" i="6"/>
  <c r="K9" i="6"/>
  <c r="K16" i="6"/>
  <c r="K23" i="6"/>
  <c r="K25" i="6"/>
  <c r="K32" i="6"/>
  <c r="K4" i="6"/>
  <c r="K11" i="6"/>
  <c r="K13" i="6"/>
  <c r="K20" i="6"/>
  <c r="K27" i="6"/>
  <c r="K29" i="6"/>
  <c r="K36" i="6"/>
  <c r="K8" i="6"/>
  <c r="K15" i="6"/>
  <c r="K17" i="6"/>
  <c r="K24" i="6"/>
  <c r="K5" i="6"/>
  <c r="K12" i="6"/>
  <c r="K19" i="6"/>
  <c r="K35" i="6"/>
  <c r="K21" i="6"/>
  <c r="K28" i="6"/>
  <c r="K33" i="6"/>
  <c r="K37" i="6"/>
  <c r="K3" i="6"/>
  <c r="K31" i="6"/>
  <c r="E20" i="3"/>
  <c r="E28" i="3"/>
  <c r="E36" i="3"/>
  <c r="E44" i="3"/>
  <c r="E52" i="3"/>
  <c r="B21" i="3"/>
  <c r="B33" i="3"/>
  <c r="B49" i="3"/>
  <c r="B18" i="3"/>
  <c r="B37" i="3"/>
  <c r="B41" i="3"/>
  <c r="F26" i="3"/>
  <c r="H9" i="3"/>
  <c r="H47" i="3"/>
  <c r="F39" i="3"/>
  <c r="F31" i="3"/>
  <c r="L18" i="3"/>
  <c r="L20" i="3"/>
  <c r="L28" i="3"/>
  <c r="L36" i="3"/>
  <c r="L44" i="3"/>
  <c r="L52" i="3"/>
  <c r="L22" i="3"/>
  <c r="L42" i="3"/>
  <c r="L48" i="3"/>
  <c r="L54" i="3"/>
  <c r="L34" i="3"/>
  <c r="L40" i="3"/>
  <c r="L46" i="3"/>
  <c r="B27" i="3"/>
  <c r="L50" i="3"/>
  <c r="L32" i="3"/>
  <c r="L26" i="3"/>
  <c r="C54" i="3"/>
  <c r="G42" i="3"/>
  <c r="C22" i="3"/>
  <c r="J31" i="6"/>
  <c r="J24" i="6"/>
  <c r="J6" i="6"/>
  <c r="G50" i="3"/>
  <c r="C30" i="3"/>
  <c r="J34" i="6"/>
  <c r="J18" i="6"/>
  <c r="J11" i="6"/>
  <c r="J2" i="6"/>
  <c r="C56" i="11"/>
  <c r="C52" i="11"/>
  <c r="C48" i="11"/>
  <c r="E44" i="11"/>
  <c r="E48" i="11"/>
  <c r="E52" i="11"/>
  <c r="E56" i="11"/>
  <c r="F45" i="11"/>
  <c r="F49" i="11"/>
  <c r="F53" i="11"/>
  <c r="D18" i="3"/>
  <c r="D25" i="3"/>
  <c r="E21" i="3"/>
  <c r="E25" i="3"/>
  <c r="E29" i="3"/>
  <c r="E33" i="3"/>
  <c r="E37" i="3"/>
  <c r="E41" i="3"/>
  <c r="E45" i="3"/>
  <c r="E49" i="3"/>
  <c r="E53" i="3"/>
  <c r="E22" i="3"/>
  <c r="E26" i="3"/>
  <c r="E30" i="3"/>
  <c r="E34" i="3"/>
  <c r="E38" i="3"/>
  <c r="E42" i="3"/>
  <c r="E46" i="3"/>
  <c r="E50" i="3"/>
  <c r="E54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G18" i="3"/>
  <c r="C18" i="3"/>
  <c r="B52" i="3"/>
  <c r="B48" i="3"/>
  <c r="B44" i="3"/>
  <c r="B40" i="3"/>
  <c r="B36" i="3"/>
  <c r="B31" i="3"/>
  <c r="B26" i="3"/>
  <c r="G53" i="3"/>
  <c r="D52" i="3"/>
  <c r="F50" i="3"/>
  <c r="C49" i="3"/>
  <c r="E47" i="3"/>
  <c r="G45" i="3"/>
  <c r="D44" i="3"/>
  <c r="F42" i="3"/>
  <c r="C41" i="3"/>
  <c r="E39" i="3"/>
  <c r="G37" i="3"/>
  <c r="D36" i="3"/>
  <c r="F34" i="3"/>
  <c r="C33" i="3"/>
  <c r="E31" i="3"/>
  <c r="G29" i="3"/>
  <c r="D28" i="3"/>
  <c r="C25" i="3"/>
  <c r="E23" i="3"/>
  <c r="G21" i="3"/>
  <c r="D20" i="3"/>
  <c r="B20" i="3"/>
  <c r="B24" i="3"/>
  <c r="B28" i="3"/>
  <c r="B32" i="3"/>
  <c r="F20" i="3"/>
  <c r="F24" i="3"/>
  <c r="F28" i="3"/>
  <c r="F32" i="3"/>
  <c r="F36" i="3"/>
  <c r="F40" i="3"/>
  <c r="F44" i="3"/>
  <c r="F48" i="3"/>
  <c r="F52" i="3"/>
  <c r="F21" i="3"/>
  <c r="F25" i="3"/>
  <c r="F29" i="3"/>
  <c r="F33" i="3"/>
  <c r="F37" i="3"/>
  <c r="F41" i="3"/>
  <c r="F45" i="3"/>
  <c r="F49" i="3"/>
  <c r="F53" i="3"/>
  <c r="J19" i="3"/>
  <c r="J20" i="3"/>
  <c r="J3" i="6"/>
  <c r="J21" i="3"/>
  <c r="J4" i="6"/>
  <c r="J22" i="3"/>
  <c r="J5" i="6"/>
  <c r="J23" i="3"/>
  <c r="J24" i="3"/>
  <c r="J7" i="6"/>
  <c r="J25" i="3"/>
  <c r="J8" i="6"/>
  <c r="J26" i="3"/>
  <c r="J9" i="6"/>
  <c r="J27" i="3"/>
  <c r="J10" i="6"/>
  <c r="J28" i="3"/>
  <c r="J29" i="3"/>
  <c r="J12" i="6"/>
  <c r="J30" i="3"/>
  <c r="J13" i="6"/>
  <c r="J31" i="3"/>
  <c r="J14" i="6"/>
  <c r="J32" i="3"/>
  <c r="J15" i="6"/>
  <c r="J33" i="3"/>
  <c r="J16" i="6"/>
  <c r="J34" i="3"/>
  <c r="J17" i="6"/>
  <c r="J35" i="3"/>
  <c r="J36" i="3"/>
  <c r="J19" i="6"/>
  <c r="J37" i="3"/>
  <c r="J20" i="6"/>
  <c r="J38" i="3"/>
  <c r="J21" i="6"/>
  <c r="J39" i="3"/>
  <c r="J22" i="6"/>
  <c r="J40" i="3"/>
  <c r="J23" i="6"/>
  <c r="J41" i="3"/>
  <c r="J42" i="3"/>
  <c r="J25" i="6"/>
  <c r="J43" i="3"/>
  <c r="J26" i="6"/>
  <c r="J44" i="3"/>
  <c r="J27" i="6"/>
  <c r="J45" i="3"/>
  <c r="J28" i="6"/>
  <c r="J46" i="3"/>
  <c r="J29" i="6"/>
  <c r="J47" i="3"/>
  <c r="J30" i="6"/>
  <c r="J48" i="3"/>
  <c r="J49" i="3"/>
  <c r="J32" i="6"/>
  <c r="J50" i="3"/>
  <c r="J33" i="6"/>
  <c r="J51" i="3"/>
  <c r="J52" i="3"/>
  <c r="J35" i="6"/>
  <c r="J53" i="3"/>
  <c r="J36" i="6"/>
  <c r="J54" i="3"/>
  <c r="J37" i="6"/>
  <c r="F18" i="3"/>
  <c r="I18" i="3"/>
  <c r="B19" i="3"/>
  <c r="B51" i="3"/>
  <c r="B47" i="3"/>
  <c r="B43" i="3"/>
  <c r="B39" i="3"/>
  <c r="B35" i="3"/>
  <c r="B30" i="3"/>
  <c r="B25" i="3"/>
  <c r="G54" i="3"/>
  <c r="D53" i="3"/>
  <c r="F51" i="3"/>
  <c r="C50" i="3"/>
  <c r="E48" i="3"/>
  <c r="G46" i="3"/>
  <c r="D45" i="3"/>
  <c r="F43" i="3"/>
  <c r="C42" i="3"/>
  <c r="E40" i="3"/>
  <c r="G38" i="3"/>
  <c r="D37" i="3"/>
  <c r="F35" i="3"/>
  <c r="C34" i="3"/>
  <c r="E32" i="3"/>
  <c r="G30" i="3"/>
  <c r="D29" i="3"/>
  <c r="F27" i="3"/>
  <c r="E24" i="3"/>
  <c r="F19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L25" i="3"/>
  <c r="L23" i="3"/>
  <c r="L21" i="3"/>
  <c r="L19" i="3"/>
  <c r="D22" i="3"/>
  <c r="D26" i="3"/>
  <c r="D30" i="3"/>
  <c r="D34" i="3"/>
  <c r="D38" i="3"/>
  <c r="D42" i="3"/>
  <c r="D46" i="3"/>
  <c r="D50" i="3"/>
  <c r="D54" i="3"/>
  <c r="D19" i="3"/>
  <c r="D23" i="3"/>
  <c r="D27" i="3"/>
  <c r="D31" i="3"/>
  <c r="D35" i="3"/>
  <c r="D39" i="3"/>
  <c r="D43" i="3"/>
  <c r="D47" i="3"/>
  <c r="D51" i="3"/>
  <c r="D49" i="3"/>
  <c r="D41" i="3"/>
  <c r="D33" i="3"/>
  <c r="C19" i="3"/>
  <c r="C23" i="3"/>
  <c r="C27" i="3"/>
  <c r="C31" i="3"/>
  <c r="C35" i="3"/>
  <c r="C39" i="3"/>
  <c r="C43" i="3"/>
  <c r="C47" i="3"/>
  <c r="C51" i="3"/>
  <c r="C20" i="3"/>
  <c r="C24" i="3"/>
  <c r="C28" i="3"/>
  <c r="C32" i="3"/>
  <c r="C36" i="3"/>
  <c r="C40" i="3"/>
  <c r="C44" i="3"/>
  <c r="C48" i="3"/>
  <c r="C52" i="3"/>
  <c r="G19" i="3"/>
  <c r="G23" i="3"/>
  <c r="G27" i="3"/>
  <c r="G31" i="3"/>
  <c r="G35" i="3"/>
  <c r="G39" i="3"/>
  <c r="G43" i="3"/>
  <c r="G47" i="3"/>
  <c r="G51" i="3"/>
  <c r="G20" i="3"/>
  <c r="G24" i="3"/>
  <c r="G28" i="3"/>
  <c r="G32" i="3"/>
  <c r="G36" i="3"/>
  <c r="G40" i="3"/>
  <c r="G44" i="3"/>
  <c r="G48" i="3"/>
  <c r="G52" i="3"/>
  <c r="E18" i="3"/>
  <c r="B54" i="3"/>
  <c r="B50" i="3"/>
  <c r="B46" i="3"/>
  <c r="B42" i="3"/>
  <c r="B38" i="3"/>
  <c r="B34" i="3"/>
  <c r="B29" i="3"/>
  <c r="B23" i="3"/>
  <c r="F54" i="3"/>
  <c r="C53" i="3"/>
  <c r="E51" i="3"/>
  <c r="G49" i="3"/>
  <c r="D48" i="3"/>
  <c r="F46" i="3"/>
  <c r="C45" i="3"/>
  <c r="E43" i="3"/>
  <c r="G41" i="3"/>
  <c r="D40" i="3"/>
  <c r="F38" i="3"/>
  <c r="C37" i="3"/>
  <c r="E35" i="3"/>
  <c r="G33" i="3"/>
  <c r="D32" i="3"/>
  <c r="F30" i="3"/>
  <c r="C29" i="3"/>
  <c r="E27" i="3"/>
  <c r="G25" i="3"/>
  <c r="D24" i="3"/>
  <c r="F22" i="3"/>
  <c r="C21" i="3"/>
  <c r="E19" i="3"/>
  <c r="H26" i="3"/>
  <c r="H30" i="3"/>
  <c r="H42" i="3"/>
  <c r="H46" i="3"/>
  <c r="H52" i="3"/>
  <c r="H21" i="3"/>
  <c r="H33" i="3"/>
  <c r="H37" i="3"/>
  <c r="H49" i="3"/>
  <c r="H53" i="3"/>
  <c r="H24" i="3"/>
  <c r="H28" i="3"/>
  <c r="H40" i="3"/>
  <c r="H44" i="3"/>
  <c r="H23" i="3"/>
  <c r="H31" i="3"/>
  <c r="H43" i="3"/>
  <c r="H51" i="3"/>
  <c r="B91" i="11"/>
  <c r="E19" i="6"/>
  <c r="L19" i="6"/>
  <c r="L25" i="6"/>
  <c r="L23" i="6"/>
  <c r="L15" i="6"/>
  <c r="E12" i="6"/>
  <c r="E28" i="6"/>
  <c r="E9" i="6"/>
  <c r="E25" i="6"/>
  <c r="I2" i="6"/>
  <c r="I6" i="6"/>
  <c r="I10" i="6"/>
  <c r="I14" i="6"/>
  <c r="I18" i="6"/>
  <c r="I22" i="6"/>
  <c r="I26" i="6"/>
  <c r="I30" i="6"/>
  <c r="I34" i="6"/>
  <c r="C32" i="6"/>
  <c r="D19" i="6"/>
  <c r="D28" i="6"/>
  <c r="E15" i="6"/>
  <c r="E7" i="6"/>
  <c r="L32" i="6"/>
  <c r="L24" i="6"/>
  <c r="L16" i="6"/>
  <c r="L8" i="6"/>
  <c r="D5" i="6"/>
  <c r="D21" i="6"/>
  <c r="D37" i="6"/>
  <c r="D14" i="6"/>
  <c r="D30" i="6"/>
  <c r="D16" i="6"/>
  <c r="C14" i="6"/>
  <c r="C30" i="6"/>
  <c r="C11" i="6"/>
  <c r="C27" i="6"/>
  <c r="E34" i="6"/>
  <c r="C28" i="6"/>
  <c r="D15" i="6"/>
  <c r="E2" i="6"/>
  <c r="E27" i="6"/>
  <c r="L27" i="6"/>
  <c r="L31" i="6"/>
  <c r="L29" i="6"/>
  <c r="L9" i="6"/>
  <c r="C5" i="6"/>
  <c r="C13" i="6"/>
  <c r="D8" i="6"/>
  <c r="E16" i="6"/>
  <c r="E32" i="6"/>
  <c r="E13" i="6"/>
  <c r="E29" i="6"/>
  <c r="I3" i="6"/>
  <c r="I7" i="6"/>
  <c r="I11" i="6"/>
  <c r="I15" i="6"/>
  <c r="I19" i="6"/>
  <c r="I23" i="6"/>
  <c r="I27" i="6"/>
  <c r="I31" i="6"/>
  <c r="I35" i="6"/>
  <c r="E30" i="6"/>
  <c r="C24" i="6"/>
  <c r="D11" i="6"/>
  <c r="D3" i="6"/>
  <c r="C33" i="6"/>
  <c r="D20" i="6"/>
  <c r="F2" i="6"/>
  <c r="L30" i="6"/>
  <c r="L22" i="6"/>
  <c r="L14" i="6"/>
  <c r="L6" i="6"/>
  <c r="D9" i="6"/>
  <c r="D25" i="6"/>
  <c r="D2" i="6"/>
  <c r="D18" i="6"/>
  <c r="D34" i="6"/>
  <c r="C2" i="6"/>
  <c r="C18" i="6"/>
  <c r="C34" i="6"/>
  <c r="C15" i="6"/>
  <c r="C31" i="6"/>
  <c r="E26" i="6"/>
  <c r="C20" i="6"/>
  <c r="D7" i="6"/>
  <c r="E3" i="6"/>
  <c r="E35" i="6"/>
  <c r="L3" i="6"/>
  <c r="L35" i="6"/>
  <c r="L37" i="6"/>
  <c r="E4" i="6"/>
  <c r="E20" i="6"/>
  <c r="E36" i="6"/>
  <c r="E17" i="6"/>
  <c r="E33" i="6"/>
  <c r="I4" i="6"/>
  <c r="I8" i="6"/>
  <c r="I12" i="6"/>
  <c r="I16" i="6"/>
  <c r="I20" i="6"/>
  <c r="I24" i="6"/>
  <c r="I28" i="6"/>
  <c r="I32" i="6"/>
  <c r="I36" i="6"/>
  <c r="D35" i="6"/>
  <c r="E22" i="6"/>
  <c r="C16" i="6"/>
  <c r="C8" i="6"/>
  <c r="E31" i="6"/>
  <c r="C25" i="6"/>
  <c r="D12" i="6"/>
  <c r="L36" i="6"/>
  <c r="L28" i="6"/>
  <c r="L20" i="6"/>
  <c r="L12" i="6"/>
  <c r="L4" i="6"/>
  <c r="D13" i="6"/>
  <c r="D29" i="6"/>
  <c r="D6" i="6"/>
  <c r="D22" i="6"/>
  <c r="D32" i="6"/>
  <c r="C6" i="6"/>
  <c r="C22" i="6"/>
  <c r="C3" i="6"/>
  <c r="C19" i="6"/>
  <c r="C35" i="6"/>
  <c r="D31" i="6"/>
  <c r="E18" i="6"/>
  <c r="C12" i="6"/>
  <c r="E11" i="6"/>
  <c r="L11" i="6"/>
  <c r="L5" i="6"/>
  <c r="L17" i="6"/>
  <c r="L33" i="6"/>
  <c r="C37" i="6"/>
  <c r="E8" i="6"/>
  <c r="E24" i="6"/>
  <c r="E5" i="6"/>
  <c r="E21" i="6"/>
  <c r="E37" i="6"/>
  <c r="I5" i="6"/>
  <c r="I9" i="6"/>
  <c r="I13" i="6"/>
  <c r="I17" i="6"/>
  <c r="I21" i="6"/>
  <c r="I25" i="6"/>
  <c r="I29" i="6"/>
  <c r="I33" i="6"/>
  <c r="I37" i="6"/>
  <c r="D27" i="6"/>
  <c r="E14" i="6"/>
  <c r="E6" i="6"/>
  <c r="D36" i="6"/>
  <c r="E23" i="6"/>
  <c r="C17" i="6"/>
  <c r="L34" i="6"/>
  <c r="L26" i="6"/>
  <c r="L18" i="6"/>
  <c r="L10" i="6"/>
  <c r="L2" i="6"/>
  <c r="D17" i="6"/>
  <c r="D33" i="6"/>
  <c r="D10" i="6"/>
  <c r="D26" i="6"/>
  <c r="D24" i="6"/>
  <c r="C10" i="6"/>
  <c r="C26" i="6"/>
  <c r="C7" i="6"/>
  <c r="C23" i="6"/>
  <c r="G2" i="6"/>
  <c r="C36" i="6"/>
  <c r="D23" i="6"/>
  <c r="E10" i="6"/>
  <c r="C4" i="6"/>
  <c r="H39" i="3"/>
  <c r="H19" i="3"/>
  <c r="H2" i="6"/>
  <c r="H36" i="3"/>
  <c r="H20" i="3"/>
  <c r="H45" i="3"/>
  <c r="H28" i="6"/>
  <c r="H29" i="3"/>
  <c r="H12" i="6"/>
  <c r="H54" i="3"/>
  <c r="H38" i="3"/>
  <c r="H21" i="6"/>
  <c r="H22" i="3"/>
  <c r="H5" i="6"/>
  <c r="H4" i="6"/>
  <c r="H16" i="6"/>
  <c r="H20" i="6"/>
  <c r="H32" i="6"/>
  <c r="H36" i="6"/>
  <c r="H6" i="6"/>
  <c r="H13" i="6"/>
  <c r="H15" i="6"/>
  <c r="H22" i="6"/>
  <c r="H29" i="6"/>
  <c r="H31" i="6"/>
  <c r="H3" i="6"/>
  <c r="H10" i="6"/>
  <c r="H19" i="6"/>
  <c r="H26" i="6"/>
  <c r="H33" i="6"/>
  <c r="H35" i="6"/>
  <c r="H7" i="6"/>
  <c r="H14" i="6"/>
  <c r="H23" i="6"/>
  <c r="H30" i="6"/>
  <c r="H27" i="6"/>
  <c r="H37" i="6"/>
  <c r="H9" i="6"/>
  <c r="H34" i="6"/>
  <c r="H11" i="6"/>
  <c r="H25" i="6"/>
  <c r="H35" i="3"/>
  <c r="H18" i="6"/>
  <c r="H48" i="3"/>
  <c r="H32" i="3"/>
  <c r="H27" i="3"/>
  <c r="H41" i="3"/>
  <c r="H24" i="6"/>
  <c r="H25" i="3"/>
  <c r="H8" i="6"/>
  <c r="H50" i="3"/>
  <c r="H34" i="3"/>
  <c r="H17" i="6"/>
  <c r="C129" i="11"/>
</calcChain>
</file>

<file path=xl/sharedStrings.xml><?xml version="1.0" encoding="utf-8"?>
<sst xmlns="http://schemas.openxmlformats.org/spreadsheetml/2006/main" count="489" uniqueCount="225">
  <si>
    <t>Onshore Wind</t>
  </si>
  <si>
    <t>Energy Information Administration</t>
  </si>
  <si>
    <t>Coal</t>
  </si>
  <si>
    <t>Nuclear</t>
  </si>
  <si>
    <t>Biomass</t>
  </si>
  <si>
    <t>Hydro</t>
  </si>
  <si>
    <t>Wind</t>
  </si>
  <si>
    <t>Natural Gas (CC)</t>
  </si>
  <si>
    <t>Year</t>
  </si>
  <si>
    <t>Sources:</t>
  </si>
  <si>
    <t>for each technology.  We do NOT use NREL's costs directly, because in 2012, it was already</t>
  </si>
  <si>
    <t>We use NREL's cost projections to estimate the rate of cost declines (improvement)</t>
  </si>
  <si>
    <t>clear that NREL's estimates (made in 2010) were dramatically wrong for some generation types.</t>
  </si>
  <si>
    <t>Coal ($/MW)</t>
  </si>
  <si>
    <t>Nuclear ($/MW)</t>
  </si>
  <si>
    <t>Hydro ($/MW)</t>
  </si>
  <si>
    <t>Wind ($/MW)</t>
  </si>
  <si>
    <t>Biomass ($/MW)</t>
  </si>
  <si>
    <t>Solar Thermal</t>
  </si>
  <si>
    <t>Solar PV ($/MW)</t>
  </si>
  <si>
    <t>Solar Thermal ($/MW)</t>
  </si>
  <si>
    <t>Solar PV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</si>
  <si>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</si>
  <si>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</si>
  <si>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</si>
  <si>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</si>
  <si>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</si>
  <si>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</si>
  <si>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wind</t>
  </si>
  <si>
    <t>solar PV</t>
  </si>
  <si>
    <t>solar thermal</t>
  </si>
  <si>
    <t>biomass</t>
  </si>
  <si>
    <t>Fixed O&amp;M ($/MW)</t>
  </si>
  <si>
    <t>Variable O&amp;M ($/MWh)</t>
  </si>
  <si>
    <t>Notes:</t>
  </si>
  <si>
    <t>Currency Year Adjustment</t>
  </si>
  <si>
    <t>Geothermal</t>
  </si>
  <si>
    <t>natural gas nonpeaker</t>
  </si>
  <si>
    <t>geothermal</t>
  </si>
  <si>
    <t>petroleum</t>
  </si>
  <si>
    <t>natural gas peaker</t>
  </si>
  <si>
    <t>Petroleum</t>
  </si>
  <si>
    <t>Natural Gas (CT)</t>
  </si>
  <si>
    <t>NREL did not make any hydro or petroleum projections, so we assume constant costs for these plant types.</t>
  </si>
  <si>
    <t>Natural Gas Nonpeaker ($/MW)</t>
  </si>
  <si>
    <t>Geothermal ($/MW)</t>
  </si>
  <si>
    <t>Petroleum ($/MW)</t>
  </si>
  <si>
    <t>Natural Gas Peaker ($/MW)</t>
  </si>
  <si>
    <t>Variable O&amp;M (2013 $/MWh)</t>
  </si>
  <si>
    <t>Tot 2014 Capital Cost (2013 $/kW)</t>
  </si>
  <si>
    <t>Fixed O&amp;M (2013 $/kW/yr)</t>
  </si>
  <si>
    <t>Offshore Wind</t>
  </si>
  <si>
    <t>Electricity Market Module, Page 105, Table 8.2</t>
  </si>
  <si>
    <t>https://www.eia.gov/forecasts/aeo/assumptions/pdf/electricity.pdf</t>
  </si>
  <si>
    <t>Assumptions to Annual Energy Outlook 2015</t>
  </si>
  <si>
    <t>There is no solar thermal data for 2005, so we assume no solar thermal cost improvement from 2005-2020.</t>
  </si>
  <si>
    <t>(Although the 2010 NREL study includes cost numbers, by 2015, they were far off from reality, so we</t>
  </si>
  <si>
    <t>only use the NREL study to establish rates of cost decline, not actual cost numbers.)</t>
  </si>
  <si>
    <t>Wind and Solar PV are handled differently in the model, relying on endogenous, capacity-based learning</t>
  </si>
  <si>
    <t>curves to determine cost declines.  Therefore, we only specify the start year costs in this document, and</t>
  </si>
  <si>
    <t>• for brown coal power an average of 1,600 € / kW.</t>
  </si>
  <si>
    <t>• for brown coal power in the use of CCS technology on average 2500 € / kW,</t>
  </si>
  <si>
    <t>• for power coal on average € 1,400 / kW,</t>
  </si>
  <si>
    <t>• for power coal with CCS technology using an average of 2500 € / kW,</t>
  </si>
  <si>
    <t>• for gas power (natural gas) average of 700 € / kW.</t>
  </si>
  <si>
    <t>• for gas power plants (gas turbines) average of 400 € / kW.</t>
  </si>
  <si>
    <t>• For onshore wind power plants an average of 1,000 € / kW.</t>
  </si>
  <si>
    <t>• for wind power plants offshore (offshore) on average € 2,400 / kW,</t>
  </si>
  <si>
    <t>• for photovoltaic power plants an average of € 1,400 / kW,</t>
  </si>
  <si>
    <t>• for solar-thermal power plants an average of 5000 € / kW,</t>
  </si>
  <si>
    <t>• for geothermal power plants an average of 9,000 € / kW.</t>
  </si>
  <si>
    <t>Lignite</t>
  </si>
  <si>
    <t>Steam Coal</t>
  </si>
  <si>
    <t>Natural Gas Nonpeaker</t>
  </si>
  <si>
    <t>Natural Gas Peaker</t>
  </si>
  <si>
    <t>€/kW</t>
  </si>
  <si>
    <t>Model Energy Source</t>
  </si>
  <si>
    <t>Natural Gas</t>
  </si>
  <si>
    <t>http://www.srodowisko.pl/wiadomosci-i-komunikaty/koszty-inwestycyjne-w-nowych-elektrowniach-60785-10</t>
  </si>
  <si>
    <t>germany for coal</t>
  </si>
  <si>
    <t>Eurelectric (no CCS)</t>
  </si>
  <si>
    <t>Eurelectric</t>
  </si>
  <si>
    <t>1.7 Założenia technologiczne</t>
  </si>
  <si>
    <t>Tabela 7. Parametry nowych jednostek wytwórczych uwzględnionych w prognozie</t>
  </si>
  <si>
    <t>Ekonomiczny czas życia</t>
  </si>
  <si>
    <t>Nakłady inwestycyjne</t>
  </si>
  <si>
    <t>Zmiana poziomu nakładów inwestycyjnych</t>
  </si>
  <si>
    <t>Koszty operacyjne stałe</t>
  </si>
  <si>
    <t>Koszty operacyjne zmienne</t>
  </si>
  <si>
    <t>Sprawność netto prod. en. elektr.</t>
  </si>
  <si>
    <t>Emisyjność paliwa</t>
  </si>
  <si>
    <t>Lata</t>
  </si>
  <si>
    <t>tys. PLN'10/MW</t>
  </si>
  <si>
    <t>CAGR 2010-2050</t>
  </si>
  <si>
    <t>PLN'10/MWh</t>
  </si>
  <si>
    <t>%</t>
  </si>
  <si>
    <t>kgCO2/MWh</t>
  </si>
  <si>
    <t>Węgiel brunatny - IGCC</t>
  </si>
  <si>
    <t>Węgiel kamienny - PC</t>
  </si>
  <si>
    <t>Węgiel kamienny - IGCC</t>
  </si>
  <si>
    <t>Węgiel kamienny - CHP</t>
  </si>
  <si>
    <t>Gaz - TG</t>
  </si>
  <si>
    <t>Gaz - GTCC</t>
  </si>
  <si>
    <t>Gaz - GTCC/CHP</t>
  </si>
  <si>
    <t>Elektrownia jądrowa</t>
  </si>
  <si>
    <t>Wiatr - ląd</t>
  </si>
  <si>
    <t>Wiatr - morze</t>
  </si>
  <si>
    <t>PV - systemowa</t>
  </si>
  <si>
    <t>PV - rozproszona</t>
  </si>
  <si>
    <t>Mała elektrownia wodna</t>
  </si>
  <si>
    <t>Biogazownia rolnicza</t>
  </si>
  <si>
    <t>Biomasa - CHP</t>
  </si>
  <si>
    <t>2010 Zloty to 2010 USD</t>
  </si>
  <si>
    <t>2010 USD to 2012 USD</t>
  </si>
  <si>
    <t>2010 Zloty to 2012 USD</t>
  </si>
  <si>
    <t>https://www.fiscal.treasury.gov/fsreports/rpt/treasRptRateExch/1210.pdf</t>
  </si>
  <si>
    <t>Economic Lifetime</t>
  </si>
  <si>
    <t>Years</t>
  </si>
  <si>
    <t>Capital Cost</t>
  </si>
  <si>
    <t>Change in Capital Costs from 2010-2050</t>
  </si>
  <si>
    <t>Annual Cost Reduction</t>
  </si>
  <si>
    <t>Fixed O&amp;M</t>
  </si>
  <si>
    <t>2010 Zloty/MW</t>
  </si>
  <si>
    <t>2010 Zloty/MWh</t>
  </si>
  <si>
    <t>Efficiency</t>
  </si>
  <si>
    <t>CO2 Emissions Rate</t>
  </si>
  <si>
    <t>Variable O&amp;M</t>
  </si>
  <si>
    <t>2012 USD/MW</t>
  </si>
  <si>
    <t>2012 USD/MWh</t>
  </si>
  <si>
    <t>Plant Type</t>
  </si>
  <si>
    <t>Power Plant</t>
  </si>
  <si>
    <t>Row Labels</t>
  </si>
  <si>
    <t>Average of Capital Cost</t>
  </si>
  <si>
    <t>Average of Variable O&amp;M</t>
  </si>
  <si>
    <t>Average of Fixed O&amp;M</t>
  </si>
  <si>
    <t>&lt;no offshore wind included</t>
  </si>
  <si>
    <t>&lt;distributed PV included elsewhere</t>
  </si>
  <si>
    <t>&lt;no biogas included</t>
  </si>
  <si>
    <t>https://www.ise.fraunhofer.de/en/publications/veroeffentlichungen-pdf-dateien-en/studien-und-konzeptpapiere/study-levelized-cost-of-electricity-renewable-energies.pdf</t>
  </si>
  <si>
    <t>Molten salt</t>
  </si>
  <si>
    <t>IRENA Estimates - CSP, Molten Salt</t>
  </si>
  <si>
    <r>
      <rPr>
        <sz val="11"/>
        <color theme="1"/>
        <rFont val="Calibri"/>
        <family val="2"/>
        <scheme val="minor"/>
      </rPr>
      <t>Molten salt</t>
    </r>
  </si>
  <si>
    <t>2014 USD to 2012 USD</t>
  </si>
  <si>
    <t>Technology</t>
  </si>
  <si>
    <t>Capial Cost (2014 USD/kW)</t>
  </si>
  <si>
    <t>Capital Cost (2012 USD/kW)</t>
  </si>
  <si>
    <t>Variable O&amp;M Cost (2014 USD/kWh)</t>
  </si>
  <si>
    <t>Variable O&amp;M Cost (2012 USD/kWh)</t>
  </si>
  <si>
    <t>US EIA - Geothermal</t>
  </si>
  <si>
    <t>Binary</t>
  </si>
  <si>
    <t>Tot 2014 Capital Cost (2012 $/kW)</t>
  </si>
  <si>
    <t>2013 USD to 2012 USD</t>
  </si>
  <si>
    <t>Capital Costs (2013 €/kW)</t>
  </si>
  <si>
    <t>Variable O&amp;M (2013 €/kWh)</t>
  </si>
  <si>
    <t>Fuel</t>
  </si>
  <si>
    <t>2013 Euro to 2012 USD</t>
  </si>
  <si>
    <t>2013 Euro to 2013 USD</t>
  </si>
  <si>
    <t>Capital Costs (2012 USD/kW)</t>
  </si>
  <si>
    <t>Variable O&amp;M (2012 USD/kWh)</t>
  </si>
  <si>
    <t>Fraunhofer - Petroleum</t>
  </si>
  <si>
    <t>Variable O&amp;M (2012 $/MWh)</t>
  </si>
  <si>
    <t>Fixed O&amp;M (2012 $/kW/yr)</t>
  </si>
  <si>
    <t>Annual Capital Cost Decline Rate</t>
  </si>
  <si>
    <t>Cost by Year Relative to Start Year Cost</t>
  </si>
  <si>
    <t>Start Year of Costs</t>
  </si>
  <si>
    <t>KAPE</t>
  </si>
  <si>
    <t>Prgonoza zapotrzebowania na paliwa I energie do 2050 roku</t>
  </si>
  <si>
    <t>Table 12</t>
  </si>
  <si>
    <t>IRENA</t>
  </si>
  <si>
    <t>Renewable Power Generation Costs in 2014</t>
  </si>
  <si>
    <t>https://www.irena.org/DocumentDownloads/Publications/IRENA_RE_Power_Costs_2014_report.pdf</t>
  </si>
  <si>
    <t>2013 Solar Thermal and Geothermal (Capital) Costs</t>
  </si>
  <si>
    <t>Tables 6.2 and 6.4, p. 139</t>
  </si>
  <si>
    <t>Geothermal Fixed and Variable O&amp;M Costs</t>
  </si>
  <si>
    <t>2013 Costs (For all except Petroleum, Geothermal, and Solar Thermal) and Cost Improvement Rates</t>
  </si>
  <si>
    <t>Petroleum Costs</t>
  </si>
  <si>
    <t>Fraunhofer Institute</t>
  </si>
  <si>
    <t>Levelized Cost of Electricity Renewable Energy Technologies</t>
  </si>
  <si>
    <t>Except for wind and solar PV, our general approach is to take start year capital costs and</t>
  </si>
  <si>
    <t>cause them to decline at the same rate as costs declined in projections in a the study by KAPE.</t>
  </si>
  <si>
    <t xml:space="preserve">the model handles calculations for subsequent years.  </t>
  </si>
  <si>
    <t>For coal, we use the KAPE values for a coal plant that does not feature carbon capture and sequestration (CCS),</t>
  </si>
  <si>
    <t>because there is no Polish law imposing emissions limitations on coal plants</t>
  </si>
  <si>
    <t xml:space="preserve">Our data sources use a range of currencies and years and we correct to 2012 USD where necessary </t>
  </si>
  <si>
    <t>based on the US historical exchange rates and inflation estimates.</t>
  </si>
  <si>
    <t>Fixed O&amp;M Cost for Nuclear ($2012 USD/kW)</t>
  </si>
  <si>
    <t>Nuclear Fixed O&amp;M Costs</t>
  </si>
  <si>
    <t>Polish Ministry of Economy</t>
  </si>
  <si>
    <t>Polish Nuclear Power Programme</t>
  </si>
  <si>
    <t>http://www.paa.gov.pl/sites/default/files/PPEJ%20eng.2014.pdf</t>
  </si>
  <si>
    <t>Page 53, Table 4.8</t>
  </si>
  <si>
    <r>
      <rPr>
        <i/>
        <sz val="7"/>
        <rFont val="Calibri"/>
        <family val="2"/>
      </rPr>
      <t>and renewable sources of energy</t>
    </r>
    <r>
      <rPr>
        <sz val="7"/>
        <rFont val="Calibri"/>
        <family val="2"/>
      </rPr>
      <t>, ARE S.A., April 2013.</t>
    </r>
  </si>
  <si>
    <r>
      <rPr>
        <sz val="7"/>
        <rFont val="Calibri"/>
        <family val="2"/>
      </rPr>
      <t xml:space="preserve">Source: </t>
    </r>
    <r>
      <rPr>
        <i/>
        <sz val="7"/>
        <rFont val="Calibri"/>
        <family val="2"/>
      </rPr>
      <t>Updated comparative analysis of the electricity generation costs for nuclear, coal-fired and gas-fired power stations</t>
    </r>
  </si>
  <si>
    <r>
      <rPr>
        <b/>
        <sz val="9"/>
        <rFont val="Calibri"/>
        <family val="2"/>
      </rPr>
      <t>PV</t>
    </r>
  </si>
  <si>
    <r>
      <rPr>
        <b/>
        <sz val="9"/>
        <rFont val="Calibri"/>
        <family val="2"/>
      </rPr>
      <t>Wind off-shore</t>
    </r>
  </si>
  <si>
    <r>
      <rPr>
        <b/>
        <sz val="9"/>
        <rFont val="Calibri"/>
        <family val="2"/>
      </rPr>
      <t>Wind on-shore</t>
    </r>
  </si>
  <si>
    <r>
      <rPr>
        <b/>
        <sz val="9"/>
        <rFont val="Calibri"/>
        <family val="2"/>
      </rPr>
      <t>BM</t>
    </r>
  </si>
  <si>
    <r>
      <rPr>
        <b/>
        <sz val="9"/>
        <rFont val="Calibri"/>
        <family val="2"/>
      </rPr>
      <t>IGCC_C+CCS</t>
    </r>
  </si>
  <si>
    <r>
      <rPr>
        <b/>
        <sz val="9"/>
        <rFont val="Calibri"/>
        <family val="2"/>
      </rPr>
      <t>IGCC_C</t>
    </r>
  </si>
  <si>
    <r>
      <rPr>
        <b/>
        <sz val="9"/>
        <rFont val="Calibri"/>
        <family val="2"/>
      </rPr>
      <t>GTCC</t>
    </r>
  </si>
  <si>
    <r>
      <rPr>
        <b/>
        <sz val="9"/>
        <rFont val="Calibri"/>
        <family val="2"/>
      </rPr>
      <t>GT</t>
    </r>
  </si>
  <si>
    <r>
      <rPr>
        <b/>
        <sz val="9"/>
        <rFont val="Calibri"/>
        <family val="2"/>
      </rPr>
      <t>Nuclear IV GEN</t>
    </r>
  </si>
  <si>
    <r>
      <rPr>
        <b/>
        <sz val="9"/>
        <rFont val="Calibri"/>
        <family val="2"/>
      </rPr>
      <t>Nuclear LWR</t>
    </r>
  </si>
  <si>
    <r>
      <rPr>
        <b/>
        <sz val="9"/>
        <rFont val="Calibri"/>
        <family val="2"/>
      </rPr>
      <t>PL+CCS</t>
    </r>
  </si>
  <si>
    <r>
      <rPr>
        <b/>
        <sz val="9"/>
        <rFont val="Calibri"/>
        <family val="2"/>
      </rPr>
      <t>PL</t>
    </r>
  </si>
  <si>
    <r>
      <rPr>
        <b/>
        <sz val="9"/>
        <rFont val="Calibri"/>
        <family val="2"/>
      </rPr>
      <t>PC+CCS</t>
    </r>
  </si>
  <si>
    <r>
      <rPr>
        <b/>
        <sz val="9"/>
        <rFont val="Calibri"/>
        <family val="2"/>
      </rPr>
      <t>PC</t>
    </r>
  </si>
  <si>
    <r>
      <rPr>
        <b/>
        <sz val="9"/>
        <color rgb="FFFFFFFF"/>
        <rFont val="Calibri"/>
        <family val="2"/>
      </rPr>
      <t>Type of source</t>
    </r>
  </si>
  <si>
    <r>
      <rPr>
        <b/>
        <sz val="9"/>
        <rFont val="Calibri"/>
        <family val="2"/>
      </rPr>
      <t>[EUR/MWh].</t>
    </r>
  </si>
  <si>
    <r>
      <rPr>
        <b/>
        <sz val="9"/>
        <rFont val="Calibri"/>
        <family val="2"/>
      </rPr>
      <t>Table 4.9. Variable cost of operation and maintenance, according to reference literature</t>
    </r>
  </si>
  <si>
    <r>
      <rPr>
        <b/>
        <sz val="9"/>
        <rFont val="Calibri"/>
        <family val="2"/>
      </rPr>
      <t>Wind offshore</t>
    </r>
  </si>
  <si>
    <r>
      <rPr>
        <b/>
        <sz val="9"/>
        <rFont val="Calibri"/>
        <family val="2"/>
      </rPr>
      <t>Wind onshore</t>
    </r>
  </si>
  <si>
    <r>
      <rPr>
        <b/>
        <sz val="9"/>
        <rFont val="Calibri"/>
        <family val="2"/>
      </rPr>
      <t>Table 4.8. Reference fixed costs of operation and maintenance [EUR thousand/MW-year].</t>
    </r>
  </si>
  <si>
    <r>
      <rPr>
        <sz val="9"/>
        <rFont val="Calibri"/>
        <family val="2"/>
      </rPr>
      <t>--</t>
    </r>
  </si>
  <si>
    <t>2012 Euro to USD</t>
  </si>
  <si>
    <r>
      <rPr>
        <b/>
        <sz val="9"/>
        <rFont val="Calibri"/>
        <family val="2"/>
      </rPr>
      <t>Table 4.7. Reference unit OVN for the sources under consideration [EUR thousand’2012/MW].</t>
    </r>
  </si>
  <si>
    <t>Coal new (hard coal)</t>
  </si>
  <si>
    <t>Offshore wind</t>
  </si>
  <si>
    <t>lignite</t>
  </si>
  <si>
    <t>offshore wind</t>
  </si>
  <si>
    <t>Lignite ($/MW)</t>
  </si>
  <si>
    <t>Offshore wind ($/MW)</t>
  </si>
  <si>
    <t>preexisting retiring</t>
  </si>
  <si>
    <t>preexisting nonretiring</t>
  </si>
  <si>
    <t>newly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</si>
</sst>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"/>
    <numFmt numFmtId="166" formatCode="0.0%"/>
    <numFmt numFmtId="167" formatCode="#,##0.0;#,##0.0"/>
    <numFmt numFmtId="168" formatCode="###0.0;###0.0"/>
    <numFmt numFmtId="169" formatCode="###0;###0"/>
    <numFmt numFmtId="170" formatCode="#,##0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7"/>
      <color rgb="FF000000"/>
      <name val="Tahoma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charset val="238"/>
      <scheme val="minor"/>
    </font>
    <font>
      <b/>
      <i/>
      <sz val="11"/>
      <color rgb="FF5B9BD5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i/>
      <sz val="7"/>
      <name val="Calibri"/>
      <family val="2"/>
    </font>
    <font>
      <sz val="7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b/>
      <sz val="9"/>
      <color rgb="FFFFFFFF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9BBA58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 style="thick">
        <color rgb="FF9CC2E5"/>
      </bottom>
      <diagonal/>
    </border>
    <border>
      <left/>
      <right style="medium">
        <color rgb="FFBDD6EE"/>
      </right>
      <top style="medium">
        <color rgb="FFBDD6EE"/>
      </top>
      <bottom style="thick">
        <color rgb="FF9CC2E5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  <border>
      <left/>
      <right/>
      <top style="thin">
        <color rgb="FF9BBA58"/>
      </top>
      <bottom style="thin">
        <color rgb="FF9BBA58"/>
      </bottom>
      <diagonal/>
    </border>
    <border>
      <left style="thin">
        <color rgb="FF9BBA58"/>
      </left>
      <right/>
      <top style="thin">
        <color rgb="FF9BBA58"/>
      </top>
      <bottom style="thin">
        <color rgb="FF9BBA58"/>
      </bottom>
      <diagonal/>
    </border>
    <border>
      <left/>
      <right style="thin">
        <color rgb="FF9BBA58"/>
      </right>
      <top style="thin">
        <color rgb="FF9BBA58"/>
      </top>
      <bottom style="thin">
        <color rgb="FF9BBA58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9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0" fontId="0" fillId="2" borderId="0" xfId="0" applyFill="1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horizontal="right"/>
    </xf>
    <xf numFmtId="1" fontId="0" fillId="3" borderId="0" xfId="0" applyNumberFormat="1" applyFill="1"/>
    <xf numFmtId="0" fontId="0" fillId="0" borderId="0" xfId="0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0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8" xfId="0" applyFont="1" applyBorder="1" applyAlignment="1">
      <alignment horizontal="justify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66" fontId="0" fillId="0" borderId="11" xfId="14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10" fontId="0" fillId="0" borderId="0" xfId="14" applyNumberFormat="1" applyFont="1"/>
    <xf numFmtId="10" fontId="9" fillId="4" borderId="0" xfId="14" applyNumberFormat="1" applyFont="1" applyFill="1"/>
    <xf numFmtId="1" fontId="0" fillId="3" borderId="1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/>
    </xf>
    <xf numFmtId="167" fontId="18" fillId="0" borderId="12" xfId="0" applyNumberFormat="1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168" fontId="18" fillId="0" borderId="14" xfId="0" applyNumberFormat="1" applyFont="1" applyFill="1" applyBorder="1" applyAlignment="1">
      <alignment horizontal="center" vertical="top" wrapText="1"/>
    </xf>
    <xf numFmtId="168" fontId="18" fillId="0" borderId="12" xfId="0" applyNumberFormat="1" applyFont="1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/>
    </xf>
    <xf numFmtId="169" fontId="20" fillId="5" borderId="14" xfId="0" applyNumberFormat="1" applyFont="1" applyFill="1" applyBorder="1" applyAlignment="1">
      <alignment horizontal="center" vertical="top" wrapText="1"/>
    </xf>
    <xf numFmtId="169" fontId="20" fillId="5" borderId="12" xfId="0" applyNumberFormat="1" applyFont="1" applyFill="1" applyBorder="1" applyAlignment="1">
      <alignment horizontal="center" vertical="top" wrapText="1"/>
    </xf>
    <xf numFmtId="0" fontId="19" fillId="5" borderId="13" xfId="0" applyFont="1" applyFill="1" applyBorder="1" applyAlignment="1">
      <alignment horizontal="left" vertical="top" wrapText="1"/>
    </xf>
    <xf numFmtId="169" fontId="20" fillId="6" borderId="14" xfId="0" applyNumberFormat="1" applyFont="1" applyFill="1" applyBorder="1" applyAlignment="1">
      <alignment horizontal="center" vertical="top" wrapText="1"/>
    </xf>
    <xf numFmtId="169" fontId="20" fillId="6" borderId="12" xfId="0" applyNumberFormat="1" applyFont="1" applyFill="1" applyBorder="1" applyAlignment="1">
      <alignment horizontal="center" vertical="top" wrapText="1"/>
    </xf>
    <xf numFmtId="0" fontId="19" fillId="6" borderId="13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170" fontId="18" fillId="0" borderId="12" xfId="0" applyNumberFormat="1" applyFont="1" applyFill="1" applyBorder="1" applyAlignment="1">
      <alignment horizontal="left" vertical="top" wrapText="1"/>
    </xf>
    <xf numFmtId="169" fontId="18" fillId="0" borderId="14" xfId="0" applyNumberFormat="1" applyFont="1" applyFill="1" applyBorder="1" applyAlignment="1">
      <alignment horizontal="center" vertical="top" wrapText="1"/>
    </xf>
    <xf numFmtId="169" fontId="18" fillId="0" borderId="12" xfId="0" applyNumberFormat="1" applyFont="1" applyFill="1" applyBorder="1" applyAlignment="1">
      <alignment horizontal="center" vertical="top" wrapText="1"/>
    </xf>
    <xf numFmtId="170" fontId="18" fillId="0" borderId="14" xfId="0" applyNumberFormat="1" applyFont="1" applyFill="1" applyBorder="1" applyAlignment="1">
      <alignment horizontal="center" vertical="top" wrapText="1"/>
    </xf>
    <xf numFmtId="170" fontId="18" fillId="0" borderId="12" xfId="0" applyNumberFormat="1" applyFont="1" applyFill="1" applyBorder="1" applyAlignment="1">
      <alignment horizontal="center" vertical="top" wrapText="1"/>
    </xf>
    <xf numFmtId="0" fontId="21" fillId="0" borderId="12" xfId="0" applyFont="1" applyFill="1" applyBorder="1" applyAlignment="1">
      <alignment horizontal="center" vertical="top" wrapText="1"/>
    </xf>
    <xf numFmtId="170" fontId="18" fillId="3" borderId="12" xfId="0" applyNumberFormat="1" applyFont="1" applyFill="1" applyBorder="1" applyAlignment="1">
      <alignment horizontal="left" vertical="top" wrapText="1"/>
    </xf>
  </cellXfs>
  <cellStyles count="15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Percent" xfId="14" builtinId="5"/>
    <cellStyle name="Section Break" xfId="12"/>
    <cellStyle name="Section Break: parent row" xfId="13"/>
    <cellStyle name="Table title" xfId="1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" refreshedDate="42682.632959490744" createdVersion="6" refreshedVersion="6" minRefreshableVersion="3" recordCount="16">
  <cacheSource type="worksheet">
    <worksheetSource ref="A42:I58" sheet="Poland Capital Costs"/>
  </cacheSource>
  <cacheFields count="9">
    <cacheField name="Power Plant" numFmtId="0">
      <sharedItems/>
    </cacheField>
    <cacheField name="Economic Lifetime" numFmtId="1">
      <sharedItems containsMixedTypes="1" containsNumber="1" containsInteger="1" minValue="20" maxValue="80"/>
    </cacheField>
    <cacheField name="Capital Cost" numFmtId="1">
      <sharedItems containsMixedTypes="1" containsNumber="1" minValue="918.69545245751033" maxValue="5649.9770326136886"/>
    </cacheField>
    <cacheField name="Change in Capital Costs from 2010-2050" numFmtId="0">
      <sharedItems containsMixedTypes="1" containsNumber="1" minValue="-1.8041235161963209E-2" maxValue="0"/>
    </cacheField>
    <cacheField name="Fixed O&amp;M" numFmtId="1">
      <sharedItems containsMixedTypes="1" containsNumber="1" minValue="21.436227224008576" maxValue="244.98545398866943"/>
    </cacheField>
    <cacheField name="Variable O&amp;M" numFmtId="1">
      <sharedItems containsMixedTypes="1" containsNumber="1" minValue="0" maxValue="3.7054049915786251"/>
    </cacheField>
    <cacheField name="Efficiency" numFmtId="1">
      <sharedItems containsMixedTypes="1" containsNumber="1" minValue="36" maxValue="100"/>
    </cacheField>
    <cacheField name="CO2 Emissions Rate" numFmtId="1">
      <sharedItems containsMixedTypes="1" containsNumber="1" minValue="0" maxValue="545.19600855310046"/>
    </cacheField>
    <cacheField name="Model Energy Source" numFmtId="0">
      <sharedItems containsBlank="1" count="11">
        <m/>
        <s v="Coal"/>
        <s v="Natural Gas Peaker"/>
        <s v="Natural Gas Nonpeaker"/>
        <s v="Nuclear"/>
        <s v="Wind"/>
        <s v="Solar PV"/>
        <s v="Hydro"/>
        <s v="Biomass"/>
        <s v="Utility Scale Solar PV" u="1"/>
        <s v="Natural G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Plant Type"/>
    <s v="Years"/>
    <s v="2012 USD/MW"/>
    <s v="Annual Cost Reduction"/>
    <s v="2012 USD/MW"/>
    <s v="2012 USD/MWh"/>
    <s v="%"/>
    <s v="kgCO2/MWh"/>
    <x v="0"/>
  </r>
  <r>
    <s v="Węgiel brunatny - IGCC"/>
    <n v="45"/>
    <n v="2694.8399938753637"/>
    <n v="-1.0141174378723861E-3"/>
    <n v="37.972745368243764"/>
    <n v="3.7054049915786251"/>
    <n v="47"/>
    <n v="545.19600855310046"/>
    <x v="1"/>
  </r>
  <r>
    <s v="Węgiel kamienny - PC"/>
    <n v="40"/>
    <n v="1898.6372684121882"/>
    <n v="-1.8819628140518407E-3"/>
    <n v="34.604195375899558"/>
    <n v="2.9704486296126174"/>
    <n v="45"/>
    <n v="358"/>
    <x v="1"/>
  </r>
  <r>
    <s v="Węgiel kamienny - IGCC"/>
    <n v="45"/>
    <n v="2373.2965855152352"/>
    <n v="-1.8386031282128235E-3"/>
    <n v="34.604195375899558"/>
    <n v="2.9704486296126174"/>
    <n v="49"/>
    <n v="358"/>
    <x v="1"/>
  </r>
  <r>
    <s v="Węgiel kamienny - CHP"/>
    <n v="40"/>
    <n v="2725.4631756239473"/>
    <n v="0"/>
    <n v="48.690858980248052"/>
    <n v="3.5522890828357068"/>
    <n v="44"/>
    <n v="358"/>
    <x v="1"/>
  </r>
  <r>
    <s v="Gaz - TG"/>
    <n v="30"/>
    <n v="918.69545245751033"/>
    <n v="0"/>
    <n v="26.642168121267801"/>
    <n v="1.7761445414178534"/>
    <n v="44"/>
    <n v="205"/>
    <x v="2"/>
  </r>
  <r>
    <s v="Gaz - GTCC"/>
    <n v="30"/>
    <n v="1224.9272699433473"/>
    <n v="0"/>
    <n v="26.642168121267801"/>
    <n v="1.7761445414178534"/>
    <n v="57.999999999999993"/>
    <n v="205"/>
    <x v="3"/>
  </r>
  <r>
    <s v="Gaz - GTCC/CHP"/>
    <n v="30"/>
    <n v="1224.9272699433473"/>
    <n v="0"/>
    <n v="48.690858980248052"/>
    <n v="1.7761445414178534"/>
    <n v="57.999999999999993"/>
    <n v="205"/>
    <x v="3"/>
  </r>
  <r>
    <s v="Elektrownia jądrowa"/>
    <n v="60"/>
    <n v="5649.9770326136886"/>
    <n v="0"/>
    <n v="87.888531618435167"/>
    <n v="1.2249272699433471"/>
    <n v="36"/>
    <n v="0"/>
    <x v="4"/>
  </r>
  <r>
    <s v="Wiatr - ląd"/>
    <n v="20"/>
    <n v="1684.2749961721024"/>
    <n v="-4.0823799331761723E-3"/>
    <n v="61.246363497167359"/>
    <n v="0"/>
    <n v="100"/>
    <n v="0"/>
    <x v="5"/>
  </r>
  <r>
    <s v="Wiatr - morze"/>
    <n v="20"/>
    <n v="3766.6513550757918"/>
    <n v="-1.0711788675244582E-2"/>
    <n v="183.73909049150208"/>
    <n v="0"/>
    <n v="100"/>
    <n v="0"/>
    <x v="0"/>
  </r>
  <r>
    <s v="PV - systemowa"/>
    <n v="20"/>
    <n v="1820.5481549532994"/>
    <n v="-1.8041235161963209E-2"/>
    <n v="35.216659010871233"/>
    <n v="0"/>
    <n v="100"/>
    <n v="0"/>
    <x v="6"/>
  </r>
  <r>
    <s v="PV - rozproszona"/>
    <n v="20"/>
    <n v="2322.7683356300718"/>
    <n v="-1.7852377847928036E-2"/>
    <n v="21.436227224008576"/>
    <n v="0"/>
    <n v="100"/>
    <n v="0"/>
    <x v="0"/>
  </r>
  <r>
    <s v="Mała elektrownia wodna"/>
    <n v="80"/>
    <n v="5512.172714745062"/>
    <n v="0"/>
    <n v="199.05068136579391"/>
    <n v="3.5522890828357068"/>
    <n v="100"/>
    <n v="0"/>
    <x v="7"/>
  </r>
  <r>
    <s v="Biogazownia rolnicza"/>
    <n v="30"/>
    <n v="4593.4772622875516"/>
    <n v="-1.7179401454748944E-2"/>
    <n v="244.98545398866943"/>
    <n v="2.4498545398866942"/>
    <n v="48"/>
    <n v="0"/>
    <x v="0"/>
  </r>
  <r>
    <s v="Biomasa - CHP"/>
    <n v="30"/>
    <n v="3062.3181748583679"/>
    <n v="-1.8819628140518407E-3"/>
    <n v="48.690858980248052"/>
    <n v="3.5522890828357068"/>
    <n v="36"/>
    <n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82:D90" firstHeaderRow="0" firstDataRow="1" firstDataCol="1"/>
  <pivotFields count="9"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axis="axisRow" showAll="0" defaultSubtotal="0">
      <items count="11">
        <item x="8"/>
        <item x="1"/>
        <item x="7"/>
        <item h="1" m="1" x="10"/>
        <item x="4"/>
        <item x="6"/>
        <item x="5"/>
        <item h="1" x="0"/>
        <item x="2"/>
        <item x="3"/>
        <item m="1" x="9"/>
      </items>
    </pivotField>
  </pivotFields>
  <rowFields count="1">
    <field x="8"/>
  </rowFields>
  <rowItems count="8">
    <i>
      <x/>
    </i>
    <i>
      <x v="1"/>
    </i>
    <i>
      <x v="2"/>
    </i>
    <i>
      <x v="4"/>
    </i>
    <i>
      <x v="5"/>
    </i>
    <i>
      <x v="6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ital Cost" fld="2" subtotal="average" baseField="0" baseItem="0"/>
    <dataField name="Average of Variable O&amp;M" fld="5" subtotal="average" baseField="8" baseItem="0"/>
    <dataField name="Average of Fixed O&amp;M" fld="4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61:E66" totalsRowShown="0">
  <autoFilter ref="A61:E66"/>
  <tableColumns count="5">
    <tableColumn id="1" name="Technology"/>
    <tableColumn id="2" name="Capial Cost (2014 USD/kW)"/>
    <tableColumn id="3" name="Capital Cost (2012 USD/kW)" dataDxfId="6">
      <calculatedColumnFormula>Table1[[#This Row],[Capial Cost (2014 USD/kW)]]*Currency!$A$4</calculatedColumnFormula>
    </tableColumn>
    <tableColumn id="4" name="Variable O&amp;M Cost (2014 USD/kWh)"/>
    <tableColumn id="5" name="Variable O&amp;M Cost (2012 USD/kWh)" dataDxfId="5">
      <calculatedColumnFormula>Table1[[#This Row],[Variable O&amp;M Cost (2014 USD/kWh)]]*Currency!$A$4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0:G71" totalsRowShown="0" headerRowDxfId="4">
  <autoFilter ref="A70:G71"/>
  <tableColumns count="7">
    <tableColumn id="1" name="Plant Type"/>
    <tableColumn id="2" name="Tot 2014 Capital Cost (2013 $/kW)"/>
    <tableColumn id="5" name="Tot 2014 Capital Cost (2012 $/kW)">
      <calculatedColumnFormula>Table2[Tot 2014 Capital Cost (2013 $/kW)]*Currency!A5</calculatedColumnFormula>
    </tableColumn>
    <tableColumn id="3" name="Variable O&amp;M (2013 $/MWh)" dataDxfId="3"/>
    <tableColumn id="6" name="Variable O&amp;M (2012 $/MWh)" dataDxfId="2">
      <calculatedColumnFormula>Table2[Variable O&amp;M (2013 $/MWh)]</calculatedColumnFormula>
    </tableColumn>
    <tableColumn id="4" name="Fixed O&amp;M (2013 $/kW/yr)" dataDxfId="1"/>
    <tableColumn id="7" name="Fixed O&amp;M (2012 $/kW/yr)" dataDxfId="0">
      <calculatedColumnFormula>Table2[Fixed O&amp;M (2013 $/kW/yr)]*Currency!A5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4:E75" totalsRowShown="0">
  <autoFilter ref="A74:E75"/>
  <tableColumns count="5">
    <tableColumn id="1" name="Fuel"/>
    <tableColumn id="2" name="Capital Costs (2013 €/kW)">
      <calculatedColumnFormula>AVERAGE(600,900)</calculatedColumnFormula>
    </tableColumn>
    <tableColumn id="3" name="Capital Costs (2012 USD/kW)">
      <calculatedColumnFormula>B75/Currency!A7</calculatedColumnFormula>
    </tableColumn>
    <tableColumn id="4" name="Variable O&amp;M (2013 €/kWh)"/>
    <tableColumn id="5" name="Variable O&amp;M (2012 USD/kWh)">
      <calculatedColumnFormula>D75/Currency!A7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rodowisko.pl/wiadomosci-i-komunikaty/koszty-inwestycyjne-w-nowych-elektrowniach-60785-10" TargetMode="Externa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/>
  </sheetViews>
  <sheetFormatPr defaultColWidth="9.28515625" defaultRowHeight="15" x14ac:dyDescent="0.25"/>
  <cols>
    <col min="1" max="1" width="9.28515625" style="2"/>
    <col min="2" max="2" width="85.1406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28515625" style="2" bestFit="1" customWidth="1"/>
    <col min="7" max="11" width="10.7109375" style="2" customWidth="1"/>
    <col min="12" max="16384" width="9.28515625" style="2"/>
  </cols>
  <sheetData>
    <row r="1" spans="1:5" x14ac:dyDescent="0.25">
      <c r="A1" s="1" t="s">
        <v>22</v>
      </c>
    </row>
    <row r="2" spans="1:5" x14ac:dyDescent="0.25">
      <c r="A2" s="1" t="s">
        <v>23</v>
      </c>
    </row>
    <row r="3" spans="1:5" x14ac:dyDescent="0.25">
      <c r="A3" s="1" t="s">
        <v>24</v>
      </c>
    </row>
    <row r="5" spans="1:5" x14ac:dyDescent="0.25">
      <c r="A5" s="6" t="s">
        <v>9</v>
      </c>
      <c r="B5" s="7" t="s">
        <v>174</v>
      </c>
      <c r="C5" s="12"/>
      <c r="D5" s="12"/>
      <c r="E5" s="12"/>
    </row>
    <row r="6" spans="1:5" x14ac:dyDescent="0.25">
      <c r="B6" s="26" t="s">
        <v>165</v>
      </c>
    </row>
    <row r="7" spans="1:5" x14ac:dyDescent="0.25">
      <c r="B7" s="2">
        <v>2013</v>
      </c>
    </row>
    <row r="8" spans="1:5" x14ac:dyDescent="0.25">
      <c r="B8" s="2" t="s">
        <v>166</v>
      </c>
    </row>
    <row r="9" spans="1:5" x14ac:dyDescent="0.25">
      <c r="B9" s="26" t="s">
        <v>167</v>
      </c>
    </row>
    <row r="10" spans="1:5" x14ac:dyDescent="0.25">
      <c r="B10"/>
    </row>
    <row r="11" spans="1:5" x14ac:dyDescent="0.25">
      <c r="A11" s="11"/>
      <c r="B11" s="20" t="s">
        <v>171</v>
      </c>
      <c r="D11"/>
    </row>
    <row r="12" spans="1:5" x14ac:dyDescent="0.25">
      <c r="A12" s="11"/>
      <c r="B12" s="23" t="s">
        <v>168</v>
      </c>
    </row>
    <row r="13" spans="1:5" x14ac:dyDescent="0.25">
      <c r="A13" s="11"/>
      <c r="B13" s="2">
        <v>2015</v>
      </c>
      <c r="D13"/>
    </row>
    <row r="14" spans="1:5" x14ac:dyDescent="0.25">
      <c r="A14" s="11"/>
      <c r="B14" s="23" t="s">
        <v>169</v>
      </c>
      <c r="D14" s="3"/>
    </row>
    <row r="15" spans="1:5" x14ac:dyDescent="0.25">
      <c r="A15" s="11"/>
      <c r="B15" s="3" t="s">
        <v>170</v>
      </c>
      <c r="D15"/>
    </row>
    <row r="16" spans="1:5" x14ac:dyDescent="0.25">
      <c r="A16" s="11"/>
      <c r="B16" s="23" t="s">
        <v>172</v>
      </c>
    </row>
    <row r="17" spans="1:2" x14ac:dyDescent="0.25">
      <c r="A17" s="11"/>
      <c r="B17" s="14"/>
    </row>
    <row r="18" spans="1:2" x14ac:dyDescent="0.25">
      <c r="A18" s="11"/>
      <c r="B18" s="19" t="s">
        <v>173</v>
      </c>
    </row>
    <row r="19" spans="1:2" x14ac:dyDescent="0.25">
      <c r="A19" s="11"/>
      <c r="B19" s="26" t="s">
        <v>1</v>
      </c>
    </row>
    <row r="20" spans="1:2" x14ac:dyDescent="0.25">
      <c r="A20" s="11"/>
      <c r="B20" s="2">
        <v>2015</v>
      </c>
    </row>
    <row r="21" spans="1:2" x14ac:dyDescent="0.25">
      <c r="A21" s="11"/>
      <c r="B21" s="26" t="s">
        <v>54</v>
      </c>
    </row>
    <row r="22" spans="1:2" x14ac:dyDescent="0.25">
      <c r="A22" s="11"/>
      <c r="B22" s="3" t="s">
        <v>53</v>
      </c>
    </row>
    <row r="23" spans="1:2" x14ac:dyDescent="0.25">
      <c r="A23" s="11"/>
      <c r="B23" s="26" t="s">
        <v>52</v>
      </c>
    </row>
    <row r="24" spans="1:2" x14ac:dyDescent="0.25">
      <c r="A24" s="11"/>
      <c r="B24" s="14"/>
    </row>
    <row r="25" spans="1:2" x14ac:dyDescent="0.25">
      <c r="A25" s="11"/>
      <c r="B25" s="7" t="s">
        <v>175</v>
      </c>
    </row>
    <row r="26" spans="1:2" x14ac:dyDescent="0.25">
      <c r="A26" s="11"/>
      <c r="B26" s="2" t="s">
        <v>176</v>
      </c>
    </row>
    <row r="27" spans="1:2" x14ac:dyDescent="0.25">
      <c r="A27" s="11"/>
      <c r="B27" s="2">
        <v>2013</v>
      </c>
    </row>
    <row r="28" spans="1:2" x14ac:dyDescent="0.25">
      <c r="A28" s="11"/>
      <c r="B28" s="2" t="s">
        <v>177</v>
      </c>
    </row>
    <row r="29" spans="1:2" x14ac:dyDescent="0.25">
      <c r="A29" s="11"/>
      <c r="B29" s="26" t="s">
        <v>138</v>
      </c>
    </row>
    <row r="30" spans="1:2" x14ac:dyDescent="0.25">
      <c r="A30" s="11"/>
      <c r="B30" s="26"/>
    </row>
    <row r="31" spans="1:2" x14ac:dyDescent="0.25">
      <c r="A31" s="11"/>
      <c r="B31" s="7" t="s">
        <v>186</v>
      </c>
    </row>
    <row r="32" spans="1:2" x14ac:dyDescent="0.25">
      <c r="A32" s="11"/>
      <c r="B32" s="26" t="s">
        <v>187</v>
      </c>
    </row>
    <row r="33" spans="1:11" x14ac:dyDescent="0.25">
      <c r="A33" s="11"/>
      <c r="B33" s="2">
        <v>2014</v>
      </c>
    </row>
    <row r="34" spans="1:11" x14ac:dyDescent="0.25">
      <c r="A34" s="11"/>
      <c r="B34" s="26" t="s">
        <v>188</v>
      </c>
    </row>
    <row r="35" spans="1:11" x14ac:dyDescent="0.25">
      <c r="A35" s="11"/>
      <c r="B35" s="26" t="s">
        <v>189</v>
      </c>
    </row>
    <row r="36" spans="1:11" x14ac:dyDescent="0.25">
      <c r="A36" s="11"/>
      <c r="B36" s="14" t="s">
        <v>190</v>
      </c>
    </row>
    <row r="37" spans="1:11" x14ac:dyDescent="0.25">
      <c r="A37" s="11"/>
      <c r="B37" s="14"/>
    </row>
    <row r="38" spans="1:11" x14ac:dyDescent="0.25">
      <c r="A38" s="11" t="s">
        <v>34</v>
      </c>
      <c r="D38" s="11"/>
      <c r="E38" s="16"/>
      <c r="F38" s="16"/>
      <c r="G38" s="16"/>
      <c r="H38" s="16"/>
      <c r="I38" s="16"/>
      <c r="J38" s="16"/>
      <c r="K38" s="16"/>
    </row>
    <row r="39" spans="1:11" x14ac:dyDescent="0.25">
      <c r="A39" s="15" t="s">
        <v>178</v>
      </c>
      <c r="D39" s="11"/>
      <c r="E39" s="16"/>
      <c r="F39" s="16"/>
      <c r="G39" s="16"/>
      <c r="H39" s="16"/>
      <c r="I39" s="16"/>
      <c r="J39" s="16"/>
      <c r="K39" s="16"/>
    </row>
    <row r="40" spans="1:11" x14ac:dyDescent="0.25">
      <c r="A40" s="15" t="s">
        <v>179</v>
      </c>
      <c r="D40" s="11"/>
      <c r="E40" s="16"/>
      <c r="F40" s="16"/>
      <c r="G40" s="16"/>
      <c r="H40" s="16"/>
      <c r="I40" s="16"/>
      <c r="J40" s="16"/>
      <c r="K40" s="16"/>
    </row>
    <row r="41" spans="1:11" x14ac:dyDescent="0.25">
      <c r="A41" s="15" t="s">
        <v>56</v>
      </c>
      <c r="D41" s="11"/>
      <c r="E41" s="16"/>
      <c r="F41" s="16"/>
      <c r="G41" s="16"/>
      <c r="H41" s="16"/>
      <c r="I41" s="16"/>
      <c r="J41" s="16"/>
      <c r="K41" s="16"/>
    </row>
    <row r="42" spans="1:11" x14ac:dyDescent="0.25">
      <c r="A42" s="15" t="s">
        <v>57</v>
      </c>
      <c r="D42" s="11"/>
      <c r="E42" s="16"/>
      <c r="F42" s="16"/>
      <c r="G42" s="16"/>
      <c r="H42" s="16"/>
      <c r="I42" s="16"/>
      <c r="J42" s="16"/>
      <c r="K42" s="16"/>
    </row>
    <row r="43" spans="1:11" x14ac:dyDescent="0.25">
      <c r="A43" s="15"/>
      <c r="D43" s="11"/>
      <c r="E43" s="16"/>
      <c r="F43" s="16"/>
      <c r="G43" s="16"/>
      <c r="H43" s="16"/>
      <c r="I43" s="16"/>
      <c r="J43" s="16"/>
      <c r="K43" s="16"/>
    </row>
    <row r="44" spans="1:11" x14ac:dyDescent="0.25">
      <c r="A44" s="15" t="s">
        <v>58</v>
      </c>
      <c r="D44" s="11"/>
      <c r="E44" s="16"/>
      <c r="F44" s="16"/>
      <c r="G44" s="16"/>
      <c r="H44" s="16"/>
      <c r="I44" s="16"/>
      <c r="J44" s="16"/>
      <c r="K44" s="16"/>
    </row>
    <row r="45" spans="1:11" x14ac:dyDescent="0.25">
      <c r="A45" s="15" t="s">
        <v>59</v>
      </c>
      <c r="D45" s="11"/>
      <c r="E45" s="16"/>
      <c r="F45" s="16"/>
      <c r="G45" s="16"/>
      <c r="H45" s="16"/>
      <c r="I45" s="16"/>
      <c r="J45" s="16"/>
      <c r="K45" s="16"/>
    </row>
    <row r="46" spans="1:11" x14ac:dyDescent="0.25">
      <c r="A46" s="15" t="s">
        <v>180</v>
      </c>
      <c r="D46" s="11"/>
      <c r="E46" s="16"/>
      <c r="F46" s="16"/>
      <c r="G46" s="16"/>
      <c r="H46" s="16"/>
      <c r="I46" s="16"/>
      <c r="J46" s="16"/>
      <c r="K46" s="16"/>
    </row>
    <row r="47" spans="1:11" x14ac:dyDescent="0.25">
      <c r="A47" s="15"/>
      <c r="D47" s="11"/>
      <c r="E47" s="16"/>
      <c r="F47" s="16"/>
      <c r="G47" s="16"/>
      <c r="H47" s="16"/>
      <c r="I47" s="16"/>
      <c r="J47" s="16"/>
      <c r="K47" s="16"/>
    </row>
    <row r="48" spans="1:11" x14ac:dyDescent="0.25">
      <c r="A48" s="15" t="s">
        <v>181</v>
      </c>
      <c r="D48" s="11"/>
      <c r="E48" s="16"/>
      <c r="F48" s="16"/>
      <c r="G48" s="16"/>
      <c r="H48" s="16"/>
      <c r="I48" s="16"/>
      <c r="J48" s="16"/>
      <c r="K48" s="16"/>
    </row>
    <row r="49" spans="1:11" x14ac:dyDescent="0.25">
      <c r="A49" s="15" t="s">
        <v>182</v>
      </c>
      <c r="D49" s="11"/>
      <c r="E49" s="16"/>
      <c r="F49" s="16"/>
      <c r="G49" s="16"/>
      <c r="H49" s="16"/>
      <c r="I49" s="16"/>
      <c r="J49" s="16"/>
      <c r="K49" s="16"/>
    </row>
    <row r="50" spans="1:11" x14ac:dyDescent="0.25">
      <c r="A50" s="15"/>
      <c r="D50" s="11"/>
      <c r="E50" s="16"/>
      <c r="F50" s="16"/>
      <c r="G50" s="16"/>
      <c r="H50" s="16"/>
      <c r="I50" s="16"/>
      <c r="J50" s="16"/>
      <c r="K50" s="16"/>
    </row>
    <row r="51" spans="1:11" x14ac:dyDescent="0.25">
      <c r="A51" s="11" t="s">
        <v>35</v>
      </c>
      <c r="D51" s="11"/>
      <c r="E51" s="16"/>
      <c r="F51" s="16"/>
      <c r="G51" s="16"/>
      <c r="H51" s="16"/>
      <c r="I51" s="16"/>
      <c r="J51" s="16"/>
      <c r="K51" s="16"/>
    </row>
    <row r="52" spans="1:11" x14ac:dyDescent="0.25">
      <c r="A52" s="15" t="s">
        <v>183</v>
      </c>
      <c r="B52" s="14"/>
      <c r="D52" s="11"/>
      <c r="E52" s="16"/>
      <c r="F52" s="16"/>
      <c r="G52" s="16"/>
      <c r="H52" s="16"/>
      <c r="I52" s="16"/>
      <c r="J52" s="16"/>
      <c r="K52" s="16"/>
    </row>
    <row r="53" spans="1:11" x14ac:dyDescent="0.25">
      <c r="A53" s="15" t="s">
        <v>184</v>
      </c>
      <c r="B53" s="14"/>
      <c r="D53" s="11"/>
      <c r="E53" s="16"/>
      <c r="F53" s="16"/>
      <c r="G53" s="16"/>
      <c r="H53" s="16"/>
      <c r="I53" s="16"/>
      <c r="J53" s="16"/>
      <c r="K53" s="16"/>
    </row>
    <row r="54" spans="1:11" x14ac:dyDescent="0.25">
      <c r="A54" s="15"/>
      <c r="B54" s="14"/>
      <c r="D54" s="11"/>
      <c r="E54" s="16"/>
      <c r="F54" s="16"/>
      <c r="G54" s="16"/>
      <c r="H54" s="16"/>
      <c r="I54" s="16"/>
      <c r="J54" s="16"/>
      <c r="K54" s="16"/>
    </row>
    <row r="55" spans="1:11" x14ac:dyDescent="0.25">
      <c r="A55" s="23"/>
      <c r="B55" s="14"/>
      <c r="D55" s="11"/>
      <c r="E55" s="16"/>
      <c r="F55" s="16"/>
      <c r="G55" s="16"/>
      <c r="H55" s="16"/>
      <c r="I55" s="16"/>
      <c r="J55" s="16"/>
      <c r="K55" s="16"/>
    </row>
    <row r="56" spans="1:11" x14ac:dyDescent="0.25">
      <c r="A56" s="23"/>
      <c r="B56" s="14"/>
      <c r="D56" s="11"/>
      <c r="E56" s="16"/>
      <c r="F56" s="16"/>
      <c r="G56" s="16"/>
      <c r="H56" s="16"/>
      <c r="I56" s="16"/>
      <c r="J56" s="16"/>
      <c r="K56" s="16"/>
    </row>
    <row r="58" spans="1:11" x14ac:dyDescent="0.25">
      <c r="A58" s="24"/>
      <c r="B58" s="14"/>
      <c r="D58" s="11"/>
      <c r="E58" s="16"/>
      <c r="F58" s="16"/>
      <c r="G58" s="16"/>
      <c r="H58" s="16"/>
      <c r="I58" s="16"/>
      <c r="J58" s="16"/>
      <c r="K58" s="16"/>
    </row>
    <row r="59" spans="1:11" x14ac:dyDescent="0.25">
      <c r="A59" s="15"/>
      <c r="B59" s="14"/>
      <c r="D59" s="11"/>
      <c r="E59" s="16"/>
      <c r="F59" s="16"/>
      <c r="G59" s="16"/>
      <c r="H59" s="16"/>
      <c r="I59" s="16"/>
      <c r="J59" s="16"/>
      <c r="K59" s="16"/>
    </row>
    <row r="60" spans="1:11" x14ac:dyDescent="0.25">
      <c r="A60" s="23"/>
      <c r="B60" s="14"/>
      <c r="D60" s="11"/>
      <c r="E60" s="16"/>
      <c r="F60" s="16"/>
      <c r="G60" s="16"/>
      <c r="H60" s="16"/>
      <c r="I60" s="16"/>
      <c r="J60" s="16"/>
      <c r="K60" s="16"/>
    </row>
    <row r="61" spans="1:11" x14ac:dyDescent="0.25">
      <c r="A61" s="15"/>
      <c r="B61" s="14"/>
      <c r="D61" s="11"/>
      <c r="E61" s="16"/>
      <c r="F61" s="16"/>
      <c r="G61" s="16"/>
      <c r="H61" s="16"/>
      <c r="I61" s="16"/>
      <c r="J61" s="16"/>
      <c r="K61" s="16"/>
    </row>
    <row r="62" spans="1:11" x14ac:dyDescent="0.25">
      <c r="A62" s="15"/>
      <c r="B62" s="14"/>
      <c r="D62" s="11"/>
      <c r="E62" s="16"/>
      <c r="F62" s="16"/>
      <c r="G62" s="16"/>
      <c r="H62" s="16"/>
      <c r="I62" s="16"/>
      <c r="J62" s="16"/>
      <c r="K62" s="16"/>
    </row>
    <row r="63" spans="1:11" x14ac:dyDescent="0.25">
      <c r="A63" s="15"/>
      <c r="B63" s="14"/>
      <c r="D63" s="11"/>
      <c r="E63" s="16"/>
      <c r="F63" s="16"/>
      <c r="G63" s="16"/>
      <c r="H63" s="16"/>
      <c r="I63" s="16"/>
      <c r="J63" s="16"/>
      <c r="K63" s="16"/>
    </row>
    <row r="64" spans="1:11" x14ac:dyDescent="0.25">
      <c r="A64" s="15"/>
      <c r="B64" s="14"/>
      <c r="D64" s="11"/>
      <c r="E64" s="16"/>
      <c r="F64" s="16"/>
      <c r="G64" s="16"/>
      <c r="H64" s="16"/>
      <c r="I64" s="16"/>
      <c r="J64" s="16"/>
      <c r="K64" s="16"/>
    </row>
    <row r="65" spans="1:11" x14ac:dyDescent="0.25">
      <c r="A65" s="15"/>
      <c r="B65" s="14"/>
      <c r="D65" s="11"/>
      <c r="E65" s="16"/>
      <c r="F65" s="16"/>
      <c r="G65" s="16"/>
      <c r="H65" s="16"/>
      <c r="I65" s="16"/>
      <c r="J65" s="16"/>
      <c r="K65" s="16"/>
    </row>
    <row r="66" spans="1:11" x14ac:dyDescent="0.25">
      <c r="A66" s="15"/>
      <c r="B66" s="14"/>
      <c r="D66" s="11"/>
      <c r="E66" s="16"/>
      <c r="F66" s="16"/>
      <c r="G66" s="16"/>
      <c r="H66" s="16"/>
      <c r="I66" s="16"/>
      <c r="J66" s="16"/>
      <c r="K66" s="16"/>
    </row>
    <row r="67" spans="1:11" x14ac:dyDescent="0.25">
      <c r="A67" s="15"/>
      <c r="B67" s="14"/>
      <c r="D67" s="11"/>
      <c r="E67" s="16"/>
      <c r="F67" s="16"/>
      <c r="G67" s="16"/>
      <c r="H67" s="16"/>
      <c r="I67" s="16"/>
      <c r="J67" s="16"/>
      <c r="K67" s="16"/>
    </row>
    <row r="68" spans="1:11" x14ac:dyDescent="0.25">
      <c r="A68" s="15"/>
      <c r="B68" s="14"/>
      <c r="D68" s="11"/>
      <c r="E68" s="16"/>
      <c r="F68" s="16"/>
      <c r="G68" s="16"/>
      <c r="H68" s="16"/>
      <c r="I68" s="16"/>
      <c r="J68" s="16"/>
      <c r="K68" s="16"/>
    </row>
    <row r="69" spans="1:11" x14ac:dyDescent="0.25">
      <c r="A69" s="15"/>
      <c r="B69" s="14"/>
      <c r="D69" s="11"/>
      <c r="E69" s="16"/>
      <c r="F69" s="16"/>
      <c r="G69" s="16"/>
      <c r="H69" s="16"/>
      <c r="I69" s="16"/>
      <c r="J69" s="16"/>
      <c r="K69" s="16"/>
    </row>
    <row r="70" spans="1:11" x14ac:dyDescent="0.25">
      <c r="A70" s="15"/>
      <c r="B70" s="14"/>
      <c r="D70" s="11"/>
      <c r="E70" s="16"/>
      <c r="F70" s="16"/>
      <c r="G70" s="16"/>
      <c r="H70" s="16"/>
      <c r="I70" s="16"/>
      <c r="J70" s="16"/>
      <c r="K70" s="16"/>
    </row>
    <row r="71" spans="1:11" x14ac:dyDescent="0.25">
      <c r="A71" s="15"/>
      <c r="B71" s="14"/>
      <c r="D71" s="11"/>
      <c r="E71" s="16"/>
      <c r="F71" s="16"/>
      <c r="G71" s="16"/>
      <c r="H71" s="16"/>
      <c r="I71" s="16"/>
      <c r="J71" s="16"/>
      <c r="K71" s="16"/>
    </row>
    <row r="72" spans="1:11" x14ac:dyDescent="0.25">
      <c r="A72" s="15"/>
      <c r="B72" s="14"/>
      <c r="D72" s="11"/>
      <c r="E72" s="16"/>
      <c r="F72" s="16"/>
      <c r="G72" s="16"/>
      <c r="H72" s="16"/>
      <c r="I72" s="16"/>
      <c r="J72" s="16"/>
      <c r="K72" s="16"/>
    </row>
    <row r="73" spans="1:11" x14ac:dyDescent="0.25">
      <c r="A73" s="15"/>
      <c r="B73" s="14"/>
      <c r="D73" s="11"/>
      <c r="E73" s="16"/>
      <c r="F73" s="16"/>
      <c r="G73" s="16"/>
      <c r="H73" s="16"/>
      <c r="I73" s="16"/>
      <c r="J73" s="16"/>
      <c r="K73" s="16"/>
    </row>
    <row r="74" spans="1:11" x14ac:dyDescent="0.25">
      <c r="A74" s="15"/>
      <c r="B74" s="14"/>
      <c r="D74" s="11"/>
      <c r="E74" s="16"/>
      <c r="F74" s="16"/>
      <c r="G74" s="16"/>
      <c r="H74" s="16"/>
      <c r="I74" s="16"/>
      <c r="J74" s="16"/>
      <c r="K74" s="16"/>
    </row>
    <row r="75" spans="1:11" x14ac:dyDescent="0.25">
      <c r="A75" s="15"/>
      <c r="B75" s="14"/>
      <c r="D75" s="11"/>
      <c r="E75" s="16"/>
      <c r="F75" s="16"/>
      <c r="G75" s="16"/>
      <c r="H75" s="16"/>
      <c r="I75" s="16"/>
      <c r="J75" s="16"/>
      <c r="K75" s="16"/>
    </row>
    <row r="76" spans="1:11" x14ac:dyDescent="0.25">
      <c r="A76" s="15"/>
      <c r="B76" s="14"/>
      <c r="D76" s="11"/>
      <c r="E76" s="16"/>
      <c r="F76" s="16"/>
      <c r="G76" s="16"/>
      <c r="H76" s="16"/>
      <c r="I76" s="16"/>
      <c r="J76" s="16"/>
      <c r="K76" s="16"/>
    </row>
    <row r="77" spans="1:11" x14ac:dyDescent="0.25">
      <c r="A77" s="15"/>
      <c r="B77" s="14"/>
      <c r="D77" s="11"/>
      <c r="E77" s="16"/>
      <c r="F77" s="16"/>
      <c r="G77" s="16"/>
      <c r="H77" s="16"/>
      <c r="I77" s="16"/>
      <c r="J77" s="16"/>
      <c r="K77" s="16"/>
    </row>
    <row r="78" spans="1:11" x14ac:dyDescent="0.25">
      <c r="A78" s="15"/>
      <c r="B78" s="14"/>
      <c r="D78" s="11"/>
      <c r="E78" s="16"/>
      <c r="F78" s="16"/>
      <c r="G78" s="16"/>
      <c r="H78" s="16"/>
      <c r="I78" s="16"/>
      <c r="J78" s="16"/>
      <c r="K78" s="16"/>
    </row>
    <row r="79" spans="1:11" x14ac:dyDescent="0.25">
      <c r="A79" s="11"/>
      <c r="B79" s="14"/>
      <c r="D79" s="11"/>
      <c r="E79" s="16"/>
      <c r="F79" s="16"/>
      <c r="G79" s="16"/>
      <c r="H79" s="16"/>
      <c r="I79" s="16"/>
      <c r="J79" s="16"/>
      <c r="K79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4" workbookViewId="0">
      <selection activeCell="B17" sqref="B17"/>
    </sheetView>
  </sheetViews>
  <sheetFormatPr defaultRowHeight="15" x14ac:dyDescent="0.25"/>
  <cols>
    <col min="1" max="1" width="25.28515625" customWidth="1"/>
    <col min="2" max="2" width="10.28515625" customWidth="1"/>
    <col min="3" max="3" width="16.28515625" customWidth="1"/>
    <col min="4" max="7" width="13.28515625" customWidth="1"/>
    <col min="8" max="8" width="15.28515625" customWidth="1"/>
    <col min="9" max="9" width="13.28515625" customWidth="1"/>
    <col min="10" max="10" width="14" customWidth="1"/>
    <col min="11" max="11" width="12.7109375" customWidth="1"/>
    <col min="12" max="12" width="16.7109375" customWidth="1"/>
  </cols>
  <sheetData>
    <row r="1" spans="1:12" x14ac:dyDescent="0.25">
      <c r="A1" t="s">
        <v>11</v>
      </c>
    </row>
    <row r="2" spans="1:12" x14ac:dyDescent="0.25">
      <c r="A2" t="s">
        <v>10</v>
      </c>
    </row>
    <row r="3" spans="1:12" x14ac:dyDescent="0.25">
      <c r="A3" t="s">
        <v>12</v>
      </c>
    </row>
    <row r="4" spans="1:12" x14ac:dyDescent="0.25">
      <c r="A4" t="s">
        <v>43</v>
      </c>
    </row>
    <row r="5" spans="1:12" s="26" customFormat="1" x14ac:dyDescent="0.25">
      <c r="A5" s="26" t="s">
        <v>55</v>
      </c>
    </row>
    <row r="6" spans="1:12" x14ac:dyDescent="0.25">
      <c r="E6" s="12"/>
    </row>
    <row r="7" spans="1:12" x14ac:dyDescent="0.25">
      <c r="A7" s="7" t="s">
        <v>162</v>
      </c>
      <c r="B7" s="8"/>
      <c r="C7" s="8"/>
      <c r="D7" s="8"/>
      <c r="E7" s="8"/>
      <c r="F7" s="8"/>
      <c r="G7" s="8"/>
      <c r="H7" s="8"/>
      <c r="I7" s="8"/>
      <c r="J7" s="4"/>
      <c r="K7" s="4"/>
      <c r="L7" s="4"/>
    </row>
    <row r="8" spans="1:12" x14ac:dyDescent="0.25">
      <c r="B8" s="6" t="s">
        <v>2</v>
      </c>
      <c r="C8" s="6" t="s">
        <v>7</v>
      </c>
      <c r="D8" s="6" t="s">
        <v>3</v>
      </c>
      <c r="E8" s="10" t="s">
        <v>5</v>
      </c>
      <c r="F8" s="6" t="s">
        <v>6</v>
      </c>
      <c r="G8" s="6" t="s">
        <v>21</v>
      </c>
      <c r="H8" s="6" t="s">
        <v>18</v>
      </c>
      <c r="I8" s="6" t="s">
        <v>4</v>
      </c>
      <c r="J8" s="6" t="s">
        <v>36</v>
      </c>
      <c r="K8" s="6" t="s">
        <v>41</v>
      </c>
      <c r="L8" s="6" t="s">
        <v>42</v>
      </c>
    </row>
    <row r="9" spans="1:12" x14ac:dyDescent="0.25">
      <c r="B9" s="42">
        <f>AVERAGE('Poland Capital Costs'!D44:D47)</f>
        <v>-1.1836708450342626E-3</v>
      </c>
      <c r="C9" s="42">
        <f>AVERAGE('Poland Capital Costs'!D49:D50)</f>
        <v>0</v>
      </c>
      <c r="D9" s="42">
        <f>AVERAGE('Poland Capital Costs'!D51)</f>
        <v>0</v>
      </c>
      <c r="E9" s="42">
        <f>AVERAGE('Poland Capital Costs'!D56)</f>
        <v>0</v>
      </c>
      <c r="F9" s="42">
        <f>'Poland Capital Costs'!D52</f>
        <v>-4.0823799331761723E-3</v>
      </c>
      <c r="G9" s="42">
        <f>'Poland Capital Costs'!D54</f>
        <v>-1.8041235161963209E-2</v>
      </c>
      <c r="H9" s="43">
        <f>F9</f>
        <v>-4.0823799331761723E-3</v>
      </c>
      <c r="I9" s="42">
        <f>'Poland Capital Costs'!D58</f>
        <v>-1.8819628140518407E-3</v>
      </c>
      <c r="J9" s="42">
        <f>0</f>
        <v>0</v>
      </c>
      <c r="K9" s="42">
        <v>0</v>
      </c>
      <c r="L9" s="42">
        <f>'Poland Capital Costs'!D48</f>
        <v>0</v>
      </c>
    </row>
    <row r="10" spans="1:12" x14ac:dyDescent="0.25">
      <c r="A10" s="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 x14ac:dyDescent="0.25">
      <c r="A11" s="7" t="s">
        <v>164</v>
      </c>
      <c r="B11" s="8"/>
      <c r="C11" s="8"/>
      <c r="D11" s="8"/>
      <c r="E11" s="8"/>
      <c r="F11" s="8"/>
      <c r="G11" s="8"/>
      <c r="H11" s="8"/>
      <c r="I11" s="8"/>
      <c r="J11" s="4"/>
      <c r="K11" s="4"/>
      <c r="L11" s="4"/>
    </row>
    <row r="12" spans="1:12" x14ac:dyDescent="0.25">
      <c r="A12" s="6"/>
      <c r="B12" s="6" t="s">
        <v>2</v>
      </c>
      <c r="C12" s="6" t="s">
        <v>7</v>
      </c>
      <c r="D12" s="6" t="s">
        <v>3</v>
      </c>
      <c r="E12" s="10" t="s">
        <v>5</v>
      </c>
      <c r="F12" s="6" t="s">
        <v>6</v>
      </c>
      <c r="G12" s="6" t="s">
        <v>21</v>
      </c>
      <c r="H12" s="6" t="s">
        <v>18</v>
      </c>
      <c r="I12" s="6" t="s">
        <v>4</v>
      </c>
      <c r="J12" s="6" t="s">
        <v>36</v>
      </c>
      <c r="K12" s="6" t="s">
        <v>41</v>
      </c>
      <c r="L12" s="6" t="s">
        <v>42</v>
      </c>
    </row>
    <row r="13" spans="1:12" x14ac:dyDescent="0.25">
      <c r="A13" s="2"/>
      <c r="B13" s="2">
        <v>2013</v>
      </c>
      <c r="C13" s="2">
        <v>2013</v>
      </c>
      <c r="D13" s="2">
        <v>2013</v>
      </c>
      <c r="E13" s="2">
        <v>2013</v>
      </c>
      <c r="F13" s="2">
        <v>2013</v>
      </c>
      <c r="G13" s="2">
        <v>2013</v>
      </c>
      <c r="H13" s="2">
        <v>2014</v>
      </c>
      <c r="I13" s="2">
        <v>2013</v>
      </c>
      <c r="J13" s="2">
        <v>2014</v>
      </c>
      <c r="K13" s="2">
        <v>2013</v>
      </c>
      <c r="L13">
        <v>2013</v>
      </c>
    </row>
    <row r="14" spans="1:12" s="26" customFormat="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2" x14ac:dyDescent="0.25">
      <c r="A15" s="7" t="s">
        <v>163</v>
      </c>
      <c r="B15" s="8"/>
      <c r="C15" s="8"/>
      <c r="D15" s="8"/>
      <c r="E15" s="8"/>
      <c r="F15" s="9"/>
      <c r="G15" s="8"/>
      <c r="H15" s="8"/>
      <c r="I15" s="8"/>
      <c r="J15" s="4"/>
      <c r="K15" s="4"/>
      <c r="L15" s="4"/>
    </row>
    <row r="16" spans="1:12" x14ac:dyDescent="0.25">
      <c r="A16" s="6" t="s">
        <v>8</v>
      </c>
      <c r="B16" s="6" t="s">
        <v>2</v>
      </c>
      <c r="C16" s="6" t="s">
        <v>7</v>
      </c>
      <c r="D16" s="6" t="s">
        <v>3</v>
      </c>
      <c r="E16" s="10" t="s">
        <v>5</v>
      </c>
      <c r="F16" s="6" t="s">
        <v>6</v>
      </c>
      <c r="G16" s="6" t="s">
        <v>21</v>
      </c>
      <c r="H16" s="6" t="s">
        <v>18</v>
      </c>
      <c r="I16" s="6" t="s">
        <v>4</v>
      </c>
      <c r="J16" s="6" t="s">
        <v>36</v>
      </c>
      <c r="K16" s="6" t="s">
        <v>41</v>
      </c>
      <c r="L16" s="6" t="s">
        <v>42</v>
      </c>
    </row>
    <row r="17" spans="1:12" s="26" customFormat="1" x14ac:dyDescent="0.25">
      <c r="A17" s="6">
        <v>2013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/>
      <c r="I17" s="6">
        <v>1</v>
      </c>
      <c r="J17" s="6">
        <v>1</v>
      </c>
      <c r="K17" s="6">
        <v>1</v>
      </c>
      <c r="L17" s="6">
        <v>1</v>
      </c>
    </row>
    <row r="18" spans="1:12" s="26" customFormat="1" x14ac:dyDescent="0.25">
      <c r="A18" s="6">
        <v>2014</v>
      </c>
      <c r="B18" s="29">
        <f>1*(1+B$9)^COUNT($A$18:$A18)</f>
        <v>0.99881632915496577</v>
      </c>
      <c r="C18" s="29">
        <f>1*(1+C$9)^COUNT($A$18:$A18)</f>
        <v>1</v>
      </c>
      <c r="D18" s="29">
        <f>1*(1+D$9)^COUNT($A$18:$A18)</f>
        <v>1</v>
      </c>
      <c r="E18" s="29">
        <f>1*(1+E$9)^COUNT($A$18:$A18)</f>
        <v>1</v>
      </c>
      <c r="F18" s="29">
        <f>1*(1+F$9)^COUNT($A$18:$A18)</f>
        <v>0.99591762006682383</v>
      </c>
      <c r="G18" s="29">
        <f>1*(1+G$9)^COUNT($A$18:$A18)</f>
        <v>0.98195876483803679</v>
      </c>
      <c r="H18" s="6">
        <v>1</v>
      </c>
      <c r="I18" s="29">
        <f>1*(1+I$9)^COUNT($A$18:$A18)</f>
        <v>0.99811803718594816</v>
      </c>
      <c r="J18" s="29">
        <f>1*(1+J$9)^COUNT($A$18:$A18)</f>
        <v>1</v>
      </c>
      <c r="K18" s="29">
        <f>1*(1+K$9)^COUNT($A$18:$A18)</f>
        <v>1</v>
      </c>
      <c r="L18" s="29">
        <f>1*(1+L$9)^COUNT($A$18:$A18)</f>
        <v>1</v>
      </c>
    </row>
    <row r="19" spans="1:12" s="26" customFormat="1" x14ac:dyDescent="0.25">
      <c r="A19" s="6">
        <v>2015</v>
      </c>
      <c r="B19" s="29">
        <f>1*(1+B$9)^COUNT($A$18:$A19)</f>
        <v>0.99763405938660088</v>
      </c>
      <c r="C19" s="29">
        <f>1*(1+C$9)^COUNT($A$18:$A19)</f>
        <v>1</v>
      </c>
      <c r="D19" s="29">
        <f>1*(1+D$9)^COUNT($A$18:$A19)</f>
        <v>1</v>
      </c>
      <c r="E19" s="29">
        <f>1*(1+E$9)^COUNT($A$18:$A19)</f>
        <v>1</v>
      </c>
      <c r="F19" s="29">
        <f>1*(1+F$9)^COUNT($A$18:$A19)</f>
        <v>0.9918519059595664</v>
      </c>
      <c r="G19" s="29">
        <f>1*(1+G$9)^COUNT($A$18:$A19)</f>
        <v>0.96424301584224281</v>
      </c>
      <c r="H19" s="29">
        <f>1*(1+H$9)^COUNT($A$19:$A19)</f>
        <v>0.99591762006682383</v>
      </c>
      <c r="I19" s="29">
        <f>1*(1+I$9)^COUNT($A$18:$A19)</f>
        <v>0.99623961615592982</v>
      </c>
      <c r="J19" s="29">
        <f>1*(1+J$9)^COUNT($A$18:$A19)</f>
        <v>1</v>
      </c>
      <c r="K19" s="29">
        <f>1*(1+K$9)^COUNT($A$18:$A19)</f>
        <v>1</v>
      </c>
      <c r="L19" s="29">
        <f>1*(1+L$9)^COUNT($A$18:$A19)</f>
        <v>1</v>
      </c>
    </row>
    <row r="20" spans="1:12" x14ac:dyDescent="0.25">
      <c r="A20" s="6">
        <v>2016</v>
      </c>
      <c r="B20" s="29">
        <f>1*(1+B$9)^COUNT($A$18:$A20)</f>
        <v>0.99645318903649183</v>
      </c>
      <c r="C20" s="29">
        <f>1*(1+C$9)^COUNT($A$18:$A20)</f>
        <v>1</v>
      </c>
      <c r="D20" s="29">
        <f>1*(1+D$9)^COUNT($A$18:$A20)</f>
        <v>1</v>
      </c>
      <c r="E20" s="29">
        <f>1*(1+E$9)^COUNT($A$18:$A20)</f>
        <v>1</v>
      </c>
      <c r="F20" s="29">
        <f>1*(1+F$9)^COUNT($A$18:$A20)</f>
        <v>0.98780278964199453</v>
      </c>
      <c r="G20" s="29">
        <f>1*(1+G$9)^COUNT($A$18:$A20)</f>
        <v>0.94684688084015234</v>
      </c>
      <c r="H20" s="29">
        <f>1*(1+H$9)^COUNT($A$19:$A20)</f>
        <v>0.9918519059595664</v>
      </c>
      <c r="I20" s="29">
        <f>1*(1+I$9)^COUNT($A$18:$A20)</f>
        <v>0.99436473024443905</v>
      </c>
      <c r="J20" s="29">
        <f>1*(1+J$9)^COUNT($A$18:$A20)</f>
        <v>1</v>
      </c>
      <c r="K20" s="29">
        <f>1*(1+K$9)^COUNT($A$18:$A20)</f>
        <v>1</v>
      </c>
      <c r="L20" s="29">
        <f>1*(1+L$9)^COUNT($A$18:$A20)</f>
        <v>1</v>
      </c>
    </row>
    <row r="21" spans="1:12" x14ac:dyDescent="0.25">
      <c r="A21" s="6">
        <v>2017</v>
      </c>
      <c r="B21" s="29">
        <f>1*(1+B$9)^COUNT($A$18:$A21)</f>
        <v>0.99527371644818785</v>
      </c>
      <c r="C21" s="29">
        <f>1*(1+C$9)^COUNT($A$18:$A21)</f>
        <v>1</v>
      </c>
      <c r="D21" s="29">
        <f>1*(1+D$9)^COUNT($A$18:$A21)</f>
        <v>1</v>
      </c>
      <c r="E21" s="29">
        <f>1*(1+E$9)^COUNT($A$18:$A21)</f>
        <v>1</v>
      </c>
      <c r="F21" s="29">
        <f>1*(1+F$9)^COUNT($A$18:$A21)</f>
        <v>0.9837702033556246</v>
      </c>
      <c r="G21" s="29">
        <f>1*(1+G$9)^COUNT($A$18:$A21)</f>
        <v>0.92976459360054375</v>
      </c>
      <c r="H21" s="29">
        <f>1*(1+H$9)^COUNT($A$19:$A21)</f>
        <v>0.98780278964199453</v>
      </c>
      <c r="I21" s="29">
        <f>1*(1+I$9)^COUNT($A$18:$A21)</f>
        <v>0.99249337279851435</v>
      </c>
      <c r="J21" s="29">
        <f>1*(1+J$9)^COUNT($A$18:$A21)</f>
        <v>1</v>
      </c>
      <c r="K21" s="29">
        <f>1*(1+K$9)^COUNT($A$18:$A21)</f>
        <v>1</v>
      </c>
      <c r="L21" s="29">
        <f>1*(1+L$9)^COUNT($A$18:$A21)</f>
        <v>1</v>
      </c>
    </row>
    <row r="22" spans="1:12" x14ac:dyDescent="0.25">
      <c r="A22" s="6">
        <v>2018</v>
      </c>
      <c r="B22" s="29">
        <f>1*(1+B$9)^COUNT($A$18:$A22)</f>
        <v>0.9940956399671993</v>
      </c>
      <c r="C22" s="29">
        <f>1*(1+C$9)^COUNT($A$18:$A22)</f>
        <v>1</v>
      </c>
      <c r="D22" s="29">
        <f>1*(1+D$9)^COUNT($A$18:$A22)</f>
        <v>1</v>
      </c>
      <c r="E22" s="29">
        <f>1*(1+E$9)^COUNT($A$18:$A22)</f>
        <v>1</v>
      </c>
      <c r="F22" s="29">
        <f>1*(1+F$9)^COUNT($A$18:$A22)</f>
        <v>0.97975407961858896</v>
      </c>
      <c r="G22" s="29">
        <f>1*(1+G$9)^COUNT($A$18:$A22)</f>
        <v>0.91299049192212922</v>
      </c>
      <c r="H22" s="29">
        <f>1*(1+H$9)^COUNT($A$19:$A22)</f>
        <v>0.9837702033556246</v>
      </c>
      <c r="I22" s="29">
        <f>1*(1+I$9)^COUNT($A$18:$A22)</f>
        <v>0.99062553717771462</v>
      </c>
      <c r="J22" s="29">
        <f>1*(1+J$9)^COUNT($A$18:$A22)</f>
        <v>1</v>
      </c>
      <c r="K22" s="29">
        <f>1*(1+K$9)^COUNT($A$18:$A22)</f>
        <v>1</v>
      </c>
      <c r="L22" s="29">
        <f>1*(1+L$9)^COUNT($A$18:$A22)</f>
        <v>1</v>
      </c>
    </row>
    <row r="23" spans="1:12" x14ac:dyDescent="0.25">
      <c r="A23" s="6">
        <v>2019</v>
      </c>
      <c r="B23" s="29">
        <f>1*(1+B$9)^COUNT($A$18:$A23)</f>
        <v>0.99291895794099438</v>
      </c>
      <c r="C23" s="29">
        <f>1*(1+C$9)^COUNT($A$18:$A23)</f>
        <v>1</v>
      </c>
      <c r="D23" s="29">
        <f>1*(1+D$9)^COUNT($A$18:$A23)</f>
        <v>1</v>
      </c>
      <c r="E23" s="29">
        <f>1*(1+E$9)^COUNT($A$18:$A23)</f>
        <v>1</v>
      </c>
      <c r="F23" s="29">
        <f>1*(1+F$9)^COUNT($A$18:$A23)</f>
        <v>0.97575435122450649</v>
      </c>
      <c r="G23" s="29">
        <f>1*(1+G$9)^COUNT($A$18:$A23)</f>
        <v>0.89651901575672555</v>
      </c>
      <c r="H23" s="29">
        <f>1*(1+H$9)^COUNT($A$19:$A23)</f>
        <v>0.97975407961858896</v>
      </c>
      <c r="I23" s="29">
        <f>1*(1+I$9)^COUNT($A$18:$A23)</f>
        <v>0.98876121675409612</v>
      </c>
      <c r="J23" s="29">
        <f>1*(1+J$9)^COUNT($A$18:$A23)</f>
        <v>1</v>
      </c>
      <c r="K23" s="29">
        <f>1*(1+K$9)^COUNT($A$18:$A23)</f>
        <v>1</v>
      </c>
      <c r="L23" s="29">
        <f>1*(1+L$9)^COUNT($A$18:$A23)</f>
        <v>1</v>
      </c>
    </row>
    <row r="24" spans="1:12" x14ac:dyDescent="0.25">
      <c r="A24" s="6">
        <v>2020</v>
      </c>
      <c r="B24" s="29">
        <f>1*(1+B$9)^COUNT($A$18:$A24)</f>
        <v>0.99174366871899788</v>
      </c>
      <c r="C24" s="29">
        <f>1*(1+C$9)^COUNT($A$18:$A24)</f>
        <v>1</v>
      </c>
      <c r="D24" s="29">
        <f>1*(1+D$9)^COUNT($A$18:$A24)</f>
        <v>1</v>
      </c>
      <c r="E24" s="29">
        <f>1*(1+E$9)^COUNT($A$18:$A24)</f>
        <v>1</v>
      </c>
      <c r="F24" s="29">
        <f>1*(1+F$9)^COUNT($A$18:$A24)</f>
        <v>0.97177095124135826</v>
      </c>
      <c r="G24" s="29">
        <f>1*(1+G$9)^COUNT($A$18:$A24)</f>
        <v>0.88034470536628673</v>
      </c>
      <c r="H24" s="29">
        <f>1*(1+H$9)^COUNT($A$19:$A24)</f>
        <v>0.97575435122450649</v>
      </c>
      <c r="I24" s="29">
        <f>1*(1+I$9)^COUNT($A$18:$A24)</f>
        <v>0.98690040491218822</v>
      </c>
      <c r="J24" s="29">
        <f>1*(1+J$9)^COUNT($A$18:$A24)</f>
        <v>1</v>
      </c>
      <c r="K24" s="29">
        <f>1*(1+K$9)^COUNT($A$18:$A24)</f>
        <v>1</v>
      </c>
      <c r="L24" s="29">
        <f>1*(1+L$9)^COUNT($A$18:$A24)</f>
        <v>1</v>
      </c>
    </row>
    <row r="25" spans="1:12" x14ac:dyDescent="0.25">
      <c r="A25" s="6">
        <v>2021</v>
      </c>
      <c r="B25" s="29">
        <f>1*(1+B$9)^COUNT($A$18:$A25)</f>
        <v>0.99056977065258778</v>
      </c>
      <c r="C25" s="29">
        <f>1*(1+C$9)^COUNT($A$18:$A25)</f>
        <v>1</v>
      </c>
      <c r="D25" s="29">
        <f>1*(1+D$9)^COUNT($A$18:$A25)</f>
        <v>1</v>
      </c>
      <c r="E25" s="29">
        <f>1*(1+E$9)^COUNT($A$18:$A25)</f>
        <v>1</v>
      </c>
      <c r="F25" s="29">
        <f>1*(1+F$9)^COUNT($A$18:$A25)</f>
        <v>0.967803813010367</v>
      </c>
      <c r="G25" s="29">
        <f>1*(1+G$9)^COUNT($A$18:$A25)</f>
        <v>0.86446219951318426</v>
      </c>
      <c r="H25" s="29">
        <f>1*(1+H$9)^COUNT($A$19:$A25)</f>
        <v>0.97177095124135826</v>
      </c>
      <c r="I25" s="29">
        <f>1*(1+I$9)^COUNT($A$18:$A25)</f>
        <v>0.98504309504897081</v>
      </c>
      <c r="J25" s="29">
        <f>1*(1+J$9)^COUNT($A$18:$A25)</f>
        <v>1</v>
      </c>
      <c r="K25" s="29">
        <f>1*(1+K$9)^COUNT($A$18:$A25)</f>
        <v>1</v>
      </c>
      <c r="L25" s="29">
        <f>1*(1+L$9)^COUNT($A$18:$A25)</f>
        <v>1</v>
      </c>
    </row>
    <row r="26" spans="1:12" x14ac:dyDescent="0.25">
      <c r="A26" s="6">
        <v>2022</v>
      </c>
      <c r="B26" s="29">
        <f>1*(1+B$9)^COUNT($A$18:$A26)</f>
        <v>0.98939726209509404</v>
      </c>
      <c r="C26" s="29">
        <f>1*(1+C$9)^COUNT($A$18:$A26)</f>
        <v>1</v>
      </c>
      <c r="D26" s="29">
        <f>1*(1+D$9)^COUNT($A$18:$A26)</f>
        <v>1</v>
      </c>
      <c r="E26" s="29">
        <f>1*(1+E$9)^COUNT($A$18:$A26)</f>
        <v>1</v>
      </c>
      <c r="F26" s="29">
        <f>1*(1+F$9)^COUNT($A$18:$A26)</f>
        <v>0.96385287014488208</v>
      </c>
      <c r="G26" s="29">
        <f>1*(1+G$9)^COUNT($A$18:$A26)</f>
        <v>0.84886623368313896</v>
      </c>
      <c r="H26" s="29">
        <f>1*(1+H$9)^COUNT($A$19:$A26)</f>
        <v>0.967803813010367</v>
      </c>
      <c r="I26" s="29">
        <f>1*(1+I$9)^COUNT($A$18:$A26)</f>
        <v>0.98318928057385013</v>
      </c>
      <c r="J26" s="29">
        <f>1*(1+J$9)^COUNT($A$18:$A26)</f>
        <v>1</v>
      </c>
      <c r="K26" s="29">
        <f>1*(1+K$9)^COUNT($A$18:$A26)</f>
        <v>1</v>
      </c>
      <c r="L26" s="29">
        <f>1*(1+L$9)^COUNT($A$18:$A26)</f>
        <v>1</v>
      </c>
    </row>
    <row r="27" spans="1:12" x14ac:dyDescent="0.25">
      <c r="A27" s="6">
        <v>2023</v>
      </c>
      <c r="B27" s="29">
        <f>1*(1+B$9)^COUNT($A$18:$A27)</f>
        <v>0.98822614140179532</v>
      </c>
      <c r="C27" s="29">
        <f>1*(1+C$9)^COUNT($A$18:$A27)</f>
        <v>1</v>
      </c>
      <c r="D27" s="29">
        <f>1*(1+D$9)^COUNT($A$18:$A27)</f>
        <v>1</v>
      </c>
      <c r="E27" s="29">
        <f>1*(1+E$9)^COUNT($A$18:$A27)</f>
        <v>1</v>
      </c>
      <c r="F27" s="29">
        <f>1*(1+F$9)^COUNT($A$18:$A27)</f>
        <v>0.95991805652926832</v>
      </c>
      <c r="G27" s="29">
        <f>1*(1+G$9)^COUNT($A$18:$A27)</f>
        <v>0.8335516383402114</v>
      </c>
      <c r="H27" s="29">
        <f>1*(1+H$9)^COUNT($A$19:$A27)</f>
        <v>0.96385287014488208</v>
      </c>
      <c r="I27" s="29">
        <f>1*(1+I$9)^COUNT($A$18:$A27)</f>
        <v>0.98133895490863576</v>
      </c>
      <c r="J27" s="29">
        <f>1*(1+J$9)^COUNT($A$18:$A27)</f>
        <v>1</v>
      </c>
      <c r="K27" s="29">
        <f>1*(1+K$9)^COUNT($A$18:$A27)</f>
        <v>1</v>
      </c>
      <c r="L27" s="29">
        <f>1*(1+L$9)^COUNT($A$18:$A27)</f>
        <v>1</v>
      </c>
    </row>
    <row r="28" spans="1:12" x14ac:dyDescent="0.25">
      <c r="A28" s="6">
        <v>2024</v>
      </c>
      <c r="B28" s="29">
        <f>1*(1+B$9)^COUNT($A$18:$A28)</f>
        <v>0.98705640692991736</v>
      </c>
      <c r="C28" s="29">
        <f>1*(1+C$9)^COUNT($A$18:$A28)</f>
        <v>1</v>
      </c>
      <c r="D28" s="29">
        <f>1*(1+D$9)^COUNT($A$18:$A28)</f>
        <v>1</v>
      </c>
      <c r="E28" s="29">
        <f>1*(1+E$9)^COUNT($A$18:$A28)</f>
        <v>1</v>
      </c>
      <c r="F28" s="29">
        <f>1*(1+F$9)^COUNT($A$18:$A28)</f>
        <v>0.95599930631779972</v>
      </c>
      <c r="G28" s="29">
        <f>1*(1+G$9)^COUNT($A$18:$A28)</f>
        <v>0.81851333721327602</v>
      </c>
      <c r="H28" s="29">
        <f>1*(1+H$9)^COUNT($A$19:$A28)</f>
        <v>0.95991805652926832</v>
      </c>
      <c r="I28" s="29">
        <f>1*(1+I$9)^COUNT($A$18:$A28)</f>
        <v>0.97949211148751725</v>
      </c>
      <c r="J28" s="29">
        <f>1*(1+J$9)^COUNT($A$18:$A28)</f>
        <v>1</v>
      </c>
      <c r="K28" s="29">
        <f>1*(1+K$9)^COUNT($A$18:$A28)</f>
        <v>1</v>
      </c>
      <c r="L28" s="29">
        <f>1*(1+L$9)^COUNT($A$18:$A28)</f>
        <v>1</v>
      </c>
    </row>
    <row r="29" spans="1:12" x14ac:dyDescent="0.25">
      <c r="A29" s="6">
        <v>2025</v>
      </c>
      <c r="B29" s="29">
        <f>1*(1+B$9)^COUNT($A$18:$A29)</f>
        <v>0.98588805703863014</v>
      </c>
      <c r="C29" s="29">
        <f>1*(1+C$9)^COUNT($A$18:$A29)</f>
        <v>1</v>
      </c>
      <c r="D29" s="29">
        <f>1*(1+D$9)^COUNT($A$18:$A29)</f>
        <v>1</v>
      </c>
      <c r="E29" s="29">
        <f>1*(1+E$9)^COUNT($A$18:$A29)</f>
        <v>1</v>
      </c>
      <c r="F29" s="29">
        <f>1*(1+F$9)^COUNT($A$18:$A29)</f>
        <v>0.95209655393355763</v>
      </c>
      <c r="G29" s="29">
        <f>1*(1+G$9)^COUNT($A$18:$A29)</f>
        <v>0.80374634561340796</v>
      </c>
      <c r="H29" s="29">
        <f>1*(1+H$9)^COUNT($A$19:$A29)</f>
        <v>0.95599930631779972</v>
      </c>
      <c r="I29" s="29">
        <f>1*(1+I$9)^COUNT($A$18:$A29)</f>
        <v>0.97764874375704058</v>
      </c>
      <c r="J29" s="29">
        <f>1*(1+J$9)^COUNT($A$18:$A29)</f>
        <v>1</v>
      </c>
      <c r="K29" s="29">
        <f>1*(1+K$9)^COUNT($A$18:$A29)</f>
        <v>1</v>
      </c>
      <c r="L29" s="29">
        <f>1*(1+L$9)^COUNT($A$18:$A29)</f>
        <v>1</v>
      </c>
    </row>
    <row r="30" spans="1:12" x14ac:dyDescent="0.25">
      <c r="A30" s="6">
        <v>2026</v>
      </c>
      <c r="B30" s="29">
        <f>1*(1+B$9)^COUNT($A$18:$A30)</f>
        <v>0.98472109008904607</v>
      </c>
      <c r="C30" s="29">
        <f>1*(1+C$9)^COUNT($A$18:$A30)</f>
        <v>1</v>
      </c>
      <c r="D30" s="29">
        <f>1*(1+D$9)^COUNT($A$18:$A30)</f>
        <v>1</v>
      </c>
      <c r="E30" s="29">
        <f>1*(1+E$9)^COUNT($A$18:$A30)</f>
        <v>1</v>
      </c>
      <c r="F30" s="29">
        <f>1*(1+F$9)^COUNT($A$18:$A30)</f>
        <v>0.94820973406733311</v>
      </c>
      <c r="G30" s="29">
        <f>1*(1+G$9)^COUNT($A$18:$A30)</f>
        <v>0.78924576878162789</v>
      </c>
      <c r="H30" s="29">
        <f>1*(1+H$9)^COUNT($A$19:$A30)</f>
        <v>0.95209655393355763</v>
      </c>
      <c r="I30" s="29">
        <f>1*(1+I$9)^COUNT($A$18:$A30)</f>
        <v>0.97580884517608535</v>
      </c>
      <c r="J30" s="29">
        <f>1*(1+J$9)^COUNT($A$18:$A30)</f>
        <v>1</v>
      </c>
      <c r="K30" s="29">
        <f>1*(1+K$9)^COUNT($A$18:$A30)</f>
        <v>1</v>
      </c>
      <c r="L30" s="29">
        <f>1*(1+L$9)^COUNT($A$18:$A30)</f>
        <v>1</v>
      </c>
    </row>
    <row r="31" spans="1:12" x14ac:dyDescent="0.25">
      <c r="A31" s="6">
        <v>2027</v>
      </c>
      <c r="B31" s="29">
        <f>1*(1+B$9)^COUNT($A$18:$A31)</f>
        <v>0.98355550444421724</v>
      </c>
      <c r="C31" s="29">
        <f>1*(1+C$9)^COUNT($A$18:$A31)</f>
        <v>1</v>
      </c>
      <c r="D31" s="29">
        <f>1*(1+D$9)^COUNT($A$18:$A31)</f>
        <v>1</v>
      </c>
      <c r="E31" s="29">
        <f>1*(1+E$9)^COUNT($A$18:$A31)</f>
        <v>1</v>
      </c>
      <c r="F31" s="29">
        <f>1*(1+F$9)^COUNT($A$18:$A31)</f>
        <v>0.94433878167653429</v>
      </c>
      <c r="G31" s="29">
        <f>1*(1+G$9)^COUNT($A$18:$A31)</f>
        <v>0.77500680026645408</v>
      </c>
      <c r="H31" s="29">
        <f>1*(1+H$9)^COUNT($A$19:$A31)</f>
        <v>0.94820973406733311</v>
      </c>
      <c r="I31" s="29">
        <f>1*(1+I$9)^COUNT($A$18:$A31)</f>
        <v>0.97397240921584116</v>
      </c>
      <c r="J31" s="29">
        <f>1*(1+J$9)^COUNT($A$18:$A31)</f>
        <v>1</v>
      </c>
      <c r="K31" s="29">
        <f>1*(1+K$9)^COUNT($A$18:$A31)</f>
        <v>1</v>
      </c>
      <c r="L31" s="29">
        <f>1*(1+L$9)^COUNT($A$18:$A31)</f>
        <v>1</v>
      </c>
    </row>
    <row r="32" spans="1:12" x14ac:dyDescent="0.25">
      <c r="A32" s="6">
        <v>2028</v>
      </c>
      <c r="B32" s="29">
        <f>1*(1+B$9)^COUNT($A$18:$A32)</f>
        <v>0.98239129846913376</v>
      </c>
      <c r="C32" s="29">
        <f>1*(1+C$9)^COUNT($A$18:$A32)</f>
        <v>1</v>
      </c>
      <c r="D32" s="29">
        <f>1*(1+D$9)^COUNT($A$18:$A32)</f>
        <v>1</v>
      </c>
      <c r="E32" s="29">
        <f>1*(1+E$9)^COUNT($A$18:$A32)</f>
        <v>1</v>
      </c>
      <c r="F32" s="29">
        <f>1*(1+F$9)^COUNT($A$18:$A32)</f>
        <v>0.9404836319840979</v>
      </c>
      <c r="G32" s="29">
        <f>1*(1+G$9)^COUNT($A$18:$A32)</f>
        <v>0.76102472033072632</v>
      </c>
      <c r="H32" s="29">
        <f>1*(1+H$9)^COUNT($A$19:$A32)</f>
        <v>0.94433878167653429</v>
      </c>
      <c r="I32" s="29">
        <f>1*(1+I$9)^COUNT($A$18:$A32)</f>
        <v>0.97213942935978437</v>
      </c>
      <c r="J32" s="29">
        <f>1*(1+J$9)^COUNT($A$18:$A32)</f>
        <v>1</v>
      </c>
      <c r="K32" s="29">
        <f>1*(1+K$9)^COUNT($A$18:$A32)</f>
        <v>1</v>
      </c>
      <c r="L32" s="29">
        <f>1*(1+L$9)^COUNT($A$18:$A32)</f>
        <v>1</v>
      </c>
    </row>
    <row r="33" spans="1:12" x14ac:dyDescent="0.25">
      <c r="A33" s="6">
        <v>2029</v>
      </c>
      <c r="B33" s="29">
        <f>1*(1+B$9)^COUNT($A$18:$A33)</f>
        <v>0.98122847053072038</v>
      </c>
      <c r="C33" s="29">
        <f>1*(1+C$9)^COUNT($A$18:$A33)</f>
        <v>1</v>
      </c>
      <c r="D33" s="29">
        <f>1*(1+D$9)^COUNT($A$18:$A33)</f>
        <v>1</v>
      </c>
      <c r="E33" s="29">
        <f>1*(1+E$9)^COUNT($A$18:$A33)</f>
        <v>1</v>
      </c>
      <c r="F33" s="29">
        <f>1*(1+F$9)^COUNT($A$18:$A33)</f>
        <v>0.93664422047740536</v>
      </c>
      <c r="G33" s="29">
        <f>1*(1+G$9)^COUNT($A$18:$A33)</f>
        <v>0.74729489438717234</v>
      </c>
      <c r="H33" s="29">
        <f>1*(1+H$9)^COUNT($A$19:$A33)</f>
        <v>0.9404836319840979</v>
      </c>
      <c r="I33" s="29">
        <f>1*(1+I$9)^COUNT($A$18:$A33)</f>
        <v>0.97030989910365573</v>
      </c>
      <c r="J33" s="29">
        <f>1*(1+J$9)^COUNT($A$18:$A33)</f>
        <v>1</v>
      </c>
      <c r="K33" s="29">
        <f>1*(1+K$9)^COUNT($A$18:$A33)</f>
        <v>1</v>
      </c>
      <c r="L33" s="29">
        <f>1*(1+L$9)^COUNT($A$18:$A33)</f>
        <v>1</v>
      </c>
    </row>
    <row r="34" spans="1:12" x14ac:dyDescent="0.25">
      <c r="A34" s="6">
        <v>2030</v>
      </c>
      <c r="B34" s="29">
        <f>1*(1+B$9)^COUNT($A$18:$A34)</f>
        <v>0.98006701899783566</v>
      </c>
      <c r="C34" s="29">
        <f>1*(1+C$9)^COUNT($A$18:$A34)</f>
        <v>1</v>
      </c>
      <c r="D34" s="29">
        <f>1*(1+D$9)^COUNT($A$18:$A34)</f>
        <v>1</v>
      </c>
      <c r="E34" s="29">
        <f>1*(1+E$9)^COUNT($A$18:$A34)</f>
        <v>1</v>
      </c>
      <c r="F34" s="29">
        <f>1*(1+F$9)^COUNT($A$18:$A34)</f>
        <v>0.93282048290720299</v>
      </c>
      <c r="G34" s="29">
        <f>1*(1+G$9)^COUNT($A$18:$A34)</f>
        <v>0.73381277146219892</v>
      </c>
      <c r="H34" s="29">
        <f>1*(1+H$9)^COUNT($A$19:$A34)</f>
        <v>0.93664422047740536</v>
      </c>
      <c r="I34" s="29">
        <f>1*(1+I$9)^COUNT($A$18:$A34)</f>
        <v>0.9684838119554362</v>
      </c>
      <c r="J34" s="29">
        <f>1*(1+J$9)^COUNT($A$18:$A34)</f>
        <v>1</v>
      </c>
      <c r="K34" s="29">
        <f>1*(1+K$9)^COUNT($A$18:$A34)</f>
        <v>1</v>
      </c>
      <c r="L34" s="29">
        <f>1*(1+L$9)^COUNT($A$18:$A34)</f>
        <v>1</v>
      </c>
    </row>
    <row r="35" spans="1:12" x14ac:dyDescent="0.25">
      <c r="A35" s="6">
        <v>2031</v>
      </c>
      <c r="B35" s="29">
        <f>1*(1+B$9)^COUNT($A$18:$A35)</f>
        <v>0.97890694224126829</v>
      </c>
      <c r="C35" s="29">
        <f>1*(1+C$9)^COUNT($A$18:$A35)</f>
        <v>1</v>
      </c>
      <c r="D35" s="29">
        <f>1*(1+D$9)^COUNT($A$18:$A35)</f>
        <v>1</v>
      </c>
      <c r="E35" s="29">
        <f>1*(1+E$9)^COUNT($A$18:$A35)</f>
        <v>1</v>
      </c>
      <c r="F35" s="29">
        <f>1*(1+F$9)^COUNT($A$18:$A35)</f>
        <v>0.92901235528652681</v>
      </c>
      <c r="G35" s="29">
        <f>1*(1+G$9)^COUNT($A$18:$A35)</f>
        <v>0.72057388268739742</v>
      </c>
      <c r="H35" s="29">
        <f>1*(1+H$9)^COUNT($A$19:$A35)</f>
        <v>0.93282048290720299</v>
      </c>
      <c r="I35" s="29">
        <f>1*(1+I$9)^COUNT($A$18:$A35)</f>
        <v>0.96666116143532499</v>
      </c>
      <c r="J35" s="29">
        <f>1*(1+J$9)^COUNT($A$18:$A35)</f>
        <v>1</v>
      </c>
      <c r="K35" s="29">
        <f>1*(1+K$9)^COUNT($A$18:$A35)</f>
        <v>1</v>
      </c>
      <c r="L35" s="29">
        <f>1*(1+L$9)^COUNT($A$18:$A35)</f>
        <v>1</v>
      </c>
    </row>
    <row r="36" spans="1:12" x14ac:dyDescent="0.25">
      <c r="A36" s="6">
        <v>2032</v>
      </c>
      <c r="B36" s="29">
        <f>1*(1+B$9)^COUNT($A$18:$A36)</f>
        <v>0.97774823863373561</v>
      </c>
      <c r="C36" s="29">
        <f>1*(1+C$9)^COUNT($A$18:$A36)</f>
        <v>1</v>
      </c>
      <c r="D36" s="29">
        <f>1*(1+D$9)^COUNT($A$18:$A36)</f>
        <v>1</v>
      </c>
      <c r="E36" s="29">
        <f>1*(1+E$9)^COUNT($A$18:$A36)</f>
        <v>1</v>
      </c>
      <c r="F36" s="29">
        <f>1*(1+F$9)^COUNT($A$18:$A36)</f>
        <v>0.92521977388963239</v>
      </c>
      <c r="G36" s="29">
        <f>1*(1+G$9)^COUNT($A$18:$A36)</f>
        <v>0.70757383981826516</v>
      </c>
      <c r="H36" s="29">
        <f>1*(1+H$9)^COUNT($A$19:$A36)</f>
        <v>0.92901235528652681</v>
      </c>
      <c r="I36" s="29">
        <f>1*(1+I$9)^COUNT($A$18:$A36)</f>
        <v>0.96484194107571553</v>
      </c>
      <c r="J36" s="29">
        <f>1*(1+J$9)^COUNT($A$18:$A36)</f>
        <v>1</v>
      </c>
      <c r="K36" s="29">
        <f>1*(1+K$9)^COUNT($A$18:$A36)</f>
        <v>1</v>
      </c>
      <c r="L36" s="29">
        <f>1*(1+L$9)^COUNT($A$18:$A36)</f>
        <v>1</v>
      </c>
    </row>
    <row r="37" spans="1:12" x14ac:dyDescent="0.25">
      <c r="A37" s="6">
        <v>2033</v>
      </c>
      <c r="B37" s="29">
        <f>1*(1+B$9)^COUNT($A$18:$A37)</f>
        <v>0.97659090654988123</v>
      </c>
      <c r="C37" s="29">
        <f>1*(1+C$9)^COUNT($A$18:$A37)</f>
        <v>1</v>
      </c>
      <c r="D37" s="29">
        <f>1*(1+D$9)^COUNT($A$18:$A37)</f>
        <v>1</v>
      </c>
      <c r="E37" s="29">
        <f>1*(1+E$9)^COUNT($A$18:$A37)</f>
        <v>1</v>
      </c>
      <c r="F37" s="29">
        <f>1*(1+F$9)^COUNT($A$18:$A37)</f>
        <v>0.9214426752509276</v>
      </c>
      <c r="G37" s="29">
        <f>1*(1+G$9)^COUNT($A$18:$A37)</f>
        <v>0.69480833377965057</v>
      </c>
      <c r="H37" s="29">
        <f>1*(1+H$9)^COUNT($A$19:$A37)</f>
        <v>0.92521977388963239</v>
      </c>
      <c r="I37" s="29">
        <f>1*(1+I$9)^COUNT($A$18:$A37)</f>
        <v>0.9630261444211734</v>
      </c>
      <c r="J37" s="29">
        <f>1*(1+J$9)^COUNT($A$18:$A37)</f>
        <v>1</v>
      </c>
      <c r="K37" s="29">
        <f>1*(1+K$9)^COUNT($A$18:$A37)</f>
        <v>1</v>
      </c>
      <c r="L37" s="29">
        <f>1*(1+L$9)^COUNT($A$18:$A37)</f>
        <v>1</v>
      </c>
    </row>
    <row r="38" spans="1:12" x14ac:dyDescent="0.25">
      <c r="A38" s="6">
        <v>2034</v>
      </c>
      <c r="B38" s="29">
        <f>1*(1+B$9)^COUNT($A$18:$A38)</f>
        <v>0.97543494436627265</v>
      </c>
      <c r="C38" s="29">
        <f>1*(1+C$9)^COUNT($A$18:$A38)</f>
        <v>1</v>
      </c>
      <c r="D38" s="29">
        <f>1*(1+D$9)^COUNT($A$18:$A38)</f>
        <v>1</v>
      </c>
      <c r="E38" s="29">
        <f>1*(1+E$9)^COUNT($A$18:$A38)</f>
        <v>1</v>
      </c>
      <c r="F38" s="29">
        <f>1*(1+F$9)^COUNT($A$18:$A38)</f>
        <v>0.91768099616391097</v>
      </c>
      <c r="G38" s="29">
        <f>1*(1+G$9)^COUNT($A$18:$A38)</f>
        <v>0.6822731332374401</v>
      </c>
      <c r="H38" s="29">
        <f>1*(1+H$9)^COUNT($A$19:$A38)</f>
        <v>0.9214426752509276</v>
      </c>
      <c r="I38" s="29">
        <f>1*(1+I$9)^COUNT($A$18:$A38)</f>
        <v>0.96121376502841305</v>
      </c>
      <c r="J38" s="29">
        <f>1*(1+J$9)^COUNT($A$18:$A38)</f>
        <v>1</v>
      </c>
      <c r="K38" s="29">
        <f>1*(1+K$9)^COUNT($A$18:$A38)</f>
        <v>1</v>
      </c>
      <c r="L38" s="29">
        <f>1*(1+L$9)^COUNT($A$18:$A38)</f>
        <v>1</v>
      </c>
    </row>
    <row r="39" spans="1:12" x14ac:dyDescent="0.25">
      <c r="A39" s="6">
        <v>2035</v>
      </c>
      <c r="B39" s="29">
        <f>1*(1+B$9)^COUNT($A$18:$A39)</f>
        <v>0.9742803504613986</v>
      </c>
      <c r="C39" s="29">
        <f>1*(1+C$9)^COUNT($A$18:$A39)</f>
        <v>1</v>
      </c>
      <c r="D39" s="29">
        <f>1*(1+D$9)^COUNT($A$18:$A39)</f>
        <v>1</v>
      </c>
      <c r="E39" s="29">
        <f>1*(1+E$9)^COUNT($A$18:$A39)</f>
        <v>1</v>
      </c>
      <c r="F39" s="29">
        <f>1*(1+F$9)^COUNT($A$18:$A39)</f>
        <v>0.91393467368011427</v>
      </c>
      <c r="G39" s="29">
        <f>1*(1+G$9)^COUNT($A$18:$A39)</f>
        <v>0.66996408319601386</v>
      </c>
      <c r="H39" s="29">
        <f>1*(1+H$9)^COUNT($A$19:$A39)</f>
        <v>0.91768099616391097</v>
      </c>
      <c r="I39" s="29">
        <f>1*(1+I$9)^COUNT($A$18:$A39)</f>
        <v>0.95940479646627486</v>
      </c>
      <c r="J39" s="29">
        <f>1*(1+J$9)^COUNT($A$18:$A39)</f>
        <v>1</v>
      </c>
      <c r="K39" s="29">
        <f>1*(1+K$9)^COUNT($A$18:$A39)</f>
        <v>1</v>
      </c>
      <c r="L39" s="29">
        <f>1*(1+L$9)^COUNT($A$18:$A39)</f>
        <v>1</v>
      </c>
    </row>
    <row r="40" spans="1:12" x14ac:dyDescent="0.25">
      <c r="A40" s="6">
        <v>2036</v>
      </c>
      <c r="B40" s="29">
        <f>1*(1+B$9)^COUNT($A$18:$A40)</f>
        <v>0.97312712321566774</v>
      </c>
      <c r="C40" s="29">
        <f>1*(1+C$9)^COUNT($A$18:$A40)</f>
        <v>1</v>
      </c>
      <c r="D40" s="29">
        <f>1*(1+D$9)^COUNT($A$18:$A40)</f>
        <v>1</v>
      </c>
      <c r="E40" s="29">
        <f>1*(1+E$9)^COUNT($A$18:$A40)</f>
        <v>1</v>
      </c>
      <c r="F40" s="29">
        <f>1*(1+F$9)^COUNT($A$18:$A40)</f>
        <v>0.91020364510804874</v>
      </c>
      <c r="G40" s="29">
        <f>1*(1+G$9)^COUNT($A$18:$A40)</f>
        <v>0.6578771036210056</v>
      </c>
      <c r="H40" s="29">
        <f>1*(1+H$9)^COUNT($A$19:$A40)</f>
        <v>0.91393467368011427</v>
      </c>
      <c r="I40" s="29">
        <f>1*(1+I$9)^COUNT($A$18:$A40)</f>
        <v>0.95759923231570232</v>
      </c>
      <c r="J40" s="29">
        <f>1*(1+J$9)^COUNT($A$18:$A40)</f>
        <v>1</v>
      </c>
      <c r="K40" s="29">
        <f>1*(1+K$9)^COUNT($A$18:$A40)</f>
        <v>1</v>
      </c>
      <c r="L40" s="29">
        <f>1*(1+L$9)^COUNT($A$18:$A40)</f>
        <v>1</v>
      </c>
    </row>
    <row r="41" spans="1:12" x14ac:dyDescent="0.25">
      <c r="A41" s="6">
        <v>2037</v>
      </c>
      <c r="B41" s="29">
        <f>1*(1+B$9)^COUNT($A$18:$A41)</f>
        <v>0.97197526101140519</v>
      </c>
      <c r="C41" s="29">
        <f>1*(1+C$9)^COUNT($A$18:$A41)</f>
        <v>1</v>
      </c>
      <c r="D41" s="29">
        <f>1*(1+D$9)^COUNT($A$18:$A41)</f>
        <v>1</v>
      </c>
      <c r="E41" s="29">
        <f>1*(1+E$9)^COUNT($A$18:$A41)</f>
        <v>1</v>
      </c>
      <c r="F41" s="29">
        <f>1*(1+F$9)^COUNT($A$18:$A41)</f>
        <v>0.90648784801215576</v>
      </c>
      <c r="G41" s="29">
        <f>1*(1+G$9)^COUNT($A$18:$A41)</f>
        <v>0.64600818808690774</v>
      </c>
      <c r="H41" s="29">
        <f>1*(1+H$9)^COUNT($A$19:$A41)</f>
        <v>0.91020364510804874</v>
      </c>
      <c r="I41" s="29">
        <f>1*(1+I$9)^COUNT($A$18:$A41)</f>
        <v>0.9557970661697196</v>
      </c>
      <c r="J41" s="29">
        <f>1*(1+J$9)^COUNT($A$18:$A41)</f>
        <v>1</v>
      </c>
      <c r="K41" s="29">
        <f>1*(1+K$9)^COUNT($A$18:$A41)</f>
        <v>1</v>
      </c>
      <c r="L41" s="29">
        <f>1*(1+L$9)^COUNT($A$18:$A41)</f>
        <v>1</v>
      </c>
    </row>
    <row r="42" spans="1:12" x14ac:dyDescent="0.25">
      <c r="A42" s="6">
        <v>2038</v>
      </c>
      <c r="B42" s="29">
        <f>1*(1+B$9)^COUNT($A$18:$A42)</f>
        <v>0.97082476223285141</v>
      </c>
      <c r="C42" s="29">
        <f>1*(1+C$9)^COUNT($A$18:$A42)</f>
        <v>1</v>
      </c>
      <c r="D42" s="29">
        <f>1*(1+D$9)^COUNT($A$18:$A42)</f>
        <v>1</v>
      </c>
      <c r="E42" s="29">
        <f>1*(1+E$9)^COUNT($A$18:$A42)</f>
        <v>1</v>
      </c>
      <c r="F42" s="29">
        <f>1*(1+F$9)^COUNT($A$18:$A42)</f>
        <v>0.90278722021176294</v>
      </c>
      <c r="G42" s="29">
        <f>1*(1+G$9)^COUNT($A$18:$A42)</f>
        <v>0.63435340244907812</v>
      </c>
      <c r="H42" s="29">
        <f>1*(1+H$9)^COUNT($A$19:$A42)</f>
        <v>0.90648784801215576</v>
      </c>
      <c r="I42" s="29">
        <f>1*(1+I$9)^COUNT($A$18:$A42)</f>
        <v>0.95399829163340844</v>
      </c>
      <c r="J42" s="29">
        <f>1*(1+J$9)^COUNT($A$18:$A42)</f>
        <v>1</v>
      </c>
      <c r="K42" s="29">
        <f>1*(1+K$9)^COUNT($A$18:$A42)</f>
        <v>1</v>
      </c>
      <c r="L42" s="29">
        <f>1*(1+L$9)^COUNT($A$18:$A42)</f>
        <v>1</v>
      </c>
    </row>
    <row r="43" spans="1:12" x14ac:dyDescent="0.25">
      <c r="A43" s="6">
        <v>2039</v>
      </c>
      <c r="B43" s="29">
        <f>1*(1+B$9)^COUNT($A$18:$A43)</f>
        <v>0.96967562526615902</v>
      </c>
      <c r="C43" s="29">
        <f>1*(1+C$9)^COUNT($A$18:$A43)</f>
        <v>1</v>
      </c>
      <c r="D43" s="29">
        <f>1*(1+D$9)^COUNT($A$18:$A43)</f>
        <v>1</v>
      </c>
      <c r="E43" s="29">
        <f>1*(1+E$9)^COUNT($A$18:$A43)</f>
        <v>1</v>
      </c>
      <c r="F43" s="29">
        <f>1*(1+F$9)^COUNT($A$18:$A43)</f>
        <v>0.89910169978004251</v>
      </c>
      <c r="G43" s="29">
        <f>1*(1+G$9)^COUNT($A$18:$A43)</f>
        <v>0.62290888353970275</v>
      </c>
      <c r="H43" s="29">
        <f>1*(1+H$9)^COUNT($A$19:$A43)</f>
        <v>0.90278722021176294</v>
      </c>
      <c r="I43" s="29">
        <f>1*(1+I$9)^COUNT($A$18:$A43)</f>
        <v>0.95220290232388527</v>
      </c>
      <c r="J43" s="29">
        <f>1*(1+J$9)^COUNT($A$18:$A43)</f>
        <v>1</v>
      </c>
      <c r="K43" s="29">
        <f>1*(1+K$9)^COUNT($A$18:$A43)</f>
        <v>1</v>
      </c>
      <c r="L43" s="29">
        <f>1*(1+L$9)^COUNT($A$18:$A43)</f>
        <v>1</v>
      </c>
    </row>
    <row r="44" spans="1:12" x14ac:dyDescent="0.25">
      <c r="A44" s="6">
        <v>2040</v>
      </c>
      <c r="B44" s="29">
        <f>1*(1+B$9)^COUNT($A$18:$A44)</f>
        <v>0.96852784849939111</v>
      </c>
      <c r="C44" s="29">
        <f>1*(1+C$9)^COUNT($A$18:$A44)</f>
        <v>1</v>
      </c>
      <c r="D44" s="29">
        <f>1*(1+D$9)^COUNT($A$18:$A44)</f>
        <v>1</v>
      </c>
      <c r="E44" s="29">
        <f>1*(1+E$9)^COUNT($A$18:$A44)</f>
        <v>1</v>
      </c>
      <c r="F44" s="29">
        <f>1*(1+F$9)^COUNT($A$18:$A44)</f>
        <v>0.89543122504297579</v>
      </c>
      <c r="G44" s="29">
        <f>1*(1+G$9)^COUNT($A$18:$A44)</f>
        <v>0.61167083788728704</v>
      </c>
      <c r="H44" s="29">
        <f>1*(1+H$9)^COUNT($A$19:$A44)</f>
        <v>0.89910169978004251</v>
      </c>
      <c r="I44" s="29">
        <f>1*(1+I$9)^COUNT($A$18:$A44)</f>
        <v>0.95041089187027961</v>
      </c>
      <c r="J44" s="29">
        <f>1*(1+J$9)^COUNT($A$18:$A44)</f>
        <v>1</v>
      </c>
      <c r="K44" s="29">
        <f>1*(1+K$9)^COUNT($A$18:$A44)</f>
        <v>1</v>
      </c>
      <c r="L44" s="29">
        <f>1*(1+L$9)^COUNT($A$18:$A44)</f>
        <v>1</v>
      </c>
    </row>
    <row r="45" spans="1:12" x14ac:dyDescent="0.25">
      <c r="A45" s="6">
        <v>2041</v>
      </c>
      <c r="B45" s="29">
        <f>1*(1+B$9)^COUNT($A$18:$A45)</f>
        <v>0.96738143032251867</v>
      </c>
      <c r="C45" s="29">
        <f>1*(1+C$9)^COUNT($A$18:$A45)</f>
        <v>1</v>
      </c>
      <c r="D45" s="29">
        <f>1*(1+D$9)^COUNT($A$18:$A45)</f>
        <v>1</v>
      </c>
      <c r="E45" s="29">
        <f>1*(1+E$9)^COUNT($A$18:$A45)</f>
        <v>1</v>
      </c>
      <c r="F45" s="29">
        <f>1*(1+F$9)^COUNT($A$18:$A45)</f>
        <v>0.89177573457832104</v>
      </c>
      <c r="G45" s="29">
        <f>1*(1+G$9)^COUNT($A$18:$A45)</f>
        <v>0.60063554045924739</v>
      </c>
      <c r="H45" s="29">
        <f>1*(1+H$9)^COUNT($A$19:$A45)</f>
        <v>0.89543122504297579</v>
      </c>
      <c r="I45" s="29">
        <f>1*(1+I$9)^COUNT($A$18:$A45)</f>
        <v>0.9486222539137098</v>
      </c>
      <c r="J45" s="29">
        <f>1*(1+J$9)^COUNT($A$18:$A45)</f>
        <v>1</v>
      </c>
      <c r="K45" s="29">
        <f>1*(1+K$9)^COUNT($A$18:$A45)</f>
        <v>1</v>
      </c>
      <c r="L45" s="29">
        <f>1*(1+L$9)^COUNT($A$18:$A45)</f>
        <v>1</v>
      </c>
    </row>
    <row r="46" spans="1:12" x14ac:dyDescent="0.25">
      <c r="A46" s="6">
        <v>2042</v>
      </c>
      <c r="B46" s="29">
        <f>1*(1+B$9)^COUNT($A$18:$A46)</f>
        <v>0.96623636912741839</v>
      </c>
      <c r="C46" s="29">
        <f>1*(1+C$9)^COUNT($A$18:$A46)</f>
        <v>1</v>
      </c>
      <c r="D46" s="29">
        <f>1*(1+D$9)^COUNT($A$18:$A46)</f>
        <v>1</v>
      </c>
      <c r="E46" s="29">
        <f>1*(1+E$9)^COUNT($A$18:$A46)</f>
        <v>1</v>
      </c>
      <c r="F46" s="29">
        <f>1*(1+F$9)^COUNT($A$18:$A46)</f>
        <v>0.88813516721458508</v>
      </c>
      <c r="G46" s="29">
        <f>1*(1+G$9)^COUNT($A$18:$A46)</f>
        <v>0.58979933342718927</v>
      </c>
      <c r="H46" s="29">
        <f>1*(1+H$9)^COUNT($A$19:$A46)</f>
        <v>0.89177573457832104</v>
      </c>
      <c r="I46" s="29">
        <f>1*(1+I$9)^COUNT($A$18:$A46)</f>
        <v>0.94683698210726219</v>
      </c>
      <c r="J46" s="29">
        <f>1*(1+J$9)^COUNT($A$18:$A46)</f>
        <v>1</v>
      </c>
      <c r="K46" s="29">
        <f>1*(1+K$9)^COUNT($A$18:$A46)</f>
        <v>1</v>
      </c>
      <c r="L46" s="29">
        <f>1*(1+L$9)^COUNT($A$18:$A46)</f>
        <v>1</v>
      </c>
    </row>
    <row r="47" spans="1:12" x14ac:dyDescent="0.25">
      <c r="A47" s="6">
        <v>2043</v>
      </c>
      <c r="B47" s="29">
        <f>1*(1+B$9)^COUNT($A$18:$A47)</f>
        <v>0.96509266330787047</v>
      </c>
      <c r="C47" s="29">
        <f>1*(1+C$9)^COUNT($A$18:$A47)</f>
        <v>1</v>
      </c>
      <c r="D47" s="29">
        <f>1*(1+D$9)^COUNT($A$18:$A47)</f>
        <v>1</v>
      </c>
      <c r="E47" s="29">
        <f>1*(1+E$9)^COUNT($A$18:$A47)</f>
        <v>1</v>
      </c>
      <c r="F47" s="29">
        <f>1*(1+F$9)^COUNT($A$18:$A47)</f>
        <v>0.88450946203000014</v>
      </c>
      <c r="G47" s="29">
        <f>1*(1+G$9)^COUNT($A$18:$A47)</f>
        <v>0.57915862495446013</v>
      </c>
      <c r="H47" s="29">
        <f>1*(1+H$9)^COUNT($A$19:$A47)</f>
        <v>0.88813516721458508</v>
      </c>
      <c r="I47" s="29">
        <f>1*(1+I$9)^COUNT($A$18:$A47)</f>
        <v>0.94505507011596734</v>
      </c>
      <c r="J47" s="29">
        <f>1*(1+J$9)^COUNT($A$18:$A47)</f>
        <v>1</v>
      </c>
      <c r="K47" s="29">
        <f>1*(1+K$9)^COUNT($A$18:$A47)</f>
        <v>1</v>
      </c>
      <c r="L47" s="29">
        <f>1*(1+L$9)^COUNT($A$18:$A47)</f>
        <v>1</v>
      </c>
    </row>
    <row r="48" spans="1:12" x14ac:dyDescent="0.25">
      <c r="A48" s="6">
        <v>2044</v>
      </c>
      <c r="B48" s="29">
        <f>1*(1+B$9)^COUNT($A$18:$A48)</f>
        <v>0.96395031125955655</v>
      </c>
      <c r="C48" s="29">
        <f>1*(1+C$9)^COUNT($A$18:$A48)</f>
        <v>1</v>
      </c>
      <c r="D48" s="29">
        <f>1*(1+D$9)^COUNT($A$18:$A48)</f>
        <v>1</v>
      </c>
      <c r="E48" s="29">
        <f>1*(1+E$9)^COUNT($A$18:$A48)</f>
        <v>1</v>
      </c>
      <c r="F48" s="29">
        <f>1*(1+F$9)^COUNT($A$18:$A48)</f>
        <v>0.88089855835150432</v>
      </c>
      <c r="G48" s="29">
        <f>1*(1+G$9)^COUNT($A$18:$A48)</f>
        <v>0.56870988800557754</v>
      </c>
      <c r="H48" s="29">
        <f>1*(1+H$9)^COUNT($A$19:$A48)</f>
        <v>0.88450946203000014</v>
      </c>
      <c r="I48" s="29">
        <f>1*(1+I$9)^COUNT($A$18:$A48)</f>
        <v>0.94327651161677784</v>
      </c>
      <c r="J48" s="29">
        <f>1*(1+J$9)^COUNT($A$18:$A48)</f>
        <v>1</v>
      </c>
      <c r="K48" s="29">
        <f>1*(1+K$9)^COUNT($A$18:$A48)</f>
        <v>1</v>
      </c>
      <c r="L48" s="29">
        <f>1*(1+L$9)^COUNT($A$18:$A48)</f>
        <v>1</v>
      </c>
    </row>
    <row r="49" spans="1:12" x14ac:dyDescent="0.25">
      <c r="A49" s="6">
        <v>2045</v>
      </c>
      <c r="B49" s="29">
        <f>1*(1+B$9)^COUNT($A$18:$A49)</f>
        <v>0.96280931138005676</v>
      </c>
      <c r="C49" s="29">
        <f>1*(1+C$9)^COUNT($A$18:$A49)</f>
        <v>1</v>
      </c>
      <c r="D49" s="29">
        <f>1*(1+D$9)^COUNT($A$18:$A49)</f>
        <v>1</v>
      </c>
      <c r="E49" s="29">
        <f>1*(1+E$9)^COUNT($A$18:$A49)</f>
        <v>1</v>
      </c>
      <c r="F49" s="29">
        <f>1*(1+F$9)^COUNT($A$18:$A49)</f>
        <v>0.87730239575372637</v>
      </c>
      <c r="G49" s="29">
        <f>1*(1+G$9)^COUNT($A$18:$A49)</f>
        <v>0.55844965917713507</v>
      </c>
      <c r="H49" s="29">
        <f>1*(1+H$9)^COUNT($A$19:$A49)</f>
        <v>0.88089855835150432</v>
      </c>
      <c r="I49" s="29">
        <f>1*(1+I$9)^COUNT($A$18:$A49)</f>
        <v>0.94150130029854651</v>
      </c>
      <c r="J49" s="29">
        <f>1*(1+J$9)^COUNT($A$18:$A49)</f>
        <v>1</v>
      </c>
      <c r="K49" s="29">
        <f>1*(1+K$9)^COUNT($A$18:$A49)</f>
        <v>1</v>
      </c>
      <c r="L49" s="29">
        <f>1*(1+L$9)^COUNT($A$18:$A49)</f>
        <v>1</v>
      </c>
    </row>
    <row r="50" spans="1:12" x14ac:dyDescent="0.25">
      <c r="A50" s="6">
        <v>2046</v>
      </c>
      <c r="B50" s="29">
        <f>1*(1+B$9)^COUNT($A$18:$A50)</f>
        <v>0.96166966206884874</v>
      </c>
      <c r="C50" s="29">
        <f>1*(1+C$9)^COUNT($A$18:$A50)</f>
        <v>1</v>
      </c>
      <c r="D50" s="29">
        <f>1*(1+D$9)^COUNT($A$18:$A50)</f>
        <v>1</v>
      </c>
      <c r="E50" s="29">
        <f>1*(1+E$9)^COUNT($A$18:$A50)</f>
        <v>1</v>
      </c>
      <c r="F50" s="29">
        <f>1*(1+F$9)^COUNT($A$18:$A50)</f>
        <v>0.87372091405797403</v>
      </c>
      <c r="G50" s="29">
        <f>1*(1+G$9)^COUNT($A$18:$A50)</f>
        <v>0.54837453754980214</v>
      </c>
      <c r="H50" s="29">
        <f>1*(1+H$9)^COUNT($A$19:$A50)</f>
        <v>0.87730239575372637</v>
      </c>
      <c r="I50" s="29">
        <f>1*(1+I$9)^COUNT($A$18:$A50)</f>
        <v>0.93972942986200314</v>
      </c>
      <c r="J50" s="29">
        <f>1*(1+J$9)^COUNT($A$18:$A50)</f>
        <v>1</v>
      </c>
      <c r="K50" s="29">
        <f>1*(1+K$9)^COUNT($A$18:$A50)</f>
        <v>1</v>
      </c>
      <c r="L50" s="29">
        <f>1*(1+L$9)^COUNT($A$18:$A50)</f>
        <v>1</v>
      </c>
    </row>
    <row r="51" spans="1:12" x14ac:dyDescent="0.25">
      <c r="A51" s="6">
        <v>2047</v>
      </c>
      <c r="B51" s="29">
        <f>1*(1+B$9)^COUNT($A$18:$A51)</f>
        <v>0.9605313617273038</v>
      </c>
      <c r="C51" s="29">
        <f>1*(1+C$9)^COUNT($A$18:$A51)</f>
        <v>1</v>
      </c>
      <c r="D51" s="29">
        <f>1*(1+D$9)^COUNT($A$18:$A51)</f>
        <v>1</v>
      </c>
      <c r="E51" s="29">
        <f>1*(1+E$9)^COUNT($A$18:$A51)</f>
        <v>1</v>
      </c>
      <c r="F51" s="29">
        <f>1*(1+F$9)^COUNT($A$18:$A51)</f>
        <v>0.87015405333122731</v>
      </c>
      <c r="G51" s="29">
        <f>1*(1+G$9)^COUNT($A$18:$A51)</f>
        <v>0.53848118356103336</v>
      </c>
      <c r="H51" s="29">
        <f>1*(1+H$9)^COUNT($A$19:$A51)</f>
        <v>0.87372091405797403</v>
      </c>
      <c r="I51" s="29">
        <f>1*(1+I$9)^COUNT($A$18:$A51)</f>
        <v>0.93796089401973282</v>
      </c>
      <c r="J51" s="29">
        <f>1*(1+J$9)^COUNT($A$18:$A51)</f>
        <v>1</v>
      </c>
      <c r="K51" s="29">
        <f>1*(1+K$9)^COUNT($A$18:$A51)</f>
        <v>1</v>
      </c>
      <c r="L51" s="29">
        <f>1*(1+L$9)^COUNT($A$18:$A51)</f>
        <v>1</v>
      </c>
    </row>
    <row r="52" spans="1:12" x14ac:dyDescent="0.25">
      <c r="A52" s="6">
        <v>2048</v>
      </c>
      <c r="B52" s="29">
        <f>1*(1+B$9)^COUNT($A$18:$A52)</f>
        <v>0.9593944087586862</v>
      </c>
      <c r="C52" s="29">
        <f>1*(1+C$9)^COUNT($A$18:$A52)</f>
        <v>1</v>
      </c>
      <c r="D52" s="29">
        <f>1*(1+D$9)^COUNT($A$18:$A52)</f>
        <v>1</v>
      </c>
      <c r="E52" s="29">
        <f>1*(1+E$9)^COUNT($A$18:$A52)</f>
        <v>1</v>
      </c>
      <c r="F52" s="29">
        <f>1*(1+F$9)^COUNT($A$18:$A52)</f>
        <v>0.86660175388513605</v>
      </c>
      <c r="G52" s="29">
        <f>1*(1+G$9)^COUNT($A$18:$A52)</f>
        <v>0.52876631789811646</v>
      </c>
      <c r="H52" s="29">
        <f>1*(1+H$9)^COUNT($A$19:$A52)</f>
        <v>0.87015405333122731</v>
      </c>
      <c r="I52" s="29">
        <f>1*(1+I$9)^COUNT($A$18:$A52)</f>
        <v>0.93619568649615281</v>
      </c>
      <c r="J52" s="29">
        <f>1*(1+J$9)^COUNT($A$18:$A52)</f>
        <v>1</v>
      </c>
      <c r="K52" s="29">
        <f>1*(1+K$9)^COUNT($A$18:$A52)</f>
        <v>1</v>
      </c>
      <c r="L52" s="29">
        <f>1*(1+L$9)^COUNT($A$18:$A52)</f>
        <v>1</v>
      </c>
    </row>
    <row r="53" spans="1:12" x14ac:dyDescent="0.25">
      <c r="A53" s="6">
        <v>2049</v>
      </c>
      <c r="B53" s="29">
        <f>1*(1+B$9)^COUNT($A$18:$A53)</f>
        <v>0.95825880156814958</v>
      </c>
      <c r="C53" s="29">
        <f>1*(1+C$9)^COUNT($A$18:$A53)</f>
        <v>1</v>
      </c>
      <c r="D53" s="29">
        <f>1*(1+D$9)^COUNT($A$18:$A53)</f>
        <v>1</v>
      </c>
      <c r="E53" s="29">
        <f>1*(1+E$9)^COUNT($A$18:$A53)</f>
        <v>1</v>
      </c>
      <c r="F53" s="29">
        <f>1*(1+F$9)^COUNT($A$18:$A53)</f>
        <v>0.86306395627502008</v>
      </c>
      <c r="G53" s="29">
        <f>1*(1+G$9)^COUNT($A$18:$A53)</f>
        <v>0.51922672041119111</v>
      </c>
      <c r="H53" s="29">
        <f>1*(1+H$9)^COUNT($A$19:$A53)</f>
        <v>0.86660175388513605</v>
      </c>
      <c r="I53" s="29">
        <f>1*(1+I$9)^COUNT($A$18:$A53)</f>
        <v>0.9344338010274913</v>
      </c>
      <c r="J53" s="29">
        <f>1*(1+J$9)^COUNT($A$18:$A53)</f>
        <v>1</v>
      </c>
      <c r="K53" s="29">
        <f>1*(1+K$9)^COUNT($A$18:$A53)</f>
        <v>1</v>
      </c>
      <c r="L53" s="29">
        <f>1*(1+L$9)^COUNT($A$18:$A53)</f>
        <v>1</v>
      </c>
    </row>
    <row r="54" spans="1:12" x14ac:dyDescent="0.25">
      <c r="A54" s="6">
        <v>2050</v>
      </c>
      <c r="B54" s="29">
        <f>1*(1+B$9)^COUNT($A$18:$A54)</f>
        <v>0.95712453856273594</v>
      </c>
      <c r="C54" s="29">
        <f>1*(1+C$9)^COUNT($A$18:$A54)</f>
        <v>1</v>
      </c>
      <c r="D54" s="29">
        <f>1*(1+D$9)^COUNT($A$18:$A54)</f>
        <v>1</v>
      </c>
      <c r="E54" s="29">
        <f>1*(1+E$9)^COUNT($A$18:$A54)</f>
        <v>1</v>
      </c>
      <c r="F54" s="29">
        <f>1*(1+F$9)^COUNT($A$18:$A54)</f>
        <v>0.85954060129887522</v>
      </c>
      <c r="G54" s="29">
        <f>1*(1+G$9)^COUNT($A$18:$A54)</f>
        <v>0.50985922904587799</v>
      </c>
      <c r="H54" s="29">
        <f>1*(1+H$9)^COUNT($A$19:$A54)</f>
        <v>0.86306395627502008</v>
      </c>
      <c r="I54" s="29">
        <f>1*(1+I$9)^COUNT($A$18:$A54)</f>
        <v>0.93267523136176445</v>
      </c>
      <c r="J54" s="29">
        <f>1*(1+J$9)^COUNT($A$18:$A54)</f>
        <v>1</v>
      </c>
      <c r="K54" s="29">
        <f>1*(1+K$9)^COUNT($A$18:$A54)</f>
        <v>1</v>
      </c>
      <c r="L54" s="29">
        <f>1*(1+L$9)^COUNT($A$18:$A54)</f>
        <v>1</v>
      </c>
    </row>
    <row r="55" spans="1:12" x14ac:dyDescent="0.25">
      <c r="A55" s="6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25">
      <c r="A56" s="6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25">
      <c r="A57" s="6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x14ac:dyDescent="0.25">
      <c r="A58" s="6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25">
      <c r="A59" s="6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x14ac:dyDescent="0.25">
      <c r="A60" s="6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x14ac:dyDescent="0.25">
      <c r="A61" s="6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x14ac:dyDescent="0.25">
      <c r="A62" s="6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x14ac:dyDescent="0.25">
      <c r="A63" s="6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 x14ac:dyDescent="0.25">
      <c r="A64" s="6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s="6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B1" sqref="B1:D1"/>
    </sheetView>
  </sheetViews>
  <sheetFormatPr defaultRowHeight="15" x14ac:dyDescent="0.25"/>
  <cols>
    <col min="1" max="1" width="23.5703125" customWidth="1"/>
    <col min="2" max="2" width="23.28515625" customWidth="1"/>
    <col min="3" max="3" width="21.85546875" bestFit="1" customWidth="1"/>
    <col min="4" max="4" width="11" bestFit="1" customWidth="1"/>
  </cols>
  <sheetData>
    <row r="1" spans="1:4" x14ac:dyDescent="0.25">
      <c r="A1" s="22" t="s">
        <v>32</v>
      </c>
      <c r="B1" t="s">
        <v>222</v>
      </c>
      <c r="C1" t="s">
        <v>223</v>
      </c>
      <c r="D1" t="s">
        <v>224</v>
      </c>
    </row>
    <row r="2" spans="1:4" x14ac:dyDescent="0.25">
      <c r="A2" t="s">
        <v>25</v>
      </c>
      <c r="B2" s="5">
        <f>'Poland Capital Costs'!D95*1000</f>
        <v>39299.749910682389</v>
      </c>
      <c r="C2">
        <v>0</v>
      </c>
      <c r="D2" s="5">
        <f>B2</f>
        <v>39299.749910682389</v>
      </c>
    </row>
    <row r="3" spans="1:4" x14ac:dyDescent="0.25">
      <c r="A3" t="s">
        <v>37</v>
      </c>
      <c r="B3" s="5">
        <f>INDEX('Poland Capital Costs'!$D$83:$D$93,MATCH('CCaMC-AFOaMCpUC'!A3,'Poland Capital Costs'!$A$83:$A$93,0),1)*1000</f>
        <v>37666.513550757925</v>
      </c>
      <c r="C3">
        <v>0</v>
      </c>
      <c r="D3" s="5">
        <f t="shared" ref="D3:D14" si="0">B3</f>
        <v>37666.513550757925</v>
      </c>
    </row>
    <row r="4" spans="1:4" x14ac:dyDescent="0.25">
      <c r="A4" t="s">
        <v>26</v>
      </c>
      <c r="B4" s="5">
        <f>'Poland Capital Costs'!A78*1000</f>
        <v>118577.07509881424</v>
      </c>
      <c r="C4">
        <v>0</v>
      </c>
      <c r="D4" s="5">
        <f t="shared" si="0"/>
        <v>118577.07509881424</v>
      </c>
    </row>
    <row r="5" spans="1:4" x14ac:dyDescent="0.25">
      <c r="A5" t="s">
        <v>27</v>
      </c>
      <c r="B5" s="5">
        <f>INDEX('Poland Capital Costs'!$D$83:$D$93,MATCH('CCaMC-AFOaMCpUC'!A5,'Poland Capital Costs'!$A$83:$A$93,0),1)*1000</f>
        <v>199050.68136579392</v>
      </c>
      <c r="C5">
        <v>0</v>
      </c>
      <c r="D5" s="5">
        <f t="shared" si="0"/>
        <v>199050.68136579392</v>
      </c>
    </row>
    <row r="6" spans="1:4" x14ac:dyDescent="0.25">
      <c r="A6" t="s">
        <v>28</v>
      </c>
      <c r="B6" s="5">
        <f>INDEX('Poland Capital Costs'!$D$83:$D$93,MATCH('CCaMC-AFOaMCpUC'!A6,'Poland Capital Costs'!$A$83:$A$93,0),1)*1000</f>
        <v>61246.36349716736</v>
      </c>
      <c r="C6">
        <v>0</v>
      </c>
      <c r="D6" s="5">
        <f t="shared" si="0"/>
        <v>61246.36349716736</v>
      </c>
    </row>
    <row r="7" spans="1:4" x14ac:dyDescent="0.25">
      <c r="A7" t="s">
        <v>29</v>
      </c>
      <c r="B7" s="5">
        <f>INDEX('Poland Capital Costs'!$D$83:$D$93,MATCH('CCaMC-AFOaMCpUC'!A7,'Poland Capital Costs'!$A$83:$A$93,0),1)*1000</f>
        <v>35216.659010871233</v>
      </c>
      <c r="C7">
        <v>0</v>
      </c>
      <c r="D7" s="5">
        <f t="shared" si="0"/>
        <v>35216.659010871233</v>
      </c>
    </row>
    <row r="8" spans="1:4" x14ac:dyDescent="0.25">
      <c r="A8" t="s">
        <v>30</v>
      </c>
      <c r="B8" s="5">
        <f>INDEX('Poland Capital Costs'!$D$83:$D$93,MATCH('CCaMC-AFOaMCpUC'!A8,'Poland Capital Costs'!$A$83:$A$93,0),1)*1000</f>
        <v>0</v>
      </c>
      <c r="C8">
        <v>0</v>
      </c>
      <c r="D8" s="5">
        <f t="shared" si="0"/>
        <v>0</v>
      </c>
    </row>
    <row r="9" spans="1:4" x14ac:dyDescent="0.25">
      <c r="A9" t="s">
        <v>31</v>
      </c>
      <c r="B9" s="5">
        <f>INDEX('Poland Capital Costs'!$D$83:$D$93,MATCH('CCaMC-AFOaMCpUC'!A9,'Poland Capital Costs'!$A$83:$A$93,0),1)*1000</f>
        <v>48690.858980248049</v>
      </c>
      <c r="C9">
        <v>0</v>
      </c>
      <c r="D9" s="5">
        <f t="shared" si="0"/>
        <v>48690.858980248049</v>
      </c>
    </row>
    <row r="10" spans="1:4" x14ac:dyDescent="0.25">
      <c r="A10" t="s">
        <v>38</v>
      </c>
      <c r="B10" s="5">
        <f>INDEX('Poland Capital Costs'!$D$83:$D$93,MATCH('CCaMC-AFOaMCpUC'!A10,'Poland Capital Costs'!$A$83:$A$93,0),1)*1000</f>
        <v>111721.49999999999</v>
      </c>
      <c r="C10">
        <v>0</v>
      </c>
      <c r="D10" s="5">
        <f t="shared" si="0"/>
        <v>111721.49999999999</v>
      </c>
    </row>
    <row r="11" spans="1:4" x14ac:dyDescent="0.25">
      <c r="A11" t="s">
        <v>39</v>
      </c>
      <c r="B11" s="5">
        <f>INDEX('Poland Capital Costs'!$D$83:$D$93,MATCH('CCaMC-AFOaMCpUC'!A11,'Poland Capital Costs'!$A$83:$A$93,0),1)*1000</f>
        <v>0</v>
      </c>
      <c r="C11">
        <v>0</v>
      </c>
      <c r="D11" s="5">
        <f t="shared" si="0"/>
        <v>0</v>
      </c>
    </row>
    <row r="12" spans="1:4" x14ac:dyDescent="0.25">
      <c r="A12" t="s">
        <v>40</v>
      </c>
      <c r="B12" s="5">
        <f>INDEX('Poland Capital Costs'!$D$83:$D$93,MATCH('CCaMC-AFOaMCpUC'!A12,'Poland Capital Costs'!$A$83:$A$93,0),1)*1000</f>
        <v>26642.168121267801</v>
      </c>
      <c r="C12">
        <v>0</v>
      </c>
      <c r="D12" s="5">
        <f t="shared" si="0"/>
        <v>26642.168121267801</v>
      </c>
    </row>
    <row r="13" spans="1:4" x14ac:dyDescent="0.25">
      <c r="A13" t="s">
        <v>218</v>
      </c>
      <c r="B13">
        <f>'Poland Capital Costs'!D96*1000</f>
        <v>37972.745368243763</v>
      </c>
      <c r="C13">
        <v>0</v>
      </c>
      <c r="D13" s="5">
        <f t="shared" si="0"/>
        <v>37972.745368243763</v>
      </c>
    </row>
    <row r="14" spans="1:4" x14ac:dyDescent="0.25">
      <c r="A14" t="s">
        <v>219</v>
      </c>
      <c r="B14">
        <f>'Poland Capital Costs'!D97*1000</f>
        <v>183739.09049150208</v>
      </c>
      <c r="C14">
        <v>0</v>
      </c>
      <c r="D14" s="5">
        <f t="shared" si="0"/>
        <v>183739.09049150208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16" zoomScale="130" zoomScaleNormal="130" workbookViewId="0">
      <selection activeCell="A36" sqref="A36"/>
    </sheetView>
  </sheetViews>
  <sheetFormatPr defaultColWidth="8.7109375" defaultRowHeight="15" x14ac:dyDescent="0.25"/>
  <cols>
    <col min="1" max="1" width="25.7109375" style="26" customWidth="1"/>
    <col min="2" max="6" width="8.7109375" style="26"/>
    <col min="7" max="7" width="25.7109375" style="26" customWidth="1"/>
    <col min="8" max="12" width="8.7109375" style="26"/>
    <col min="13" max="13" width="15.5703125" style="26" bestFit="1" customWidth="1"/>
    <col min="14" max="16384" width="8.7109375" style="26"/>
  </cols>
  <sheetData>
    <row r="1" spans="1:14" x14ac:dyDescent="0.25">
      <c r="A1" s="45" t="s">
        <v>215</v>
      </c>
      <c r="B1" s="45"/>
      <c r="C1" s="45"/>
      <c r="D1" s="45"/>
      <c r="G1" s="45" t="s">
        <v>215</v>
      </c>
      <c r="H1" s="45"/>
      <c r="I1" s="45"/>
      <c r="J1" s="45"/>
      <c r="M1" s="26" t="s">
        <v>214</v>
      </c>
      <c r="N1" s="26">
        <f>1/0.759</f>
        <v>1.3175230566534915</v>
      </c>
    </row>
    <row r="2" spans="1:14" x14ac:dyDescent="0.25">
      <c r="A2" s="56" t="s">
        <v>207</v>
      </c>
      <c r="B2" s="55">
        <v>2025</v>
      </c>
      <c r="C2" s="55">
        <v>2035</v>
      </c>
      <c r="D2" s="54">
        <v>2050</v>
      </c>
      <c r="G2" s="53" t="s">
        <v>207</v>
      </c>
      <c r="H2" s="52">
        <v>2025</v>
      </c>
      <c r="I2" s="52">
        <v>2035</v>
      </c>
      <c r="J2" s="51">
        <v>2050</v>
      </c>
    </row>
    <row r="3" spans="1:14" x14ac:dyDescent="0.25">
      <c r="A3" s="47" t="s">
        <v>206</v>
      </c>
      <c r="B3" s="58">
        <v>1550</v>
      </c>
      <c r="C3" s="62">
        <v>1550</v>
      </c>
      <c r="D3" s="61">
        <v>1550</v>
      </c>
      <c r="G3" s="47" t="s">
        <v>206</v>
      </c>
      <c r="H3" s="58">
        <f t="shared" ref="H3:J7" si="0">B3*$N$1</f>
        <v>2042.1607378129117</v>
      </c>
      <c r="I3" s="58">
        <f t="shared" si="0"/>
        <v>2042.1607378129117</v>
      </c>
      <c r="J3" s="58">
        <f t="shared" si="0"/>
        <v>2042.1607378129117</v>
      </c>
    </row>
    <row r="4" spans="1:14" x14ac:dyDescent="0.25">
      <c r="A4" s="47" t="s">
        <v>205</v>
      </c>
      <c r="B4" s="58">
        <v>2600</v>
      </c>
      <c r="C4" s="62">
        <v>2500</v>
      </c>
      <c r="D4" s="61">
        <v>2400</v>
      </c>
      <c r="G4" s="47" t="s">
        <v>205</v>
      </c>
      <c r="H4" s="58">
        <f t="shared" si="0"/>
        <v>3425.559947299078</v>
      </c>
      <c r="I4" s="58">
        <f t="shared" si="0"/>
        <v>3293.8076416337285</v>
      </c>
      <c r="J4" s="58">
        <f t="shared" si="0"/>
        <v>3162.0553359683795</v>
      </c>
    </row>
    <row r="5" spans="1:14" x14ac:dyDescent="0.25">
      <c r="A5" s="47" t="s">
        <v>204</v>
      </c>
      <c r="B5" s="58">
        <v>1700</v>
      </c>
      <c r="C5" s="62">
        <v>1700</v>
      </c>
      <c r="D5" s="61">
        <v>1700</v>
      </c>
      <c r="G5" s="47" t="s">
        <v>204</v>
      </c>
      <c r="H5" s="58">
        <f t="shared" si="0"/>
        <v>2239.7891963109355</v>
      </c>
      <c r="I5" s="58">
        <f t="shared" si="0"/>
        <v>2239.7891963109355</v>
      </c>
      <c r="J5" s="58">
        <f t="shared" si="0"/>
        <v>2239.7891963109355</v>
      </c>
    </row>
    <row r="6" spans="1:14" x14ac:dyDescent="0.25">
      <c r="A6" s="47" t="s">
        <v>203</v>
      </c>
      <c r="B6" s="58">
        <v>2750</v>
      </c>
      <c r="C6" s="62">
        <v>2650</v>
      </c>
      <c r="D6" s="61">
        <v>2550</v>
      </c>
      <c r="G6" s="47" t="s">
        <v>203</v>
      </c>
      <c r="H6" s="58">
        <f t="shared" si="0"/>
        <v>3623.1884057971015</v>
      </c>
      <c r="I6" s="58">
        <f t="shared" si="0"/>
        <v>3491.4361001317525</v>
      </c>
      <c r="J6" s="58">
        <f t="shared" si="0"/>
        <v>3359.683794466403</v>
      </c>
    </row>
    <row r="7" spans="1:14" x14ac:dyDescent="0.25">
      <c r="A7" s="47" t="s">
        <v>202</v>
      </c>
      <c r="B7" s="58">
        <v>4000</v>
      </c>
      <c r="C7" s="62">
        <v>3850</v>
      </c>
      <c r="D7" s="61">
        <v>3650</v>
      </c>
      <c r="G7" s="47" t="s">
        <v>202</v>
      </c>
      <c r="H7" s="58">
        <f t="shared" si="0"/>
        <v>5270.092226613966</v>
      </c>
      <c r="I7" s="58">
        <f t="shared" si="0"/>
        <v>5072.463768115942</v>
      </c>
      <c r="J7" s="58">
        <f t="shared" si="0"/>
        <v>4808.959156785244</v>
      </c>
    </row>
    <row r="8" spans="1:14" x14ac:dyDescent="0.25">
      <c r="A8" s="47" t="s">
        <v>201</v>
      </c>
      <c r="B8" s="63" t="s">
        <v>213</v>
      </c>
      <c r="C8" s="63" t="s">
        <v>213</v>
      </c>
      <c r="D8" s="61">
        <v>4150</v>
      </c>
      <c r="G8" s="47" t="s">
        <v>201</v>
      </c>
      <c r="H8" s="58"/>
      <c r="I8" s="58"/>
      <c r="J8" s="58">
        <f t="shared" ref="J8:J16" si="1">D8*$N$1</f>
        <v>5467.72068511199</v>
      </c>
    </row>
    <row r="9" spans="1:14" x14ac:dyDescent="0.25">
      <c r="A9" s="47" t="s">
        <v>200</v>
      </c>
      <c r="B9" s="60">
        <v>400</v>
      </c>
      <c r="C9" s="62">
        <v>400</v>
      </c>
      <c r="D9" s="59">
        <v>400</v>
      </c>
      <c r="G9" s="47" t="s">
        <v>200</v>
      </c>
      <c r="H9" s="58">
        <f t="shared" ref="H9:I16" si="2">B9*$N$1</f>
        <v>527.00922266139662</v>
      </c>
      <c r="I9" s="58">
        <f t="shared" si="2"/>
        <v>527.00922266139662</v>
      </c>
      <c r="J9" s="58">
        <f t="shared" si="1"/>
        <v>527.00922266139662</v>
      </c>
    </row>
    <row r="10" spans="1:14" x14ac:dyDescent="0.25">
      <c r="A10" s="47" t="s">
        <v>199</v>
      </c>
      <c r="B10" s="60">
        <v>850</v>
      </c>
      <c r="C10" s="60">
        <v>850</v>
      </c>
      <c r="D10" s="59">
        <v>850</v>
      </c>
      <c r="G10" s="47" t="s">
        <v>199</v>
      </c>
      <c r="H10" s="58">
        <f t="shared" si="2"/>
        <v>1119.8945981554677</v>
      </c>
      <c r="I10" s="58">
        <f t="shared" si="2"/>
        <v>1119.8945981554677</v>
      </c>
      <c r="J10" s="58">
        <f t="shared" si="1"/>
        <v>1119.8945981554677</v>
      </c>
    </row>
    <row r="11" spans="1:14" x14ac:dyDescent="0.25">
      <c r="A11" s="47" t="s">
        <v>198</v>
      </c>
      <c r="B11" s="58">
        <v>2250</v>
      </c>
      <c r="C11" s="62">
        <v>2100</v>
      </c>
      <c r="D11" s="61">
        <v>2100</v>
      </c>
      <c r="G11" s="47" t="s">
        <v>198</v>
      </c>
      <c r="H11" s="58">
        <f t="shared" si="2"/>
        <v>2964.426877470356</v>
      </c>
      <c r="I11" s="58">
        <f t="shared" si="2"/>
        <v>2766.798418972332</v>
      </c>
      <c r="J11" s="58">
        <f t="shared" si="1"/>
        <v>2766.798418972332</v>
      </c>
    </row>
    <row r="12" spans="1:14" x14ac:dyDescent="0.25">
      <c r="A12" s="47" t="s">
        <v>197</v>
      </c>
      <c r="B12" s="58">
        <v>3100</v>
      </c>
      <c r="C12" s="62">
        <v>2900</v>
      </c>
      <c r="D12" s="61">
        <v>2700</v>
      </c>
      <c r="G12" s="47" t="s">
        <v>197</v>
      </c>
      <c r="H12" s="58">
        <f t="shared" si="2"/>
        <v>4084.3214756258235</v>
      </c>
      <c r="I12" s="58">
        <f t="shared" si="2"/>
        <v>3820.816864295125</v>
      </c>
      <c r="J12" s="58">
        <f t="shared" si="1"/>
        <v>3557.312252964427</v>
      </c>
    </row>
    <row r="13" spans="1:14" x14ac:dyDescent="0.25">
      <c r="A13" s="47" t="s">
        <v>196</v>
      </c>
      <c r="B13" s="58">
        <v>2400</v>
      </c>
      <c r="C13" s="62">
        <v>1950</v>
      </c>
      <c r="D13" s="61">
        <v>1800</v>
      </c>
      <c r="G13" s="47" t="s">
        <v>196</v>
      </c>
      <c r="H13" s="58">
        <f t="shared" si="2"/>
        <v>3162.0553359683795</v>
      </c>
      <c r="I13" s="58">
        <f t="shared" si="2"/>
        <v>2569.1699604743085</v>
      </c>
      <c r="J13" s="58">
        <f t="shared" si="1"/>
        <v>2371.5415019762845</v>
      </c>
    </row>
    <row r="14" spans="1:14" x14ac:dyDescent="0.25">
      <c r="A14" s="47" t="s">
        <v>211</v>
      </c>
      <c r="B14" s="58">
        <v>1350</v>
      </c>
      <c r="C14" s="62">
        <v>1300</v>
      </c>
      <c r="D14" s="61">
        <v>1250</v>
      </c>
      <c r="G14" s="47" t="s">
        <v>211</v>
      </c>
      <c r="H14" s="58">
        <f t="shared" si="2"/>
        <v>1778.6561264822135</v>
      </c>
      <c r="I14" s="58">
        <f t="shared" si="2"/>
        <v>1712.779973649539</v>
      </c>
      <c r="J14" s="58">
        <f t="shared" si="1"/>
        <v>1646.9038208168643</v>
      </c>
    </row>
    <row r="15" spans="1:14" x14ac:dyDescent="0.25">
      <c r="A15" s="47" t="s">
        <v>210</v>
      </c>
      <c r="B15" s="58">
        <v>2550</v>
      </c>
      <c r="C15" s="62">
        <v>2350</v>
      </c>
      <c r="D15" s="61">
        <v>2200</v>
      </c>
      <c r="G15" s="47" t="s">
        <v>210</v>
      </c>
      <c r="H15" s="58">
        <f t="shared" si="2"/>
        <v>3359.683794466403</v>
      </c>
      <c r="I15" s="58">
        <f t="shared" si="2"/>
        <v>3096.179183135705</v>
      </c>
      <c r="J15" s="58">
        <f t="shared" si="1"/>
        <v>2898.550724637681</v>
      </c>
    </row>
    <row r="16" spans="1:14" ht="13.9" customHeight="1" x14ac:dyDescent="0.25">
      <c r="A16" s="47" t="s">
        <v>193</v>
      </c>
      <c r="B16" s="58">
        <v>1350</v>
      </c>
      <c r="C16" s="62">
        <v>1200</v>
      </c>
      <c r="D16" s="61">
        <v>1100</v>
      </c>
      <c r="G16" s="47" t="s">
        <v>193</v>
      </c>
      <c r="H16" s="58">
        <f t="shared" si="2"/>
        <v>1778.6561264822135</v>
      </c>
      <c r="I16" s="58">
        <f t="shared" si="2"/>
        <v>1581.0276679841897</v>
      </c>
      <c r="J16" s="58">
        <f t="shared" si="1"/>
        <v>1449.2753623188405</v>
      </c>
    </row>
    <row r="17" spans="1:10" x14ac:dyDescent="0.25">
      <c r="A17" s="45" t="s">
        <v>192</v>
      </c>
      <c r="B17" s="45"/>
      <c r="C17" s="45"/>
      <c r="D17" s="45"/>
      <c r="G17" s="45" t="s">
        <v>192</v>
      </c>
      <c r="H17" s="45"/>
      <c r="I17" s="45"/>
      <c r="J17" s="45"/>
    </row>
    <row r="18" spans="1:10" x14ac:dyDescent="0.25">
      <c r="A18" s="45" t="s">
        <v>191</v>
      </c>
      <c r="B18" s="45"/>
      <c r="C18" s="45"/>
      <c r="D18" s="45"/>
      <c r="G18" s="45" t="s">
        <v>191</v>
      </c>
      <c r="H18" s="45"/>
      <c r="I18" s="45"/>
      <c r="J18" s="45"/>
    </row>
    <row r="20" spans="1:10" x14ac:dyDescent="0.25">
      <c r="A20" s="57" t="s">
        <v>212</v>
      </c>
      <c r="B20" s="45"/>
      <c r="C20" s="45"/>
      <c r="D20" s="45"/>
      <c r="G20" s="57" t="s">
        <v>212</v>
      </c>
      <c r="H20" s="45"/>
      <c r="I20" s="45"/>
      <c r="J20" s="45"/>
    </row>
    <row r="21" spans="1:10" x14ac:dyDescent="0.25">
      <c r="A21" s="56" t="s">
        <v>207</v>
      </c>
      <c r="B21" s="55">
        <v>2025</v>
      </c>
      <c r="C21" s="55">
        <v>2035</v>
      </c>
      <c r="D21" s="54">
        <v>2050</v>
      </c>
      <c r="G21" s="53" t="s">
        <v>207</v>
      </c>
      <c r="H21" s="52">
        <v>2025</v>
      </c>
      <c r="I21" s="52">
        <v>2035</v>
      </c>
      <c r="J21" s="51">
        <v>2050</v>
      </c>
    </row>
    <row r="22" spans="1:10" x14ac:dyDescent="0.25">
      <c r="A22" s="47" t="s">
        <v>206</v>
      </c>
      <c r="B22" s="60">
        <v>36</v>
      </c>
      <c r="C22" s="60">
        <v>36</v>
      </c>
      <c r="D22" s="59">
        <v>36</v>
      </c>
      <c r="G22" s="47" t="s">
        <v>206</v>
      </c>
      <c r="H22" s="58">
        <f t="shared" ref="H22:J26" si="3">B22*$N$1</f>
        <v>47.430830039525695</v>
      </c>
      <c r="I22" s="58">
        <f t="shared" si="3"/>
        <v>47.430830039525695</v>
      </c>
      <c r="J22" s="58">
        <f t="shared" si="3"/>
        <v>47.430830039525695</v>
      </c>
    </row>
    <row r="23" spans="1:10" x14ac:dyDescent="0.25">
      <c r="A23" s="47" t="s">
        <v>205</v>
      </c>
      <c r="B23" s="60">
        <v>62</v>
      </c>
      <c r="C23" s="60">
        <v>58</v>
      </c>
      <c r="D23" s="59">
        <v>52</v>
      </c>
      <c r="G23" s="47" t="s">
        <v>205</v>
      </c>
      <c r="H23" s="58">
        <f t="shared" si="3"/>
        <v>81.686429512516469</v>
      </c>
      <c r="I23" s="58">
        <f t="shared" si="3"/>
        <v>76.4163372859025</v>
      </c>
      <c r="J23" s="58">
        <f t="shared" si="3"/>
        <v>68.511198945981562</v>
      </c>
    </row>
    <row r="24" spans="1:10" x14ac:dyDescent="0.25">
      <c r="A24" s="47" t="s">
        <v>204</v>
      </c>
      <c r="B24" s="60">
        <v>40</v>
      </c>
      <c r="C24" s="60">
        <v>40</v>
      </c>
      <c r="D24" s="59">
        <v>40</v>
      </c>
      <c r="G24" s="47" t="s">
        <v>204</v>
      </c>
      <c r="H24" s="58">
        <f t="shared" si="3"/>
        <v>52.700922266139656</v>
      </c>
      <c r="I24" s="58">
        <f t="shared" si="3"/>
        <v>52.700922266139656</v>
      </c>
      <c r="J24" s="58">
        <f t="shared" si="3"/>
        <v>52.700922266139656</v>
      </c>
    </row>
    <row r="25" spans="1:10" x14ac:dyDescent="0.25">
      <c r="A25" s="47" t="s">
        <v>203</v>
      </c>
      <c r="B25" s="60">
        <v>66</v>
      </c>
      <c r="C25" s="60">
        <v>60</v>
      </c>
      <c r="D25" s="59">
        <v>56</v>
      </c>
      <c r="G25" s="47" t="s">
        <v>203</v>
      </c>
      <c r="H25" s="58">
        <f t="shared" si="3"/>
        <v>86.956521739130437</v>
      </c>
      <c r="I25" s="58">
        <f t="shared" si="3"/>
        <v>79.051383399209485</v>
      </c>
      <c r="J25" s="58">
        <f t="shared" si="3"/>
        <v>73.781291172595516</v>
      </c>
    </row>
    <row r="26" spans="1:10" x14ac:dyDescent="0.25">
      <c r="A26" s="47" t="s">
        <v>202</v>
      </c>
      <c r="B26" s="60">
        <v>90</v>
      </c>
      <c r="C26" s="60">
        <v>90</v>
      </c>
      <c r="D26" s="59">
        <v>90</v>
      </c>
      <c r="G26" s="47" t="s">
        <v>202</v>
      </c>
      <c r="H26" s="64">
        <f t="shared" si="3"/>
        <v>118.57707509881423</v>
      </c>
      <c r="I26" s="64">
        <f t="shared" si="3"/>
        <v>118.57707509881423</v>
      </c>
      <c r="J26" s="64">
        <f t="shared" si="3"/>
        <v>118.57707509881423</v>
      </c>
    </row>
    <row r="27" spans="1:10" x14ac:dyDescent="0.25">
      <c r="A27" s="47" t="s">
        <v>201</v>
      </c>
      <c r="B27" s="50"/>
      <c r="C27" s="50"/>
      <c r="D27" s="59">
        <v>80</v>
      </c>
      <c r="G27" s="47" t="s">
        <v>201</v>
      </c>
      <c r="H27" s="58"/>
      <c r="I27" s="58"/>
      <c r="J27" s="58">
        <f t="shared" ref="J27:J35" si="4">D27*$N$1</f>
        <v>105.40184453227931</v>
      </c>
    </row>
    <row r="28" spans="1:10" x14ac:dyDescent="0.25">
      <c r="A28" s="47" t="s">
        <v>200</v>
      </c>
      <c r="B28" s="60">
        <v>10</v>
      </c>
      <c r="C28" s="60">
        <v>10</v>
      </c>
      <c r="D28" s="59">
        <v>10</v>
      </c>
      <c r="G28" s="47" t="s">
        <v>200</v>
      </c>
      <c r="H28" s="58">
        <f t="shared" ref="H28:I35" si="5">B28*$N$1</f>
        <v>13.175230566534914</v>
      </c>
      <c r="I28" s="58">
        <f t="shared" si="5"/>
        <v>13.175230566534914</v>
      </c>
      <c r="J28" s="58">
        <f t="shared" si="4"/>
        <v>13.175230566534914</v>
      </c>
    </row>
    <row r="29" spans="1:10" x14ac:dyDescent="0.25">
      <c r="A29" s="47" t="s">
        <v>199</v>
      </c>
      <c r="B29" s="60">
        <v>18</v>
      </c>
      <c r="C29" s="60">
        <v>18</v>
      </c>
      <c r="D29" s="59">
        <v>18</v>
      </c>
      <c r="G29" s="47" t="s">
        <v>199</v>
      </c>
      <c r="H29" s="58">
        <f t="shared" si="5"/>
        <v>23.715415019762847</v>
      </c>
      <c r="I29" s="58">
        <f t="shared" si="5"/>
        <v>23.715415019762847</v>
      </c>
      <c r="J29" s="58">
        <f t="shared" si="4"/>
        <v>23.715415019762847</v>
      </c>
    </row>
    <row r="30" spans="1:10" x14ac:dyDescent="0.25">
      <c r="A30" s="47" t="s">
        <v>198</v>
      </c>
      <c r="B30" s="60">
        <v>58</v>
      </c>
      <c r="C30" s="60">
        <v>56</v>
      </c>
      <c r="D30" s="59">
        <v>54</v>
      </c>
      <c r="G30" s="47" t="s">
        <v>198</v>
      </c>
      <c r="H30" s="58">
        <f t="shared" si="5"/>
        <v>76.4163372859025</v>
      </c>
      <c r="I30" s="58">
        <f t="shared" si="5"/>
        <v>73.781291172595516</v>
      </c>
      <c r="J30" s="58">
        <f t="shared" si="4"/>
        <v>71.146245059288532</v>
      </c>
    </row>
    <row r="31" spans="1:10" x14ac:dyDescent="0.25">
      <c r="A31" s="47" t="s">
        <v>197</v>
      </c>
      <c r="B31" s="60">
        <v>64</v>
      </c>
      <c r="C31" s="60">
        <v>62</v>
      </c>
      <c r="D31" s="59">
        <v>60</v>
      </c>
      <c r="G31" s="47" t="s">
        <v>197</v>
      </c>
      <c r="H31" s="58">
        <f t="shared" si="5"/>
        <v>84.321475625823453</v>
      </c>
      <c r="I31" s="58">
        <f t="shared" si="5"/>
        <v>81.686429512516469</v>
      </c>
      <c r="J31" s="58">
        <f t="shared" si="4"/>
        <v>79.051383399209485</v>
      </c>
    </row>
    <row r="32" spans="1:10" x14ac:dyDescent="0.25">
      <c r="A32" s="47" t="s">
        <v>196</v>
      </c>
      <c r="B32" s="60">
        <v>70</v>
      </c>
      <c r="C32" s="60">
        <v>70</v>
      </c>
      <c r="D32" s="59">
        <v>70</v>
      </c>
      <c r="G32" s="47" t="s">
        <v>196</v>
      </c>
      <c r="H32" s="58">
        <f t="shared" si="5"/>
        <v>92.226613965744406</v>
      </c>
      <c r="I32" s="58">
        <f t="shared" si="5"/>
        <v>92.226613965744406</v>
      </c>
      <c r="J32" s="58">
        <f t="shared" si="4"/>
        <v>92.226613965744406</v>
      </c>
    </row>
    <row r="33" spans="1:10" x14ac:dyDescent="0.25">
      <c r="A33" s="47" t="s">
        <v>211</v>
      </c>
      <c r="B33" s="60">
        <v>40</v>
      </c>
      <c r="C33" s="60">
        <v>40</v>
      </c>
      <c r="D33" s="59">
        <v>40</v>
      </c>
      <c r="G33" s="47" t="s">
        <v>211</v>
      </c>
      <c r="H33" s="58">
        <f t="shared" si="5"/>
        <v>52.700922266139656</v>
      </c>
      <c r="I33" s="58">
        <f t="shared" si="5"/>
        <v>52.700922266139656</v>
      </c>
      <c r="J33" s="58">
        <f t="shared" si="4"/>
        <v>52.700922266139656</v>
      </c>
    </row>
    <row r="34" spans="1:10" x14ac:dyDescent="0.25">
      <c r="A34" s="47" t="s">
        <v>210</v>
      </c>
      <c r="B34" s="60">
        <v>95</v>
      </c>
      <c r="C34" s="60">
        <v>85</v>
      </c>
      <c r="D34" s="59">
        <v>80</v>
      </c>
      <c r="G34" s="47" t="s">
        <v>210</v>
      </c>
      <c r="H34" s="58">
        <f t="shared" si="5"/>
        <v>125.16469038208169</v>
      </c>
      <c r="I34" s="58">
        <f t="shared" si="5"/>
        <v>111.98945981554678</v>
      </c>
      <c r="J34" s="58">
        <f t="shared" si="4"/>
        <v>105.40184453227931</v>
      </c>
    </row>
    <row r="35" spans="1:10" x14ac:dyDescent="0.25">
      <c r="A35" s="47" t="s">
        <v>193</v>
      </c>
      <c r="B35" s="60">
        <v>20</v>
      </c>
      <c r="C35" s="60">
        <v>20</v>
      </c>
      <c r="D35" s="59">
        <v>20</v>
      </c>
      <c r="G35" s="47" t="s">
        <v>193</v>
      </c>
      <c r="H35" s="58">
        <f t="shared" si="5"/>
        <v>26.350461133069828</v>
      </c>
      <c r="I35" s="58">
        <f t="shared" si="5"/>
        <v>26.350461133069828</v>
      </c>
      <c r="J35" s="58">
        <f t="shared" si="4"/>
        <v>26.350461133069828</v>
      </c>
    </row>
    <row r="36" spans="1:10" x14ac:dyDescent="0.25">
      <c r="A36" s="45" t="s">
        <v>192</v>
      </c>
      <c r="B36" s="45"/>
      <c r="C36" s="45"/>
      <c r="D36" s="45"/>
      <c r="G36" s="45" t="s">
        <v>192</v>
      </c>
      <c r="H36" s="45"/>
      <c r="I36" s="45"/>
      <c r="J36" s="45"/>
    </row>
    <row r="37" spans="1:10" x14ac:dyDescent="0.25">
      <c r="A37" s="45" t="s">
        <v>191</v>
      </c>
      <c r="B37" s="45"/>
      <c r="C37" s="45"/>
      <c r="D37" s="45"/>
      <c r="G37" s="45" t="s">
        <v>191</v>
      </c>
      <c r="H37" s="45"/>
      <c r="I37" s="45"/>
      <c r="J37" s="45"/>
    </row>
    <row r="39" spans="1:10" x14ac:dyDescent="0.25">
      <c r="A39" s="57" t="s">
        <v>209</v>
      </c>
      <c r="B39" s="45"/>
      <c r="C39" s="45"/>
      <c r="D39" s="45"/>
      <c r="G39" s="57" t="s">
        <v>209</v>
      </c>
      <c r="H39" s="45"/>
      <c r="I39" s="45"/>
      <c r="J39" s="45"/>
    </row>
    <row r="40" spans="1:10" x14ac:dyDescent="0.25">
      <c r="A40" s="57" t="s">
        <v>208</v>
      </c>
      <c r="B40" s="45"/>
      <c r="C40" s="45"/>
      <c r="D40" s="45"/>
      <c r="G40" s="57" t="s">
        <v>208</v>
      </c>
      <c r="H40" s="45"/>
      <c r="I40" s="45"/>
      <c r="J40" s="45"/>
    </row>
    <row r="41" spans="1:10" x14ac:dyDescent="0.25">
      <c r="A41" s="56" t="s">
        <v>207</v>
      </c>
      <c r="B41" s="55">
        <v>2025</v>
      </c>
      <c r="C41" s="55">
        <v>2035</v>
      </c>
      <c r="D41" s="54">
        <v>2050</v>
      </c>
      <c r="G41" s="53" t="s">
        <v>207</v>
      </c>
      <c r="H41" s="52">
        <v>2025</v>
      </c>
      <c r="I41" s="52">
        <v>2035</v>
      </c>
      <c r="J41" s="51">
        <v>2050</v>
      </c>
    </row>
    <row r="42" spans="1:10" x14ac:dyDescent="0.25">
      <c r="A42" s="47" t="s">
        <v>206</v>
      </c>
      <c r="B42" s="49">
        <v>2.4</v>
      </c>
      <c r="C42" s="49">
        <v>2.4</v>
      </c>
      <c r="D42" s="48">
        <v>2.4</v>
      </c>
      <c r="G42" s="47" t="s">
        <v>206</v>
      </c>
      <c r="H42" s="46">
        <f t="shared" ref="H42:J46" si="6">B42*$N$1</f>
        <v>3.1620553359683794</v>
      </c>
      <c r="I42" s="46">
        <f t="shared" si="6"/>
        <v>3.1620553359683794</v>
      </c>
      <c r="J42" s="46">
        <f t="shared" si="6"/>
        <v>3.1620553359683794</v>
      </c>
    </row>
    <row r="43" spans="1:10" x14ac:dyDescent="0.25">
      <c r="A43" s="47" t="s">
        <v>205</v>
      </c>
      <c r="B43" s="49">
        <v>3.2</v>
      </c>
      <c r="C43" s="49">
        <v>3.2</v>
      </c>
      <c r="D43" s="48">
        <v>3.2</v>
      </c>
      <c r="G43" s="47" t="s">
        <v>205</v>
      </c>
      <c r="H43" s="46">
        <f t="shared" si="6"/>
        <v>4.2160737812911728</v>
      </c>
      <c r="I43" s="46">
        <f t="shared" si="6"/>
        <v>4.2160737812911728</v>
      </c>
      <c r="J43" s="46">
        <f t="shared" si="6"/>
        <v>4.2160737812911728</v>
      </c>
    </row>
    <row r="44" spans="1:10" x14ac:dyDescent="0.25">
      <c r="A44" s="47" t="s">
        <v>204</v>
      </c>
      <c r="B44" s="49">
        <v>2.4</v>
      </c>
      <c r="C44" s="49">
        <v>2.4</v>
      </c>
      <c r="D44" s="48">
        <v>2.4</v>
      </c>
      <c r="G44" s="47" t="s">
        <v>204</v>
      </c>
      <c r="H44" s="46">
        <f t="shared" si="6"/>
        <v>3.1620553359683794</v>
      </c>
      <c r="I44" s="46">
        <f t="shared" si="6"/>
        <v>3.1620553359683794</v>
      </c>
      <c r="J44" s="46">
        <f t="shared" si="6"/>
        <v>3.1620553359683794</v>
      </c>
    </row>
    <row r="45" spans="1:10" x14ac:dyDescent="0.25">
      <c r="A45" s="47" t="s">
        <v>203</v>
      </c>
      <c r="B45" s="49">
        <v>3.2</v>
      </c>
      <c r="C45" s="49">
        <v>3.2</v>
      </c>
      <c r="D45" s="48">
        <v>3.2</v>
      </c>
      <c r="G45" s="47" t="s">
        <v>203</v>
      </c>
      <c r="H45" s="46">
        <f t="shared" si="6"/>
        <v>4.2160737812911728</v>
      </c>
      <c r="I45" s="46">
        <f t="shared" si="6"/>
        <v>4.2160737812911728</v>
      </c>
      <c r="J45" s="46">
        <f t="shared" si="6"/>
        <v>4.2160737812911728</v>
      </c>
    </row>
    <row r="46" spans="1:10" x14ac:dyDescent="0.25">
      <c r="A46" s="47" t="s">
        <v>202</v>
      </c>
      <c r="B46" s="49">
        <v>0.8</v>
      </c>
      <c r="C46" s="49">
        <v>0.8</v>
      </c>
      <c r="D46" s="48">
        <v>0.8</v>
      </c>
      <c r="G46" s="47" t="s">
        <v>202</v>
      </c>
      <c r="H46" s="46">
        <f t="shared" si="6"/>
        <v>1.0540184453227932</v>
      </c>
      <c r="I46" s="46">
        <f t="shared" si="6"/>
        <v>1.0540184453227932</v>
      </c>
      <c r="J46" s="46">
        <f t="shared" si="6"/>
        <v>1.0540184453227932</v>
      </c>
    </row>
    <row r="47" spans="1:10" x14ac:dyDescent="0.25">
      <c r="A47" s="47" t="s">
        <v>201</v>
      </c>
      <c r="B47" s="50"/>
      <c r="C47" s="50"/>
      <c r="D47" s="48">
        <v>0.8</v>
      </c>
      <c r="G47" s="47" t="s">
        <v>201</v>
      </c>
      <c r="H47" s="46"/>
      <c r="I47" s="46"/>
      <c r="J47" s="46">
        <f t="shared" ref="J47:J55" si="7">D47*$N$1</f>
        <v>1.0540184453227932</v>
      </c>
    </row>
    <row r="48" spans="1:10" x14ac:dyDescent="0.25">
      <c r="A48" s="47" t="s">
        <v>200</v>
      </c>
      <c r="B48" s="49">
        <v>2.8</v>
      </c>
      <c r="C48" s="49">
        <v>2.8</v>
      </c>
      <c r="D48" s="48">
        <v>2.8</v>
      </c>
      <c r="G48" s="47" t="s">
        <v>200</v>
      </c>
      <c r="H48" s="46">
        <f t="shared" ref="H48:I55" si="8">B48*$N$1</f>
        <v>3.6890645586297759</v>
      </c>
      <c r="I48" s="46">
        <f t="shared" si="8"/>
        <v>3.6890645586297759</v>
      </c>
      <c r="J48" s="46">
        <f t="shared" si="7"/>
        <v>3.6890645586297759</v>
      </c>
    </row>
    <row r="49" spans="1:10" x14ac:dyDescent="0.25">
      <c r="A49" s="47" t="s">
        <v>199</v>
      </c>
      <c r="B49" s="49">
        <v>1.8</v>
      </c>
      <c r="C49" s="49">
        <v>1.8</v>
      </c>
      <c r="D49" s="48">
        <v>1.8</v>
      </c>
      <c r="G49" s="47" t="s">
        <v>199</v>
      </c>
      <c r="H49" s="46">
        <f t="shared" si="8"/>
        <v>2.3715415019762847</v>
      </c>
      <c r="I49" s="46">
        <f t="shared" si="8"/>
        <v>2.3715415019762847</v>
      </c>
      <c r="J49" s="46">
        <f t="shared" si="7"/>
        <v>2.3715415019762847</v>
      </c>
    </row>
    <row r="50" spans="1:10" x14ac:dyDescent="0.25">
      <c r="A50" s="47" t="s">
        <v>198</v>
      </c>
      <c r="B50" s="49">
        <v>3.6</v>
      </c>
      <c r="C50" s="49">
        <v>3.6</v>
      </c>
      <c r="D50" s="48">
        <v>3.6</v>
      </c>
      <c r="G50" s="47" t="s">
        <v>198</v>
      </c>
      <c r="H50" s="46">
        <f t="shared" si="8"/>
        <v>4.7430830039525693</v>
      </c>
      <c r="I50" s="46">
        <f t="shared" si="8"/>
        <v>4.7430830039525693</v>
      </c>
      <c r="J50" s="46">
        <f t="shared" si="7"/>
        <v>4.7430830039525693</v>
      </c>
    </row>
    <row r="51" spans="1:10" x14ac:dyDescent="0.25">
      <c r="A51" s="47" t="s">
        <v>197</v>
      </c>
      <c r="B51" s="49">
        <v>4.2</v>
      </c>
      <c r="C51" s="49">
        <v>4.2</v>
      </c>
      <c r="D51" s="48">
        <v>4.2</v>
      </c>
      <c r="G51" s="47" t="s">
        <v>197</v>
      </c>
      <c r="H51" s="46">
        <f t="shared" si="8"/>
        <v>5.5335968379446641</v>
      </c>
      <c r="I51" s="46">
        <f t="shared" si="8"/>
        <v>5.5335968379446641</v>
      </c>
      <c r="J51" s="46">
        <f t="shared" si="7"/>
        <v>5.5335968379446641</v>
      </c>
    </row>
    <row r="52" spans="1:10" x14ac:dyDescent="0.25">
      <c r="A52" s="47" t="s">
        <v>196</v>
      </c>
      <c r="B52" s="49">
        <v>5</v>
      </c>
      <c r="C52" s="49">
        <v>5</v>
      </c>
      <c r="D52" s="48">
        <v>5</v>
      </c>
      <c r="G52" s="47" t="s">
        <v>196</v>
      </c>
      <c r="H52" s="46">
        <f t="shared" si="8"/>
        <v>6.587615283267457</v>
      </c>
      <c r="I52" s="46">
        <f t="shared" si="8"/>
        <v>6.587615283267457</v>
      </c>
      <c r="J52" s="46">
        <f t="shared" si="7"/>
        <v>6.587615283267457</v>
      </c>
    </row>
    <row r="53" spans="1:10" x14ac:dyDescent="0.25">
      <c r="A53" s="47" t="s">
        <v>195</v>
      </c>
      <c r="B53" s="49">
        <v>0</v>
      </c>
      <c r="C53" s="49">
        <v>0</v>
      </c>
      <c r="D53" s="48">
        <v>0</v>
      </c>
      <c r="G53" s="47" t="s">
        <v>195</v>
      </c>
      <c r="H53" s="46">
        <f t="shared" si="8"/>
        <v>0</v>
      </c>
      <c r="I53" s="46">
        <f t="shared" si="8"/>
        <v>0</v>
      </c>
      <c r="J53" s="46">
        <f t="shared" si="7"/>
        <v>0</v>
      </c>
    </row>
    <row r="54" spans="1:10" x14ac:dyDescent="0.25">
      <c r="A54" s="47" t="s">
        <v>194</v>
      </c>
      <c r="B54" s="49">
        <v>0</v>
      </c>
      <c r="C54" s="49">
        <v>0</v>
      </c>
      <c r="D54" s="48">
        <v>0</v>
      </c>
      <c r="G54" s="47" t="s">
        <v>194</v>
      </c>
      <c r="H54" s="46">
        <f t="shared" si="8"/>
        <v>0</v>
      </c>
      <c r="I54" s="46">
        <f t="shared" si="8"/>
        <v>0</v>
      </c>
      <c r="J54" s="46">
        <f t="shared" si="7"/>
        <v>0</v>
      </c>
    </row>
    <row r="55" spans="1:10" x14ac:dyDescent="0.25">
      <c r="A55" s="47" t="s">
        <v>193</v>
      </c>
      <c r="B55" s="49">
        <v>0</v>
      </c>
      <c r="C55" s="49">
        <v>0</v>
      </c>
      <c r="D55" s="48">
        <v>0</v>
      </c>
      <c r="G55" s="47" t="s">
        <v>193</v>
      </c>
      <c r="H55" s="46">
        <f t="shared" si="8"/>
        <v>0</v>
      </c>
      <c r="I55" s="46">
        <f t="shared" si="8"/>
        <v>0</v>
      </c>
      <c r="J55" s="46">
        <f t="shared" si="7"/>
        <v>0</v>
      </c>
    </row>
    <row r="56" spans="1:10" x14ac:dyDescent="0.25">
      <c r="A56" s="45" t="s">
        <v>192</v>
      </c>
      <c r="B56" s="45"/>
      <c r="C56" s="45"/>
      <c r="D56" s="45"/>
      <c r="G56" s="45" t="s">
        <v>192</v>
      </c>
      <c r="H56" s="45"/>
      <c r="I56" s="45"/>
      <c r="J56" s="45"/>
    </row>
    <row r="57" spans="1:10" x14ac:dyDescent="0.25">
      <c r="A57" s="45" t="s">
        <v>191</v>
      </c>
      <c r="B57" s="45"/>
      <c r="C57" s="45"/>
      <c r="D57" s="45"/>
      <c r="G57" s="45" t="s">
        <v>191</v>
      </c>
      <c r="H57" s="45"/>
      <c r="I57" s="45"/>
      <c r="J57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opLeftCell="A76" workbookViewId="0">
      <selection activeCell="B83" sqref="B83"/>
    </sheetView>
  </sheetViews>
  <sheetFormatPr defaultRowHeight="15" x14ac:dyDescent="0.25"/>
  <cols>
    <col min="1" max="1" width="20.28515625" customWidth="1"/>
    <col min="2" max="2" width="24.28515625" customWidth="1"/>
    <col min="3" max="3" width="26.7109375" customWidth="1"/>
    <col min="4" max="4" width="26.28515625" customWidth="1"/>
    <col min="5" max="5" width="28.7109375" customWidth="1"/>
    <col min="6" max="6" width="15.28515625" customWidth="1"/>
  </cols>
  <sheetData>
    <row r="1" spans="1:10" ht="15.75" x14ac:dyDescent="0.25">
      <c r="A1" s="30" t="s">
        <v>82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15.75" thickBot="1" x14ac:dyDescent="0.3">
      <c r="A3" s="31" t="s">
        <v>83</v>
      </c>
      <c r="B3" s="26"/>
      <c r="C3" s="26"/>
      <c r="D3" s="26"/>
      <c r="E3" s="26"/>
      <c r="F3" s="26"/>
      <c r="G3" s="26"/>
      <c r="H3" s="26"/>
      <c r="I3" s="26"/>
      <c r="J3" s="26"/>
    </row>
    <row r="4" spans="1:10" ht="60.75" thickBot="1" x14ac:dyDescent="0.3">
      <c r="A4" s="32"/>
      <c r="B4" s="33" t="s">
        <v>84</v>
      </c>
      <c r="C4" s="33" t="s">
        <v>85</v>
      </c>
      <c r="D4" s="33" t="s">
        <v>86</v>
      </c>
      <c r="E4" s="33" t="s">
        <v>87</v>
      </c>
      <c r="F4" s="33" t="s">
        <v>88</v>
      </c>
      <c r="G4" s="33" t="s">
        <v>89</v>
      </c>
      <c r="H4" s="33" t="s">
        <v>90</v>
      </c>
      <c r="I4" s="34" t="s">
        <v>76</v>
      </c>
    </row>
    <row r="5" spans="1:10" ht="31.5" thickTop="1" thickBot="1" x14ac:dyDescent="0.3">
      <c r="A5" s="35"/>
      <c r="B5" s="36" t="s">
        <v>91</v>
      </c>
      <c r="C5" s="36" t="s">
        <v>92</v>
      </c>
      <c r="D5" s="36" t="s">
        <v>93</v>
      </c>
      <c r="E5" s="36" t="s">
        <v>92</v>
      </c>
      <c r="F5" s="36" t="s">
        <v>94</v>
      </c>
      <c r="G5" s="36" t="s">
        <v>95</v>
      </c>
      <c r="H5" s="36" t="s">
        <v>96</v>
      </c>
      <c r="I5" s="26"/>
    </row>
    <row r="6" spans="1:10" ht="15.75" thickBot="1" x14ac:dyDescent="0.3">
      <c r="A6" s="35" t="s">
        <v>97</v>
      </c>
      <c r="B6" s="37">
        <v>45</v>
      </c>
      <c r="C6" s="37">
        <v>8800</v>
      </c>
      <c r="D6" s="38">
        <v>-1.0141174378723861E-3</v>
      </c>
      <c r="E6" s="37">
        <v>124</v>
      </c>
      <c r="F6" s="37">
        <v>12.1</v>
      </c>
      <c r="G6" s="37">
        <v>47</v>
      </c>
      <c r="H6" s="37">
        <v>545.19600855310046</v>
      </c>
      <c r="I6" s="26" t="s">
        <v>2</v>
      </c>
    </row>
    <row r="7" spans="1:10" ht="15.75" thickBot="1" x14ac:dyDescent="0.3">
      <c r="A7" s="35" t="s">
        <v>98</v>
      </c>
      <c r="B7" s="37">
        <v>40</v>
      </c>
      <c r="C7" s="37">
        <v>6200</v>
      </c>
      <c r="D7" s="38">
        <v>-1.8819628140518407E-3</v>
      </c>
      <c r="E7" s="37">
        <v>113</v>
      </c>
      <c r="F7" s="37">
        <v>9.7000000000000011</v>
      </c>
      <c r="G7" s="37">
        <v>45</v>
      </c>
      <c r="H7" s="37">
        <v>358</v>
      </c>
      <c r="I7" s="26" t="s">
        <v>2</v>
      </c>
    </row>
    <row r="8" spans="1:10" ht="15.75" thickBot="1" x14ac:dyDescent="0.3">
      <c r="A8" s="35" t="s">
        <v>99</v>
      </c>
      <c r="B8" s="37">
        <v>45</v>
      </c>
      <c r="C8" s="37">
        <v>7750</v>
      </c>
      <c r="D8" s="38">
        <v>-1.8386031282128235E-3</v>
      </c>
      <c r="E8" s="37">
        <v>113</v>
      </c>
      <c r="F8" s="37">
        <v>9.7000000000000011</v>
      </c>
      <c r="G8" s="37">
        <v>49</v>
      </c>
      <c r="H8" s="37">
        <v>358</v>
      </c>
      <c r="I8" s="26" t="s">
        <v>2</v>
      </c>
    </row>
    <row r="9" spans="1:10" ht="15.75" thickBot="1" x14ac:dyDescent="0.3">
      <c r="A9" s="35" t="s">
        <v>100</v>
      </c>
      <c r="B9" s="37">
        <v>40</v>
      </c>
      <c r="C9" s="37">
        <v>8900</v>
      </c>
      <c r="D9" s="38">
        <v>0</v>
      </c>
      <c r="E9" s="37">
        <v>159</v>
      </c>
      <c r="F9" s="37">
        <v>11.6</v>
      </c>
      <c r="G9" s="37">
        <v>44</v>
      </c>
      <c r="H9" s="37">
        <v>358</v>
      </c>
      <c r="I9" s="26" t="s">
        <v>2</v>
      </c>
    </row>
    <row r="10" spans="1:10" ht="15.75" thickBot="1" x14ac:dyDescent="0.3">
      <c r="A10" s="35" t="s">
        <v>101</v>
      </c>
      <c r="B10" s="37">
        <v>30</v>
      </c>
      <c r="C10" s="37">
        <v>3000</v>
      </c>
      <c r="D10" s="38">
        <v>0</v>
      </c>
      <c r="E10" s="37">
        <v>87</v>
      </c>
      <c r="F10" s="37">
        <v>5.8</v>
      </c>
      <c r="G10" s="37">
        <v>44</v>
      </c>
      <c r="H10" s="37">
        <v>205</v>
      </c>
      <c r="I10" s="26" t="s">
        <v>77</v>
      </c>
    </row>
    <row r="11" spans="1:10" ht="15.75" thickBot="1" x14ac:dyDescent="0.3">
      <c r="A11" s="35" t="s">
        <v>102</v>
      </c>
      <c r="B11" s="37">
        <v>30</v>
      </c>
      <c r="C11" s="37">
        <v>4000</v>
      </c>
      <c r="D11" s="38">
        <v>0</v>
      </c>
      <c r="E11" s="37">
        <v>87</v>
      </c>
      <c r="F11" s="37">
        <v>5.8</v>
      </c>
      <c r="G11" s="37">
        <v>57.999999999999993</v>
      </c>
      <c r="H11" s="37">
        <v>205</v>
      </c>
      <c r="I11" s="26" t="s">
        <v>77</v>
      </c>
    </row>
    <row r="12" spans="1:10" ht="15.75" thickBot="1" x14ac:dyDescent="0.3">
      <c r="A12" s="35" t="s">
        <v>103</v>
      </c>
      <c r="B12" s="37">
        <v>30</v>
      </c>
      <c r="C12" s="37">
        <v>4000</v>
      </c>
      <c r="D12" s="38">
        <v>0</v>
      </c>
      <c r="E12" s="37">
        <v>159</v>
      </c>
      <c r="F12" s="37">
        <v>5.8</v>
      </c>
      <c r="G12" s="37">
        <v>57.999999999999993</v>
      </c>
      <c r="H12" s="37">
        <v>205</v>
      </c>
      <c r="I12" s="26" t="s">
        <v>77</v>
      </c>
    </row>
    <row r="13" spans="1:10" ht="15.75" thickBot="1" x14ac:dyDescent="0.3">
      <c r="A13" s="35" t="s">
        <v>104</v>
      </c>
      <c r="B13" s="37">
        <v>60</v>
      </c>
      <c r="C13" s="37">
        <v>18450</v>
      </c>
      <c r="D13" s="38">
        <v>0</v>
      </c>
      <c r="E13" s="37">
        <v>287</v>
      </c>
      <c r="F13" s="37">
        <v>4</v>
      </c>
      <c r="G13" s="37">
        <v>36</v>
      </c>
      <c r="H13" s="37">
        <v>0</v>
      </c>
      <c r="I13" s="26" t="s">
        <v>3</v>
      </c>
    </row>
    <row r="14" spans="1:10" ht="15.75" thickBot="1" x14ac:dyDescent="0.3">
      <c r="A14" s="35" t="s">
        <v>105</v>
      </c>
      <c r="B14" s="37">
        <v>20</v>
      </c>
      <c r="C14" s="37">
        <v>5500</v>
      </c>
      <c r="D14" s="38">
        <v>-4.0823799331761723E-3</v>
      </c>
      <c r="E14" s="37">
        <v>200</v>
      </c>
      <c r="F14" s="37">
        <v>0</v>
      </c>
      <c r="G14" s="37">
        <v>100</v>
      </c>
      <c r="H14" s="37">
        <v>0</v>
      </c>
      <c r="I14" s="26" t="s">
        <v>6</v>
      </c>
    </row>
    <row r="15" spans="1:10" ht="15.75" thickBot="1" x14ac:dyDescent="0.3">
      <c r="A15" s="35" t="s">
        <v>106</v>
      </c>
      <c r="B15" s="37">
        <v>20</v>
      </c>
      <c r="C15" s="37">
        <v>12299.999999999998</v>
      </c>
      <c r="D15" s="38">
        <v>-1.0711788675244582E-2</v>
      </c>
      <c r="E15" s="37">
        <v>600</v>
      </c>
      <c r="F15" s="37">
        <v>0</v>
      </c>
      <c r="G15" s="37">
        <v>100</v>
      </c>
      <c r="H15" s="37">
        <v>0</v>
      </c>
      <c r="I15" s="26" t="s">
        <v>6</v>
      </c>
    </row>
    <row r="16" spans="1:10" ht="15.75" thickBot="1" x14ac:dyDescent="0.3">
      <c r="A16" s="35" t="s">
        <v>107</v>
      </c>
      <c r="B16" s="37">
        <v>20</v>
      </c>
      <c r="C16" s="37">
        <v>5944.9999999999991</v>
      </c>
      <c r="D16" s="38">
        <v>-1.8041235161963209E-2</v>
      </c>
      <c r="E16" s="37">
        <v>115</v>
      </c>
      <c r="F16" s="37">
        <v>0</v>
      </c>
      <c r="G16" s="37">
        <v>100</v>
      </c>
      <c r="H16" s="37">
        <v>0</v>
      </c>
      <c r="I16" s="26" t="s">
        <v>21</v>
      </c>
    </row>
    <row r="17" spans="1:9" ht="15.75" thickBot="1" x14ac:dyDescent="0.3">
      <c r="A17" s="35" t="s">
        <v>108</v>
      </c>
      <c r="B17" s="37">
        <v>20</v>
      </c>
      <c r="C17" s="37">
        <v>7584.9999999999991</v>
      </c>
      <c r="D17" s="38">
        <v>-1.7852377847928036E-2</v>
      </c>
      <c r="E17" s="37">
        <v>70</v>
      </c>
      <c r="F17" s="37">
        <v>0</v>
      </c>
      <c r="G17" s="37">
        <v>100</v>
      </c>
      <c r="H17" s="37">
        <v>0</v>
      </c>
      <c r="I17" s="26" t="s">
        <v>21</v>
      </c>
    </row>
    <row r="18" spans="1:9" ht="15.75" thickBot="1" x14ac:dyDescent="0.3">
      <c r="A18" s="35" t="s">
        <v>109</v>
      </c>
      <c r="B18" s="37">
        <v>80</v>
      </c>
      <c r="C18" s="37">
        <v>18000</v>
      </c>
      <c r="D18" s="38">
        <v>0</v>
      </c>
      <c r="E18" s="37">
        <v>650</v>
      </c>
      <c r="F18" s="37">
        <v>11.6</v>
      </c>
      <c r="G18" s="37">
        <v>100</v>
      </c>
      <c r="H18" s="37">
        <v>0</v>
      </c>
      <c r="I18" s="26" t="s">
        <v>5</v>
      </c>
    </row>
    <row r="19" spans="1:9" ht="15.75" thickBot="1" x14ac:dyDescent="0.3">
      <c r="A19" s="35" t="s">
        <v>110</v>
      </c>
      <c r="B19" s="37">
        <v>30</v>
      </c>
      <c r="C19" s="37">
        <v>15000</v>
      </c>
      <c r="D19" s="38">
        <v>-1.7179401454748944E-2</v>
      </c>
      <c r="E19" s="37">
        <v>800</v>
      </c>
      <c r="F19" s="37">
        <v>8</v>
      </c>
      <c r="G19" s="37">
        <v>48</v>
      </c>
      <c r="H19" s="37">
        <v>0</v>
      </c>
      <c r="I19" s="26" t="s">
        <v>77</v>
      </c>
    </row>
    <row r="20" spans="1:9" ht="15.75" thickBot="1" x14ac:dyDescent="0.3">
      <c r="A20" s="39" t="s">
        <v>111</v>
      </c>
      <c r="B20" s="37">
        <v>30</v>
      </c>
      <c r="C20" s="37">
        <v>10000</v>
      </c>
      <c r="D20" s="38">
        <v>-1.8819628140518407E-3</v>
      </c>
      <c r="E20" s="37">
        <v>159</v>
      </c>
      <c r="F20" s="37">
        <v>11.6</v>
      </c>
      <c r="G20" s="37">
        <v>36</v>
      </c>
      <c r="H20" s="37">
        <v>0</v>
      </c>
      <c r="I20" s="26" t="s">
        <v>4</v>
      </c>
    </row>
    <row r="22" spans="1:9" ht="15.75" thickBot="1" x14ac:dyDescent="0.3">
      <c r="A22" s="31" t="s">
        <v>83</v>
      </c>
      <c r="B22" s="26"/>
      <c r="C22" s="26"/>
      <c r="D22" s="26"/>
      <c r="E22" s="26"/>
      <c r="F22" s="26"/>
      <c r="G22" s="26"/>
      <c r="H22" s="26"/>
      <c r="I22" s="26"/>
    </row>
    <row r="23" spans="1:9" ht="45.75" thickBot="1" x14ac:dyDescent="0.3">
      <c r="A23" s="32"/>
      <c r="B23" s="33" t="s">
        <v>116</v>
      </c>
      <c r="C23" s="33" t="s">
        <v>118</v>
      </c>
      <c r="D23" s="33" t="s">
        <v>119</v>
      </c>
      <c r="E23" s="33" t="s">
        <v>121</v>
      </c>
      <c r="F23" s="33" t="s">
        <v>126</v>
      </c>
      <c r="G23" s="33" t="s">
        <v>124</v>
      </c>
      <c r="H23" s="33" t="s">
        <v>125</v>
      </c>
      <c r="I23" s="34" t="s">
        <v>76</v>
      </c>
    </row>
    <row r="24" spans="1:9" ht="31.5" thickTop="1" thickBot="1" x14ac:dyDescent="0.3">
      <c r="A24" s="35"/>
      <c r="B24" s="36" t="s">
        <v>117</v>
      </c>
      <c r="C24" s="36" t="s">
        <v>122</v>
      </c>
      <c r="D24" s="36" t="s">
        <v>120</v>
      </c>
      <c r="E24" s="36" t="s">
        <v>122</v>
      </c>
      <c r="F24" s="36" t="s">
        <v>123</v>
      </c>
      <c r="G24" s="36" t="s">
        <v>95</v>
      </c>
      <c r="H24" s="36" t="s">
        <v>96</v>
      </c>
      <c r="I24" s="26"/>
    </row>
    <row r="25" spans="1:9" ht="15.75" thickBot="1" x14ac:dyDescent="0.3">
      <c r="A25" s="35" t="s">
        <v>97</v>
      </c>
      <c r="B25" s="37">
        <v>45</v>
      </c>
      <c r="C25" s="37">
        <v>8800</v>
      </c>
      <c r="D25" s="38">
        <v>-1.0141174378723861E-3</v>
      </c>
      <c r="E25" s="37">
        <v>124</v>
      </c>
      <c r="F25" s="37">
        <v>12.1</v>
      </c>
      <c r="G25" s="37">
        <v>47</v>
      </c>
      <c r="H25" s="37">
        <v>545.19600855310046</v>
      </c>
      <c r="I25" s="26" t="s">
        <v>2</v>
      </c>
    </row>
    <row r="26" spans="1:9" ht="15.75" thickBot="1" x14ac:dyDescent="0.3">
      <c r="A26" s="35" t="s">
        <v>98</v>
      </c>
      <c r="B26" s="37">
        <v>40</v>
      </c>
      <c r="C26" s="37">
        <v>6200</v>
      </c>
      <c r="D26" s="38">
        <v>-1.8819628140518407E-3</v>
      </c>
      <c r="E26" s="37">
        <v>113</v>
      </c>
      <c r="F26" s="37">
        <v>9.7000000000000011</v>
      </c>
      <c r="G26" s="37">
        <v>45</v>
      </c>
      <c r="H26" s="37">
        <v>358</v>
      </c>
      <c r="I26" s="26" t="s">
        <v>2</v>
      </c>
    </row>
    <row r="27" spans="1:9" ht="15.75" thickBot="1" x14ac:dyDescent="0.3">
      <c r="A27" s="35" t="s">
        <v>99</v>
      </c>
      <c r="B27" s="37">
        <v>45</v>
      </c>
      <c r="C27" s="37">
        <v>7750</v>
      </c>
      <c r="D27" s="38">
        <v>-1.8386031282128235E-3</v>
      </c>
      <c r="E27" s="37">
        <v>113</v>
      </c>
      <c r="F27" s="37">
        <v>9.7000000000000011</v>
      </c>
      <c r="G27" s="37">
        <v>49</v>
      </c>
      <c r="H27" s="37">
        <v>358</v>
      </c>
      <c r="I27" s="26" t="s">
        <v>2</v>
      </c>
    </row>
    <row r="28" spans="1:9" ht="15.75" thickBot="1" x14ac:dyDescent="0.3">
      <c r="A28" s="35" t="s">
        <v>100</v>
      </c>
      <c r="B28" s="37">
        <v>40</v>
      </c>
      <c r="C28" s="37">
        <v>8900</v>
      </c>
      <c r="D28" s="38">
        <v>0</v>
      </c>
      <c r="E28" s="37">
        <v>159</v>
      </c>
      <c r="F28" s="37">
        <v>11.6</v>
      </c>
      <c r="G28" s="37">
        <v>44</v>
      </c>
      <c r="H28" s="37">
        <v>358</v>
      </c>
      <c r="I28" s="26" t="s">
        <v>2</v>
      </c>
    </row>
    <row r="29" spans="1:9" ht="15.75" thickBot="1" x14ac:dyDescent="0.3">
      <c r="A29" s="35" t="s">
        <v>101</v>
      </c>
      <c r="B29" s="37">
        <v>30</v>
      </c>
      <c r="C29" s="37">
        <v>3000</v>
      </c>
      <c r="D29" s="38">
        <v>0</v>
      </c>
      <c r="E29" s="37">
        <v>87</v>
      </c>
      <c r="F29" s="37">
        <v>5.8</v>
      </c>
      <c r="G29" s="37">
        <v>44</v>
      </c>
      <c r="H29" s="37">
        <v>205</v>
      </c>
      <c r="I29" s="26" t="s">
        <v>77</v>
      </c>
    </row>
    <row r="30" spans="1:9" ht="15.75" thickBot="1" x14ac:dyDescent="0.3">
      <c r="A30" s="35" t="s">
        <v>102</v>
      </c>
      <c r="B30" s="37">
        <v>30</v>
      </c>
      <c r="C30" s="37">
        <v>4000</v>
      </c>
      <c r="D30" s="38">
        <v>0</v>
      </c>
      <c r="E30" s="37">
        <v>87</v>
      </c>
      <c r="F30" s="37">
        <v>5.8</v>
      </c>
      <c r="G30" s="37">
        <v>57.999999999999993</v>
      </c>
      <c r="H30" s="37">
        <v>205</v>
      </c>
      <c r="I30" s="26" t="s">
        <v>77</v>
      </c>
    </row>
    <row r="31" spans="1:9" ht="15.75" thickBot="1" x14ac:dyDescent="0.3">
      <c r="A31" s="35" t="s">
        <v>103</v>
      </c>
      <c r="B31" s="37">
        <v>30</v>
      </c>
      <c r="C31" s="37">
        <v>4000</v>
      </c>
      <c r="D31" s="38">
        <v>0</v>
      </c>
      <c r="E31" s="37">
        <v>159</v>
      </c>
      <c r="F31" s="37">
        <v>5.8</v>
      </c>
      <c r="G31" s="37">
        <v>57.999999999999993</v>
      </c>
      <c r="H31" s="37">
        <v>205</v>
      </c>
      <c r="I31" s="26" t="s">
        <v>77</v>
      </c>
    </row>
    <row r="32" spans="1:9" ht="15.75" thickBot="1" x14ac:dyDescent="0.3">
      <c r="A32" s="35" t="s">
        <v>104</v>
      </c>
      <c r="B32" s="37">
        <v>60</v>
      </c>
      <c r="C32" s="37">
        <v>18450</v>
      </c>
      <c r="D32" s="38">
        <v>0</v>
      </c>
      <c r="E32" s="37">
        <v>287</v>
      </c>
      <c r="F32" s="37">
        <v>4</v>
      </c>
      <c r="G32" s="37">
        <v>36</v>
      </c>
      <c r="H32" s="37">
        <v>0</v>
      </c>
      <c r="I32" s="26" t="s">
        <v>3</v>
      </c>
    </row>
    <row r="33" spans="1:9" ht="15.75" thickBot="1" x14ac:dyDescent="0.3">
      <c r="A33" s="35" t="s">
        <v>105</v>
      </c>
      <c r="B33" s="37">
        <v>20</v>
      </c>
      <c r="C33" s="37">
        <v>5500</v>
      </c>
      <c r="D33" s="38">
        <v>-4.0823799331761723E-3</v>
      </c>
      <c r="E33" s="37">
        <v>200</v>
      </c>
      <c r="F33" s="37">
        <v>0</v>
      </c>
      <c r="G33" s="37">
        <v>100</v>
      </c>
      <c r="H33" s="37">
        <v>0</v>
      </c>
      <c r="I33" s="26" t="s">
        <v>6</v>
      </c>
    </row>
    <row r="34" spans="1:9" ht="15.75" thickBot="1" x14ac:dyDescent="0.3">
      <c r="A34" s="35" t="s">
        <v>106</v>
      </c>
      <c r="B34" s="37">
        <v>20</v>
      </c>
      <c r="C34" s="37">
        <v>12299.999999999998</v>
      </c>
      <c r="D34" s="38">
        <v>-1.0711788675244582E-2</v>
      </c>
      <c r="E34" s="37">
        <v>600</v>
      </c>
      <c r="F34" s="37">
        <v>0</v>
      </c>
      <c r="G34" s="37">
        <v>100</v>
      </c>
      <c r="H34" s="37">
        <v>0</v>
      </c>
      <c r="I34" s="26" t="s">
        <v>6</v>
      </c>
    </row>
    <row r="35" spans="1:9" ht="15.75" thickBot="1" x14ac:dyDescent="0.3">
      <c r="A35" s="35" t="s">
        <v>107</v>
      </c>
      <c r="B35" s="37">
        <v>20</v>
      </c>
      <c r="C35" s="37">
        <v>5944.9999999999991</v>
      </c>
      <c r="D35" s="38">
        <v>-1.8041235161963209E-2</v>
      </c>
      <c r="E35" s="37">
        <v>115</v>
      </c>
      <c r="F35" s="37">
        <v>0</v>
      </c>
      <c r="G35" s="37">
        <v>100</v>
      </c>
      <c r="H35" s="37">
        <v>0</v>
      </c>
      <c r="I35" s="26" t="s">
        <v>21</v>
      </c>
    </row>
    <row r="36" spans="1:9" ht="15.75" thickBot="1" x14ac:dyDescent="0.3">
      <c r="A36" s="35" t="s">
        <v>108</v>
      </c>
      <c r="B36" s="37">
        <v>20</v>
      </c>
      <c r="C36" s="37">
        <v>7584.9999999999991</v>
      </c>
      <c r="D36" s="38">
        <v>-1.7852377847928036E-2</v>
      </c>
      <c r="E36" s="37">
        <v>70</v>
      </c>
      <c r="F36" s="37">
        <v>0</v>
      </c>
      <c r="G36" s="37">
        <v>100</v>
      </c>
      <c r="H36" s="37">
        <v>0</v>
      </c>
      <c r="I36" s="26" t="s">
        <v>21</v>
      </c>
    </row>
    <row r="37" spans="1:9" ht="15.75" thickBot="1" x14ac:dyDescent="0.3">
      <c r="A37" s="35" t="s">
        <v>109</v>
      </c>
      <c r="B37" s="37">
        <v>80</v>
      </c>
      <c r="C37" s="37">
        <v>18000</v>
      </c>
      <c r="D37" s="38">
        <v>0</v>
      </c>
      <c r="E37" s="37">
        <v>650</v>
      </c>
      <c r="F37" s="37">
        <v>11.6</v>
      </c>
      <c r="G37" s="37">
        <v>100</v>
      </c>
      <c r="H37" s="37">
        <v>0</v>
      </c>
      <c r="I37" s="26" t="s">
        <v>5</v>
      </c>
    </row>
    <row r="38" spans="1:9" ht="15.75" thickBot="1" x14ac:dyDescent="0.3">
      <c r="A38" s="35" t="s">
        <v>110</v>
      </c>
      <c r="B38" s="37">
        <v>30</v>
      </c>
      <c r="C38" s="37">
        <v>15000</v>
      </c>
      <c r="D38" s="38">
        <v>-1.7179401454748944E-2</v>
      </c>
      <c r="E38" s="37">
        <v>800</v>
      </c>
      <c r="F38" s="37">
        <v>8</v>
      </c>
      <c r="G38" s="37">
        <v>48</v>
      </c>
      <c r="H38" s="37">
        <v>0</v>
      </c>
      <c r="I38" s="26" t="s">
        <v>77</v>
      </c>
    </row>
    <row r="39" spans="1:9" ht="15.75" thickBot="1" x14ac:dyDescent="0.3">
      <c r="A39" s="39" t="s">
        <v>111</v>
      </c>
      <c r="B39" s="37">
        <v>30</v>
      </c>
      <c r="C39" s="37">
        <v>10000</v>
      </c>
      <c r="D39" s="38">
        <v>-1.8819628140518407E-3</v>
      </c>
      <c r="E39" s="37">
        <v>159</v>
      </c>
      <c r="F39" s="37">
        <v>11.6</v>
      </c>
      <c r="G39" s="37">
        <v>36</v>
      </c>
      <c r="H39" s="37">
        <v>0</v>
      </c>
      <c r="I39" s="26" t="s">
        <v>4</v>
      </c>
    </row>
    <row r="41" spans="1:9" ht="15.75" thickBot="1" x14ac:dyDescent="0.3">
      <c r="A41" s="31" t="s">
        <v>83</v>
      </c>
      <c r="B41" s="26"/>
      <c r="C41" s="26"/>
      <c r="D41" s="26"/>
      <c r="E41" s="26"/>
      <c r="F41" s="26"/>
      <c r="G41" s="26"/>
      <c r="H41" s="26"/>
      <c r="I41" s="26"/>
    </row>
    <row r="42" spans="1:9" ht="45.75" thickBot="1" x14ac:dyDescent="0.3">
      <c r="A42" s="32" t="s">
        <v>130</v>
      </c>
      <c r="B42" s="33" t="s">
        <v>116</v>
      </c>
      <c r="C42" s="33" t="s">
        <v>118</v>
      </c>
      <c r="D42" s="33" t="s">
        <v>119</v>
      </c>
      <c r="E42" s="33" t="s">
        <v>121</v>
      </c>
      <c r="F42" s="33" t="s">
        <v>126</v>
      </c>
      <c r="G42" s="33" t="s">
        <v>124</v>
      </c>
      <c r="H42" s="33" t="s">
        <v>125</v>
      </c>
      <c r="I42" s="34" t="s">
        <v>76</v>
      </c>
    </row>
    <row r="43" spans="1:9" ht="31.5" thickTop="1" thickBot="1" x14ac:dyDescent="0.3">
      <c r="A43" s="35" t="s">
        <v>129</v>
      </c>
      <c r="B43" s="36" t="s">
        <v>117</v>
      </c>
      <c r="C43" s="36" t="s">
        <v>127</v>
      </c>
      <c r="D43" s="36" t="s">
        <v>120</v>
      </c>
      <c r="E43" s="36" t="s">
        <v>127</v>
      </c>
      <c r="F43" s="36" t="s">
        <v>128</v>
      </c>
      <c r="G43" s="36" t="s">
        <v>95</v>
      </c>
      <c r="H43" s="36" t="s">
        <v>96</v>
      </c>
      <c r="I43" s="26"/>
    </row>
    <row r="44" spans="1:9" ht="15.75" thickBot="1" x14ac:dyDescent="0.3">
      <c r="A44" s="35" t="s">
        <v>97</v>
      </c>
      <c r="B44" s="37">
        <v>45</v>
      </c>
      <c r="C44" s="37">
        <f>C25/Currency!$A$3</f>
        <v>2694.8399938753637</v>
      </c>
      <c r="D44" s="38">
        <v>-1.0141174378723861E-3</v>
      </c>
      <c r="E44" s="37">
        <f>E25/Currency!$A$3</f>
        <v>37.972745368243764</v>
      </c>
      <c r="F44" s="37">
        <f>F25/Currency!$A$3</f>
        <v>3.7054049915786251</v>
      </c>
      <c r="G44" s="37">
        <v>47</v>
      </c>
      <c r="H44" s="37">
        <v>545.19600855310046</v>
      </c>
      <c r="I44" s="26" t="s">
        <v>2</v>
      </c>
    </row>
    <row r="45" spans="1:9" ht="15.75" thickBot="1" x14ac:dyDescent="0.3">
      <c r="A45" s="35" t="s">
        <v>98</v>
      </c>
      <c r="B45" s="37">
        <v>40</v>
      </c>
      <c r="C45" s="37">
        <f>C26/Currency!$A$3</f>
        <v>1898.6372684121882</v>
      </c>
      <c r="D45" s="38">
        <v>-1.8819628140518407E-3</v>
      </c>
      <c r="E45" s="37">
        <f>E26/Currency!$A$3</f>
        <v>34.604195375899558</v>
      </c>
      <c r="F45" s="37">
        <f>F26/Currency!$A$3</f>
        <v>2.9704486296126174</v>
      </c>
      <c r="G45" s="37">
        <v>45</v>
      </c>
      <c r="H45" s="37">
        <v>358</v>
      </c>
      <c r="I45" s="26" t="s">
        <v>2</v>
      </c>
    </row>
    <row r="46" spans="1:9" ht="15.75" thickBot="1" x14ac:dyDescent="0.3">
      <c r="A46" s="35" t="s">
        <v>99</v>
      </c>
      <c r="B46" s="37">
        <v>45</v>
      </c>
      <c r="C46" s="37">
        <f>C27/Currency!$A$3</f>
        <v>2373.2965855152352</v>
      </c>
      <c r="D46" s="38">
        <v>-1.8386031282128235E-3</v>
      </c>
      <c r="E46" s="37">
        <f>E27/Currency!$A$3</f>
        <v>34.604195375899558</v>
      </c>
      <c r="F46" s="37">
        <f>F27/Currency!$A$3</f>
        <v>2.9704486296126174</v>
      </c>
      <c r="G46" s="37">
        <v>49</v>
      </c>
      <c r="H46" s="37">
        <v>358</v>
      </c>
      <c r="I46" s="26" t="s">
        <v>2</v>
      </c>
    </row>
    <row r="47" spans="1:9" ht="15.75" thickBot="1" x14ac:dyDescent="0.3">
      <c r="A47" s="35" t="s">
        <v>100</v>
      </c>
      <c r="B47" s="37">
        <v>40</v>
      </c>
      <c r="C47" s="37">
        <f>C28/Currency!$A$3</f>
        <v>2725.4631756239473</v>
      </c>
      <c r="D47" s="38">
        <v>0</v>
      </c>
      <c r="E47" s="37">
        <f>E28/Currency!$A$3</f>
        <v>48.690858980248052</v>
      </c>
      <c r="F47" s="37">
        <f>F28/Currency!$A$3</f>
        <v>3.5522890828357068</v>
      </c>
      <c r="G47" s="37">
        <v>44</v>
      </c>
      <c r="H47" s="37">
        <v>358</v>
      </c>
      <c r="I47" s="26" t="s">
        <v>2</v>
      </c>
    </row>
    <row r="48" spans="1:9" ht="15.75" thickBot="1" x14ac:dyDescent="0.3">
      <c r="A48" s="35" t="s">
        <v>101</v>
      </c>
      <c r="B48" s="37">
        <v>30</v>
      </c>
      <c r="C48" s="37">
        <f>C29/Currency!$A$3</f>
        <v>918.69545245751033</v>
      </c>
      <c r="D48" s="38">
        <v>0</v>
      </c>
      <c r="E48" s="37">
        <f>E29/Currency!$A$3</f>
        <v>26.642168121267801</v>
      </c>
      <c r="F48" s="37">
        <f>F29/Currency!$A$3</f>
        <v>1.7761445414178534</v>
      </c>
      <c r="G48" s="37">
        <v>44</v>
      </c>
      <c r="H48" s="37">
        <v>205</v>
      </c>
      <c r="I48" s="26" t="s">
        <v>74</v>
      </c>
    </row>
    <row r="49" spans="1:10" ht="15.75" thickBot="1" x14ac:dyDescent="0.3">
      <c r="A49" s="35" t="s">
        <v>102</v>
      </c>
      <c r="B49" s="37">
        <v>30</v>
      </c>
      <c r="C49" s="37">
        <f>C30/Currency!$A$3</f>
        <v>1224.9272699433473</v>
      </c>
      <c r="D49" s="38">
        <v>0</v>
      </c>
      <c r="E49" s="37">
        <f>E30/Currency!$A$3</f>
        <v>26.642168121267801</v>
      </c>
      <c r="F49" s="37">
        <f>F30/Currency!$A$3</f>
        <v>1.7761445414178534</v>
      </c>
      <c r="G49" s="37">
        <v>57.999999999999993</v>
      </c>
      <c r="H49" s="37">
        <v>205</v>
      </c>
      <c r="I49" s="26" t="s">
        <v>73</v>
      </c>
    </row>
    <row r="50" spans="1:10" ht="15.75" thickBot="1" x14ac:dyDescent="0.3">
      <c r="A50" s="35" t="s">
        <v>103</v>
      </c>
      <c r="B50" s="37">
        <v>30</v>
      </c>
      <c r="C50" s="37">
        <f>C31/Currency!$A$3</f>
        <v>1224.9272699433473</v>
      </c>
      <c r="D50" s="38">
        <v>0</v>
      </c>
      <c r="E50" s="37">
        <f>E31/Currency!$A$3</f>
        <v>48.690858980248052</v>
      </c>
      <c r="F50" s="37">
        <f>F31/Currency!$A$3</f>
        <v>1.7761445414178534</v>
      </c>
      <c r="G50" s="37">
        <v>57.999999999999993</v>
      </c>
      <c r="H50" s="37">
        <v>205</v>
      </c>
      <c r="I50" s="26" t="s">
        <v>73</v>
      </c>
    </row>
    <row r="51" spans="1:10" ht="15.75" thickBot="1" x14ac:dyDescent="0.3">
      <c r="A51" s="35" t="s">
        <v>104</v>
      </c>
      <c r="B51" s="37">
        <v>60</v>
      </c>
      <c r="C51" s="37">
        <f>C32/Currency!$A$3</f>
        <v>5649.9770326136886</v>
      </c>
      <c r="D51" s="38">
        <v>0</v>
      </c>
      <c r="E51" s="44">
        <f>E32/Currency!$A$3</f>
        <v>87.888531618435167</v>
      </c>
      <c r="F51" s="37">
        <f>F32/Currency!$A$3</f>
        <v>1.2249272699433471</v>
      </c>
      <c r="G51" s="37">
        <v>36</v>
      </c>
      <c r="H51" s="37">
        <v>0</v>
      </c>
      <c r="I51" s="26" t="s">
        <v>3</v>
      </c>
    </row>
    <row r="52" spans="1:10" ht="15.75" thickBot="1" x14ac:dyDescent="0.3">
      <c r="A52" s="35" t="s">
        <v>105</v>
      </c>
      <c r="B52" s="37">
        <v>20</v>
      </c>
      <c r="C52" s="37">
        <f>C33/Currency!$A$3</f>
        <v>1684.2749961721024</v>
      </c>
      <c r="D52" s="38">
        <v>-4.0823799331761723E-3</v>
      </c>
      <c r="E52" s="37">
        <f>E33/Currency!$A$3</f>
        <v>61.246363497167359</v>
      </c>
      <c r="F52" s="37">
        <f>F33/Currency!$A$3</f>
        <v>0</v>
      </c>
      <c r="G52" s="37">
        <v>100</v>
      </c>
      <c r="H52" s="37">
        <v>0</v>
      </c>
      <c r="I52" s="26" t="s">
        <v>6</v>
      </c>
    </row>
    <row r="53" spans="1:10" ht="15.75" thickBot="1" x14ac:dyDescent="0.3">
      <c r="A53" s="35" t="s">
        <v>106</v>
      </c>
      <c r="B53" s="37">
        <v>20</v>
      </c>
      <c r="C53" s="37">
        <f>C34/Currency!$A$3</f>
        <v>3766.6513550757918</v>
      </c>
      <c r="D53" s="38">
        <v>-1.0711788675244582E-2</v>
      </c>
      <c r="E53" s="37">
        <f>E34/Currency!$A$3</f>
        <v>183.73909049150208</v>
      </c>
      <c r="F53" s="37">
        <f>F34/Currency!$A$3</f>
        <v>0</v>
      </c>
      <c r="G53" s="37">
        <v>100</v>
      </c>
      <c r="H53" s="37">
        <v>0</v>
      </c>
      <c r="I53" s="26"/>
      <c r="J53" t="s">
        <v>135</v>
      </c>
    </row>
    <row r="54" spans="1:10" ht="15.75" thickBot="1" x14ac:dyDescent="0.3">
      <c r="A54" s="35" t="s">
        <v>107</v>
      </c>
      <c r="B54" s="37">
        <v>20</v>
      </c>
      <c r="C54" s="37">
        <f>C35/Currency!$A$3</f>
        <v>1820.5481549532994</v>
      </c>
      <c r="D54" s="38">
        <v>-1.8041235161963209E-2</v>
      </c>
      <c r="E54" s="37">
        <f>E35/Currency!$A$3</f>
        <v>35.216659010871233</v>
      </c>
      <c r="F54" s="37">
        <f>F35/Currency!$A$3</f>
        <v>0</v>
      </c>
      <c r="G54" s="37">
        <v>100</v>
      </c>
      <c r="H54" s="37">
        <v>0</v>
      </c>
      <c r="I54" s="26" t="s">
        <v>21</v>
      </c>
    </row>
    <row r="55" spans="1:10" ht="15.75" thickBot="1" x14ac:dyDescent="0.3">
      <c r="A55" s="35" t="s">
        <v>108</v>
      </c>
      <c r="B55" s="37">
        <v>20</v>
      </c>
      <c r="C55" s="37">
        <f>C36/Currency!$A$3</f>
        <v>2322.7683356300718</v>
      </c>
      <c r="D55" s="38">
        <v>-1.7852377847928036E-2</v>
      </c>
      <c r="E55" s="37">
        <f>E36/Currency!$A$3</f>
        <v>21.436227224008576</v>
      </c>
      <c r="F55" s="37">
        <f>F36/Currency!$A$3</f>
        <v>0</v>
      </c>
      <c r="G55" s="37">
        <v>100</v>
      </c>
      <c r="H55" s="37">
        <v>0</v>
      </c>
      <c r="I55" s="26"/>
      <c r="J55" t="s">
        <v>136</v>
      </c>
    </row>
    <row r="56" spans="1:10" ht="15.75" thickBot="1" x14ac:dyDescent="0.3">
      <c r="A56" s="35" t="s">
        <v>109</v>
      </c>
      <c r="B56" s="37">
        <v>80</v>
      </c>
      <c r="C56" s="37">
        <f>C37/Currency!$A$3</f>
        <v>5512.172714745062</v>
      </c>
      <c r="D56" s="38">
        <v>0</v>
      </c>
      <c r="E56" s="37">
        <f>E37/Currency!$A$3</f>
        <v>199.05068136579391</v>
      </c>
      <c r="F56" s="37">
        <f>F37/Currency!$A$3</f>
        <v>3.5522890828357068</v>
      </c>
      <c r="G56" s="37">
        <v>100</v>
      </c>
      <c r="H56" s="37">
        <v>0</v>
      </c>
      <c r="I56" s="26" t="s">
        <v>5</v>
      </c>
    </row>
    <row r="57" spans="1:10" ht="15.75" thickBot="1" x14ac:dyDescent="0.3">
      <c r="A57" s="35" t="s">
        <v>110</v>
      </c>
      <c r="B57" s="37">
        <v>30</v>
      </c>
      <c r="C57" s="37">
        <f>C38/Currency!$A$3</f>
        <v>4593.4772622875516</v>
      </c>
      <c r="D57" s="38">
        <v>-1.7179401454748944E-2</v>
      </c>
      <c r="E57" s="37">
        <f>E38/Currency!$A$3</f>
        <v>244.98545398866943</v>
      </c>
      <c r="F57" s="37">
        <f>F38/Currency!$A$3</f>
        <v>2.4498545398866942</v>
      </c>
      <c r="G57" s="37">
        <v>48</v>
      </c>
      <c r="H57" s="37">
        <v>0</v>
      </c>
      <c r="I57" s="26"/>
      <c r="J57" t="s">
        <v>137</v>
      </c>
    </row>
    <row r="58" spans="1:10" ht="15.75" thickBot="1" x14ac:dyDescent="0.3">
      <c r="A58" s="39" t="s">
        <v>111</v>
      </c>
      <c r="B58" s="37">
        <v>30</v>
      </c>
      <c r="C58" s="37">
        <f>C39/Currency!$A$3</f>
        <v>3062.3181748583679</v>
      </c>
      <c r="D58" s="38">
        <v>-1.8819628140518407E-3</v>
      </c>
      <c r="E58" s="37">
        <f>E39/Currency!$A$3</f>
        <v>48.690858980248052</v>
      </c>
      <c r="F58" s="37">
        <f>F39/Currency!$A$3</f>
        <v>3.5522890828357068</v>
      </c>
      <c r="G58" s="37">
        <v>36</v>
      </c>
      <c r="H58" s="37">
        <v>0</v>
      </c>
      <c r="I58" s="26" t="s">
        <v>4</v>
      </c>
    </row>
    <row r="60" spans="1:10" x14ac:dyDescent="0.25">
      <c r="A60" t="s">
        <v>140</v>
      </c>
      <c r="B60" s="26"/>
      <c r="C60" s="26"/>
    </row>
    <row r="61" spans="1:10" s="26" customFormat="1" x14ac:dyDescent="0.25">
      <c r="A61" s="26" t="s">
        <v>143</v>
      </c>
      <c r="B61" s="26" t="s">
        <v>144</v>
      </c>
      <c r="C61" s="26" t="s">
        <v>145</v>
      </c>
      <c r="D61" s="26" t="s">
        <v>146</v>
      </c>
      <c r="E61" s="26" t="s">
        <v>147</v>
      </c>
    </row>
    <row r="62" spans="1:10" s="26" customFormat="1" x14ac:dyDescent="0.25">
      <c r="A62" s="26" t="s">
        <v>139</v>
      </c>
      <c r="B62" s="26">
        <v>7825</v>
      </c>
      <c r="C62" s="26">
        <f>Table1[[#This Row],[Capial Cost (2014 USD/kW)]]*Currency!$A$4</f>
        <v>7590.25</v>
      </c>
      <c r="D62" s="26">
        <v>0.03</v>
      </c>
      <c r="E62" s="26">
        <f>Table1[[#This Row],[Variable O&amp;M Cost (2014 USD/kWh)]]*Currency!$A$4</f>
        <v>2.9099999999999997E-2</v>
      </c>
    </row>
    <row r="63" spans="1:10" s="26" customFormat="1" x14ac:dyDescent="0.25">
      <c r="A63" s="26" t="s">
        <v>141</v>
      </c>
      <c r="B63" s="26">
        <v>6772</v>
      </c>
      <c r="C63" s="26">
        <f>Table1[[#This Row],[Capial Cost (2014 USD/kW)]]*Currency!$A$4</f>
        <v>6568.84</v>
      </c>
      <c r="D63" s="26">
        <v>0.03</v>
      </c>
      <c r="E63" s="26">
        <f>Table1[[#This Row],[Variable O&amp;M Cost (2014 USD/kWh)]]*Currency!$A$4</f>
        <v>2.9099999999999997E-2</v>
      </c>
    </row>
    <row r="64" spans="1:10" s="26" customFormat="1" x14ac:dyDescent="0.25">
      <c r="A64" s="26" t="s">
        <v>141</v>
      </c>
      <c r="B64" s="26">
        <v>7983</v>
      </c>
      <c r="C64" s="26">
        <f>Table1[[#This Row],[Capial Cost (2014 USD/kW)]]*Currency!$A$4</f>
        <v>7743.51</v>
      </c>
      <c r="D64" s="26">
        <v>0.03</v>
      </c>
      <c r="E64" s="26">
        <f>Table1[[#This Row],[Variable O&amp;M Cost (2014 USD/kWh)]]*Currency!$A$4</f>
        <v>2.9099999999999997E-2</v>
      </c>
    </row>
    <row r="65" spans="1:7" s="26" customFormat="1" x14ac:dyDescent="0.25">
      <c r="A65" s="26" t="s">
        <v>141</v>
      </c>
      <c r="B65" s="26">
        <v>8025</v>
      </c>
      <c r="C65" s="26">
        <f>Table1[[#This Row],[Capial Cost (2014 USD/kW)]]*Currency!$A$4</f>
        <v>7784.25</v>
      </c>
      <c r="D65" s="26">
        <v>0.03</v>
      </c>
      <c r="E65" s="26">
        <f>Table1[[#This Row],[Variable O&amp;M Cost (2014 USD/kWh)]]*Currency!$A$4</f>
        <v>2.9099999999999997E-2</v>
      </c>
    </row>
    <row r="66" spans="1:7" s="26" customFormat="1" x14ac:dyDescent="0.25">
      <c r="A66" s="26" t="s">
        <v>141</v>
      </c>
      <c r="B66" s="26">
        <v>8299</v>
      </c>
      <c r="C66" s="26">
        <f>Table1[[#This Row],[Capial Cost (2014 USD/kW)]]*Currency!$A$4</f>
        <v>8050.03</v>
      </c>
      <c r="D66" s="26">
        <v>0.03</v>
      </c>
      <c r="E66" s="26">
        <f>Table1[[#This Row],[Variable O&amp;M Cost (2014 USD/kWh)]]*Currency!$A$4</f>
        <v>2.9099999999999997E-2</v>
      </c>
    </row>
    <row r="67" spans="1:7" s="26" customFormat="1" x14ac:dyDescent="0.25"/>
    <row r="68" spans="1:7" s="26" customFormat="1" x14ac:dyDescent="0.25"/>
    <row r="69" spans="1:7" s="26" customFormat="1" x14ac:dyDescent="0.25">
      <c r="A69" s="26" t="s">
        <v>148</v>
      </c>
    </row>
    <row r="70" spans="1:7" s="26" customFormat="1" x14ac:dyDescent="0.25">
      <c r="A70" s="26" t="s">
        <v>129</v>
      </c>
      <c r="B70" s="1" t="s">
        <v>49</v>
      </c>
      <c r="C70" s="1" t="s">
        <v>150</v>
      </c>
      <c r="D70" s="1" t="s">
        <v>48</v>
      </c>
      <c r="E70" s="1" t="s">
        <v>160</v>
      </c>
      <c r="F70" s="1" t="s">
        <v>50</v>
      </c>
      <c r="G70" s="1" t="s">
        <v>161</v>
      </c>
    </row>
    <row r="71" spans="1:7" s="26" customFormat="1" x14ac:dyDescent="0.25">
      <c r="A71" s="26" t="s">
        <v>149</v>
      </c>
      <c r="B71" s="26">
        <v>2448</v>
      </c>
      <c r="C71" s="26">
        <f>Table2[Tot 2014 Capital Cost (2013 $/kW)]*Currency!A5</f>
        <v>2423.52</v>
      </c>
      <c r="D71" s="21">
        <v>0</v>
      </c>
      <c r="E71" s="21">
        <f>Table2[Variable O&amp;M (2013 $/MWh)]</f>
        <v>0</v>
      </c>
      <c r="F71" s="21">
        <v>112.85</v>
      </c>
      <c r="G71" s="21">
        <f>Table2[Fixed O&amp;M (2013 $/kW/yr)]*Currency!A5</f>
        <v>111.72149999999999</v>
      </c>
    </row>
    <row r="72" spans="1:7" s="26" customFormat="1" x14ac:dyDescent="0.25"/>
    <row r="73" spans="1:7" x14ac:dyDescent="0.25">
      <c r="A73" t="s">
        <v>159</v>
      </c>
      <c r="B73" s="28"/>
    </row>
    <row r="74" spans="1:7" x14ac:dyDescent="0.25">
      <c r="A74" t="s">
        <v>154</v>
      </c>
      <c r="B74" t="s">
        <v>152</v>
      </c>
      <c r="C74" s="26" t="s">
        <v>157</v>
      </c>
      <c r="D74" t="s">
        <v>153</v>
      </c>
      <c r="E74" s="26" t="s">
        <v>158</v>
      </c>
    </row>
    <row r="75" spans="1:7" x14ac:dyDescent="0.25">
      <c r="A75" t="s">
        <v>41</v>
      </c>
      <c r="B75">
        <f>AVERAGE(600,900)</f>
        <v>750</v>
      </c>
      <c r="C75" s="26">
        <f>B75/Currency!A7</f>
        <v>1043.4927790299691</v>
      </c>
      <c r="D75">
        <v>0.03</v>
      </c>
      <c r="E75">
        <f>D75/Currency!A7</f>
        <v>4.1739711161198768E-2</v>
      </c>
      <c r="F75" t="s">
        <v>138</v>
      </c>
    </row>
    <row r="76" spans="1:7" s="26" customFormat="1" x14ac:dyDescent="0.25"/>
    <row r="77" spans="1:7" s="26" customFormat="1" x14ac:dyDescent="0.25">
      <c r="A77" s="1" t="s">
        <v>185</v>
      </c>
    </row>
    <row r="78" spans="1:7" s="26" customFormat="1" x14ac:dyDescent="0.25">
      <c r="A78" s="5">
        <f>AVERAGE('Nuclear Fixed O&amp;M Calcs'!H26:J26)</f>
        <v>118.57707509881423</v>
      </c>
    </row>
    <row r="79" spans="1:7" s="26" customFormat="1" x14ac:dyDescent="0.25"/>
    <row r="80" spans="1:7" s="26" customFormat="1" x14ac:dyDescent="0.25"/>
    <row r="81" spans="1:4" s="26" customFormat="1" x14ac:dyDescent="0.25"/>
    <row r="82" spans="1:4" x14ac:dyDescent="0.25">
      <c r="A82" s="40" t="s">
        <v>131</v>
      </c>
      <c r="B82" s="26" t="s">
        <v>132</v>
      </c>
      <c r="C82" s="26" t="s">
        <v>133</v>
      </c>
      <c r="D82" s="26" t="s">
        <v>134</v>
      </c>
    </row>
    <row r="83" spans="1:4" x14ac:dyDescent="0.25">
      <c r="A83" s="2" t="s">
        <v>4</v>
      </c>
      <c r="B83" s="41">
        <v>3062.3181748583679</v>
      </c>
      <c r="C83" s="41">
        <v>3.5522890828357068</v>
      </c>
      <c r="D83" s="41">
        <v>48.690858980248052</v>
      </c>
    </row>
    <row r="84" spans="1:4" x14ac:dyDescent="0.25">
      <c r="A84" s="2" t="s">
        <v>2</v>
      </c>
      <c r="B84" s="41">
        <v>2423.0592558566836</v>
      </c>
      <c r="C84" s="41">
        <v>3.2996478334098915</v>
      </c>
      <c r="D84" s="41">
        <v>38.967998775072729</v>
      </c>
    </row>
    <row r="85" spans="1:4" x14ac:dyDescent="0.25">
      <c r="A85" s="2" t="s">
        <v>5</v>
      </c>
      <c r="B85" s="41">
        <v>5512.172714745062</v>
      </c>
      <c r="C85" s="41">
        <v>3.5522890828357068</v>
      </c>
      <c r="D85" s="41">
        <v>199.05068136579391</v>
      </c>
    </row>
    <row r="86" spans="1:4" x14ac:dyDescent="0.25">
      <c r="A86" s="2" t="s">
        <v>3</v>
      </c>
      <c r="B86" s="41">
        <v>5649.9770326136886</v>
      </c>
      <c r="C86" s="41">
        <v>1.2249272699433471</v>
      </c>
      <c r="D86" s="41">
        <v>87.888531618435167</v>
      </c>
    </row>
    <row r="87" spans="1:4" x14ac:dyDescent="0.25">
      <c r="A87" s="2" t="s">
        <v>21</v>
      </c>
      <c r="B87" s="41">
        <v>1820.5481549532994</v>
      </c>
      <c r="C87" s="41">
        <v>0</v>
      </c>
      <c r="D87" s="41">
        <v>35.216659010871233</v>
      </c>
    </row>
    <row r="88" spans="1:4" x14ac:dyDescent="0.25">
      <c r="A88" s="2" t="s">
        <v>6</v>
      </c>
      <c r="B88" s="41">
        <v>1684.2749961721024</v>
      </c>
      <c r="C88" s="41">
        <v>0</v>
      </c>
      <c r="D88" s="41">
        <v>61.246363497167359</v>
      </c>
    </row>
    <row r="89" spans="1:4" x14ac:dyDescent="0.25">
      <c r="A89" s="2" t="s">
        <v>74</v>
      </c>
      <c r="B89" s="41">
        <v>918.69545245751033</v>
      </c>
      <c r="C89" s="41">
        <v>1.7761445414178534</v>
      </c>
      <c r="D89" s="41">
        <v>26.642168121267801</v>
      </c>
    </row>
    <row r="90" spans="1:4" x14ac:dyDescent="0.25">
      <c r="A90" s="2" t="s">
        <v>73</v>
      </c>
      <c r="B90" s="41">
        <v>1224.9272699433473</v>
      </c>
      <c r="C90" s="41">
        <v>1.7761445414178534</v>
      </c>
      <c r="D90" s="41">
        <v>37.666513550757927</v>
      </c>
    </row>
    <row r="91" spans="1:4" x14ac:dyDescent="0.25">
      <c r="A91" s="2" t="s">
        <v>18</v>
      </c>
      <c r="B91">
        <f>AVERAGE(Table1[Capital Cost (2012 USD/kW)])</f>
        <v>7547.3759999999993</v>
      </c>
      <c r="C91">
        <f>AVERAGE(Table1[Variable O&amp;M Cost (2012 USD/kWh)])*1000</f>
        <v>29.099999999999998</v>
      </c>
      <c r="D91">
        <f>0</f>
        <v>0</v>
      </c>
    </row>
    <row r="92" spans="1:4" x14ac:dyDescent="0.25">
      <c r="A92" s="2" t="s">
        <v>36</v>
      </c>
      <c r="B92">
        <f>Table2[Tot 2014 Capital Cost (2012 $/kW)]</f>
        <v>2423.52</v>
      </c>
      <c r="C92">
        <f>Table2[Variable O&amp;M (2013 $/MWh)]</f>
        <v>0</v>
      </c>
      <c r="D92">
        <f>Table2[Fixed O&amp;M (2012 $/kW/yr)]</f>
        <v>111.72149999999999</v>
      </c>
    </row>
    <row r="93" spans="1:4" x14ac:dyDescent="0.25">
      <c r="A93" s="2" t="s">
        <v>41</v>
      </c>
      <c r="B93">
        <f>Table3[Capital Costs (2012 USD/kW)]</f>
        <v>1043.4927790299691</v>
      </c>
      <c r="C93">
        <f>Table3[Variable O&amp;M (2012 USD/kWh)]*1000</f>
        <v>41.73971116119877</v>
      </c>
      <c r="D93">
        <v>0</v>
      </c>
    </row>
    <row r="95" spans="1:4" x14ac:dyDescent="0.25">
      <c r="A95" s="2" t="s">
        <v>216</v>
      </c>
      <c r="B95">
        <f>SUM(C45:C47)/3</f>
        <v>2332.4656765171235</v>
      </c>
      <c r="C95">
        <f>SUM(F45:F47)/3</f>
        <v>3.1643954473536469</v>
      </c>
      <c r="D95">
        <f>SUM(E45:E47)/3</f>
        <v>39.299749910682387</v>
      </c>
    </row>
    <row r="96" spans="1:4" s="26" customFormat="1" x14ac:dyDescent="0.25">
      <c r="A96" s="2" t="s">
        <v>71</v>
      </c>
      <c r="B96" s="5">
        <f>C44</f>
        <v>2694.8399938753637</v>
      </c>
      <c r="C96" s="5">
        <f>F44</f>
        <v>3.7054049915786251</v>
      </c>
      <c r="D96" s="5">
        <f>E44</f>
        <v>37.972745368243764</v>
      </c>
    </row>
    <row r="97" spans="1:4" s="26" customFormat="1" x14ac:dyDescent="0.25">
      <c r="A97" s="2" t="s">
        <v>217</v>
      </c>
      <c r="B97" s="5">
        <f>C53</f>
        <v>3766.6513550757918</v>
      </c>
      <c r="C97" s="5">
        <f>F53</f>
        <v>0</v>
      </c>
      <c r="D97" s="5">
        <f>E53</f>
        <v>183.73909049150208</v>
      </c>
    </row>
    <row r="98" spans="1:4" s="26" customFormat="1" x14ac:dyDescent="0.25"/>
    <row r="99" spans="1:4" s="26" customFormat="1" x14ac:dyDescent="0.25"/>
    <row r="100" spans="1:4" s="26" customFormat="1" x14ac:dyDescent="0.25"/>
    <row r="101" spans="1:4" s="26" customFormat="1" x14ac:dyDescent="0.25"/>
    <row r="102" spans="1:4" s="26" customFormat="1" x14ac:dyDescent="0.25"/>
    <row r="103" spans="1:4" s="26" customFormat="1" x14ac:dyDescent="0.25"/>
    <row r="104" spans="1:4" s="26" customFormat="1" x14ac:dyDescent="0.25"/>
    <row r="105" spans="1:4" s="26" customFormat="1" x14ac:dyDescent="0.25"/>
    <row r="106" spans="1:4" s="26" customFormat="1" x14ac:dyDescent="0.25"/>
    <row r="107" spans="1:4" s="26" customFormat="1" x14ac:dyDescent="0.25"/>
    <row r="108" spans="1:4" s="26" customFormat="1" x14ac:dyDescent="0.25"/>
    <row r="109" spans="1:4" s="26" customFormat="1" x14ac:dyDescent="0.25"/>
    <row r="110" spans="1:4" s="26" customFormat="1" x14ac:dyDescent="0.25"/>
    <row r="111" spans="1:4" s="26" customFormat="1" x14ac:dyDescent="0.25"/>
    <row r="116" spans="1:14" s="26" customFormat="1" x14ac:dyDescent="0.25">
      <c r="B116" s="28" t="s">
        <v>75</v>
      </c>
      <c r="C116" s="26" t="s">
        <v>76</v>
      </c>
    </row>
    <row r="117" spans="1:14" x14ac:dyDescent="0.25">
      <c r="A117" t="s">
        <v>71</v>
      </c>
      <c r="B117">
        <v>1600</v>
      </c>
      <c r="C117" t="s">
        <v>2</v>
      </c>
    </row>
    <row r="118" spans="1:14" x14ac:dyDescent="0.25">
      <c r="A118" t="s">
        <v>72</v>
      </c>
      <c r="B118">
        <v>1400</v>
      </c>
      <c r="C118" t="s">
        <v>2</v>
      </c>
      <c r="I118" s="27" t="s">
        <v>60</v>
      </c>
    </row>
    <row r="119" spans="1:14" x14ac:dyDescent="0.25">
      <c r="A119" t="s">
        <v>73</v>
      </c>
      <c r="B119">
        <v>700</v>
      </c>
      <c r="C119" t="s">
        <v>73</v>
      </c>
      <c r="I119" s="27" t="s">
        <v>61</v>
      </c>
    </row>
    <row r="120" spans="1:14" x14ac:dyDescent="0.25">
      <c r="A120" t="s">
        <v>74</v>
      </c>
      <c r="B120">
        <v>400</v>
      </c>
      <c r="C120" t="s">
        <v>74</v>
      </c>
      <c r="I120" s="27" t="s">
        <v>62</v>
      </c>
      <c r="N120" s="3" t="s">
        <v>78</v>
      </c>
    </row>
    <row r="121" spans="1:14" x14ac:dyDescent="0.25">
      <c r="A121" t="s">
        <v>0</v>
      </c>
      <c r="B121">
        <v>1000</v>
      </c>
      <c r="C121" t="s">
        <v>6</v>
      </c>
      <c r="I121" s="27" t="s">
        <v>63</v>
      </c>
    </row>
    <row r="122" spans="1:14" x14ac:dyDescent="0.25">
      <c r="A122" t="s">
        <v>51</v>
      </c>
      <c r="B122">
        <v>2400</v>
      </c>
      <c r="C122" t="s">
        <v>6</v>
      </c>
      <c r="I122" s="27" t="s">
        <v>64</v>
      </c>
    </row>
    <row r="123" spans="1:14" x14ac:dyDescent="0.25">
      <c r="A123" t="s">
        <v>21</v>
      </c>
      <c r="B123">
        <v>1400</v>
      </c>
      <c r="C123" t="s">
        <v>21</v>
      </c>
      <c r="I123" s="27" t="s">
        <v>65</v>
      </c>
    </row>
    <row r="124" spans="1:14" x14ac:dyDescent="0.25">
      <c r="A124" t="s">
        <v>18</v>
      </c>
      <c r="B124">
        <v>5000</v>
      </c>
      <c r="C124" t="s">
        <v>18</v>
      </c>
      <c r="I124" s="27" t="s">
        <v>66</v>
      </c>
    </row>
    <row r="125" spans="1:14" x14ac:dyDescent="0.25">
      <c r="A125" t="s">
        <v>36</v>
      </c>
      <c r="B125">
        <v>9000</v>
      </c>
      <c r="C125" t="s">
        <v>36</v>
      </c>
      <c r="I125" s="27" t="s">
        <v>67</v>
      </c>
    </row>
    <row r="126" spans="1:14" x14ac:dyDescent="0.25">
      <c r="A126" t="s">
        <v>41</v>
      </c>
      <c r="C126" t="s">
        <v>41</v>
      </c>
      <c r="I126" s="27" t="s">
        <v>68</v>
      </c>
    </row>
    <row r="127" spans="1:14" x14ac:dyDescent="0.25">
      <c r="I127" s="27" t="s">
        <v>69</v>
      </c>
    </row>
    <row r="128" spans="1:14" x14ac:dyDescent="0.25">
      <c r="I128" s="27" t="s">
        <v>70</v>
      </c>
    </row>
    <row r="129" spans="1:14" x14ac:dyDescent="0.25">
      <c r="A129" s="6" t="s">
        <v>2</v>
      </c>
      <c r="C129">
        <f>AVERAGE(1952, 2102)</f>
        <v>2027</v>
      </c>
      <c r="D129" t="s">
        <v>80</v>
      </c>
    </row>
    <row r="130" spans="1:14" x14ac:dyDescent="0.25">
      <c r="A130" s="1" t="s">
        <v>73</v>
      </c>
      <c r="C130" s="26">
        <v>1201</v>
      </c>
      <c r="D130" t="s">
        <v>80</v>
      </c>
      <c r="N130" t="s">
        <v>79</v>
      </c>
    </row>
    <row r="131" spans="1:14" x14ac:dyDescent="0.25">
      <c r="A131" s="6" t="s">
        <v>3</v>
      </c>
      <c r="C131" s="26">
        <v>4724</v>
      </c>
      <c r="D131" t="s">
        <v>81</v>
      </c>
    </row>
    <row r="132" spans="1:14" x14ac:dyDescent="0.25">
      <c r="A132" s="10" t="s">
        <v>5</v>
      </c>
      <c r="C132" s="26">
        <v>3603</v>
      </c>
      <c r="D132" t="s">
        <v>81</v>
      </c>
    </row>
    <row r="133" spans="1:14" x14ac:dyDescent="0.25">
      <c r="A133" s="6" t="s">
        <v>6</v>
      </c>
      <c r="B133" s="26"/>
    </row>
    <row r="134" spans="1:14" x14ac:dyDescent="0.25">
      <c r="A134" s="6" t="s">
        <v>21</v>
      </c>
      <c r="B134" s="26"/>
    </row>
    <row r="135" spans="1:14" x14ac:dyDescent="0.25">
      <c r="A135" s="6" t="s">
        <v>18</v>
      </c>
      <c r="B135" s="26"/>
    </row>
    <row r="136" spans="1:14" x14ac:dyDescent="0.25">
      <c r="A136" s="6" t="s">
        <v>4</v>
      </c>
      <c r="B136" s="26"/>
    </row>
    <row r="137" spans="1:14" x14ac:dyDescent="0.25">
      <c r="A137" s="6" t="s">
        <v>36</v>
      </c>
      <c r="B137" s="26"/>
    </row>
    <row r="138" spans="1:14" x14ac:dyDescent="0.25">
      <c r="A138" s="6" t="s">
        <v>41</v>
      </c>
      <c r="B138" s="26"/>
    </row>
    <row r="139" spans="1:14" x14ac:dyDescent="0.25">
      <c r="A139" s="1" t="s">
        <v>74</v>
      </c>
      <c r="B139" s="26"/>
    </row>
  </sheetData>
  <hyperlinks>
    <hyperlink ref="N120" r:id="rId2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50"/>
  <sheetViews>
    <sheetView workbookViewId="0"/>
  </sheetViews>
  <sheetFormatPr defaultRowHeight="15" x14ac:dyDescent="0.25"/>
  <cols>
    <col min="2" max="2" width="17.28515625" customWidth="1"/>
    <col min="3" max="3" width="31" customWidth="1"/>
    <col min="4" max="7" width="17.28515625" customWidth="1"/>
    <col min="8" max="8" width="22.5703125" customWidth="1"/>
    <col min="9" max="9" width="17.28515625" customWidth="1"/>
    <col min="10" max="10" width="22.42578125" customWidth="1"/>
    <col min="11" max="11" width="20.7109375" customWidth="1"/>
    <col min="12" max="12" width="28.28515625" customWidth="1"/>
    <col min="13" max="13" width="13.85546875" bestFit="1" customWidth="1"/>
    <col min="14" max="14" width="20.28515625" bestFit="1" customWidth="1"/>
  </cols>
  <sheetData>
    <row r="1" spans="1:14" x14ac:dyDescent="0.25">
      <c r="A1" s="18" t="s">
        <v>8</v>
      </c>
      <c r="B1" s="18" t="s">
        <v>13</v>
      </c>
      <c r="C1" s="18" t="s">
        <v>44</v>
      </c>
      <c r="D1" s="18" t="s">
        <v>14</v>
      </c>
      <c r="E1" s="18" t="s">
        <v>15</v>
      </c>
      <c r="F1" s="18" t="s">
        <v>16</v>
      </c>
      <c r="G1" s="18" t="s">
        <v>19</v>
      </c>
      <c r="H1" s="18" t="s">
        <v>20</v>
      </c>
      <c r="I1" s="18" t="s">
        <v>17</v>
      </c>
      <c r="J1" s="18" t="s">
        <v>45</v>
      </c>
      <c r="K1" s="18" t="s">
        <v>46</v>
      </c>
      <c r="L1" s="18" t="s">
        <v>47</v>
      </c>
      <c r="M1" s="18" t="s">
        <v>220</v>
      </c>
      <c r="N1" s="18" t="s">
        <v>221</v>
      </c>
    </row>
    <row r="2" spans="1:14" x14ac:dyDescent="0.25">
      <c r="A2" s="1">
        <v>2015</v>
      </c>
      <c r="B2" s="5">
        <f>'Poland Capital Costs'!$B$95*'Cost Improvement'!B19*1000</f>
        <v>2326947.2012436921</v>
      </c>
      <c r="C2" s="5">
        <f>GETPIVOTDATA("Average of Capital Cost",'Poland Capital Costs'!$A$82,"Model Energy Source","Natural Gas Nonpeaker")*'Cost Improvement'!C19*1000</f>
        <v>1224927.2699433472</v>
      </c>
      <c r="D2" s="5">
        <f>GETPIVOTDATA("Average of Capital Cost",'Poland Capital Costs'!$A$82,"Model Energy Source","Nuclear")*'Cost Improvement'!D19*1000</f>
        <v>5649977.0326136881</v>
      </c>
      <c r="E2" s="5">
        <f>GETPIVOTDATA("Average of Capital Cost",'Poland Capital Costs'!$A$82,"Model Energy Source","Hydro")*'Cost Improvement'!E19*1000</f>
        <v>5512172.7147450624</v>
      </c>
      <c r="F2" s="25">
        <f>GETPIVOTDATA("Average of Capital Cost",'Poland Capital Costs'!$A$82,"Model Energy Source","Wind")*'Cost Improvement'!F19*1000</f>
        <v>1670551.3651133412</v>
      </c>
      <c r="G2" s="25">
        <f>GETPIVOTDATA("Average of Capital Cost",'Poland Capital Costs'!$A$82,"Model Energy Source","Solar PV")*'Cost Improvement'!G19*1000</f>
        <v>1755450.8434182003</v>
      </c>
      <c r="H2" s="5">
        <f>'Poland Capital Costs'!$B$91*'Cost Improvement'!H19*1000</f>
        <v>7516564.7436694633</v>
      </c>
      <c r="I2" s="5">
        <f>GETPIVOTDATA("Average of Capital Cost",'Poland Capital Costs'!$A$82,"Model Energy Source","Biomass")*'Cost Improvement'!I19*1000</f>
        <v>3050802.683068228</v>
      </c>
      <c r="J2" s="5">
        <f>'Poland Capital Costs'!$B$92*'Cost Improvement'!J19*1000</f>
        <v>2423520</v>
      </c>
      <c r="K2" s="5">
        <f>'Poland Capital Costs'!$B$93*1000*'Cost Improvement'!K19</f>
        <v>1043492.7790299691</v>
      </c>
      <c r="L2" s="5">
        <f>GETPIVOTDATA("Average of Capital Cost",'Poland Capital Costs'!$A$82,"Model Energy Source","Natural Gas Peaker")*1000*'Cost Improvement'!L19</f>
        <v>918695.45245751028</v>
      </c>
      <c r="M2" s="5">
        <f>'Poland Capital Costs'!$B$96*'Cost Improvement'!B19*1000</f>
        <v>2688464.1624872414</v>
      </c>
      <c r="N2" s="25">
        <f>'Poland Capital Costs'!$B$97*'Cost Improvement'!F19*1000</f>
        <v>3735960.3256171076</v>
      </c>
    </row>
    <row r="3" spans="1:14" x14ac:dyDescent="0.25">
      <c r="A3" s="1">
        <v>2016</v>
      </c>
      <c r="B3" s="5">
        <f>'Poland Capital Costs'!$B$95*'Cost Improvement'!B20*1000</f>
        <v>2324192.8616836462</v>
      </c>
      <c r="C3" s="5">
        <f>GETPIVOTDATA("Average of Capital Cost",'Poland Capital Costs'!$A$82,"Model Energy Source","Natural Gas Nonpeaker")*'Cost Improvement'!C20*1000</f>
        <v>1224927.2699433472</v>
      </c>
      <c r="D3" s="5">
        <f>GETPIVOTDATA("Average of Capital Cost",'Poland Capital Costs'!$A$82,"Model Energy Source","Nuclear")*'Cost Improvement'!D20*1000</f>
        <v>5649977.0326136881</v>
      </c>
      <c r="E3" s="5">
        <f>GETPIVOTDATA("Average of Capital Cost",'Poland Capital Costs'!$A$82,"Model Energy Source","Hydro")*'Cost Improvement'!E20*1000</f>
        <v>5512172.7147450624</v>
      </c>
      <c r="F3" s="5">
        <v>0</v>
      </c>
      <c r="G3" s="5">
        <v>0</v>
      </c>
      <c r="H3" s="5">
        <f>'Poland Capital Costs'!$B$91*'Cost Improvement'!H20*1000</f>
        <v>7485879.2705934877</v>
      </c>
      <c r="I3" s="5">
        <f>GETPIVOTDATA("Average of Capital Cost",'Poland Capital Costs'!$A$82,"Model Energy Source","Biomass")*'Cost Improvement'!I20*1000</f>
        <v>3045061.1858656839</v>
      </c>
      <c r="J3" s="5">
        <f>'Poland Capital Costs'!$B$92*'Cost Improvement'!J20*1000</f>
        <v>2423520</v>
      </c>
      <c r="K3" s="5">
        <f>'Poland Capital Costs'!$B$93*1000*'Cost Improvement'!K20</f>
        <v>1043492.7790299691</v>
      </c>
      <c r="L3" s="5">
        <f>GETPIVOTDATA("Average of Capital Cost",'Poland Capital Costs'!$A$82,"Model Energy Source","Natural Gas Peaker")*1000*'Cost Improvement'!L20</f>
        <v>918695.45245751028</v>
      </c>
      <c r="M3" s="5">
        <f>'Poland Capital Costs'!$B$96*'Cost Improvement'!B20*1000</f>
        <v>2685281.9058401859</v>
      </c>
      <c r="N3">
        <v>0</v>
      </c>
    </row>
    <row r="4" spans="1:14" x14ac:dyDescent="0.25">
      <c r="A4" s="1">
        <v>2017</v>
      </c>
      <c r="B4" s="5">
        <f>'Poland Capital Costs'!$B$95*'Cost Improvement'!B21*1000</f>
        <v>2321441.7823550343</v>
      </c>
      <c r="C4" s="5">
        <f>GETPIVOTDATA("Average of Capital Cost",'Poland Capital Costs'!$A$82,"Model Energy Source","Natural Gas Nonpeaker")*'Cost Improvement'!C21*1000</f>
        <v>1224927.2699433472</v>
      </c>
      <c r="D4" s="5">
        <f>GETPIVOTDATA("Average of Capital Cost",'Poland Capital Costs'!$A$82,"Model Energy Source","Nuclear")*'Cost Improvement'!D21*1000</f>
        <v>5649977.0326136881</v>
      </c>
      <c r="E4" s="5">
        <f>GETPIVOTDATA("Average of Capital Cost",'Poland Capital Costs'!$A$82,"Model Energy Source","Hydro")*'Cost Improvement'!E21*1000</f>
        <v>5512172.7147450624</v>
      </c>
      <c r="F4" s="5">
        <v>0</v>
      </c>
      <c r="G4" s="5">
        <v>0</v>
      </c>
      <c r="H4" s="5">
        <f>'Poland Capital Costs'!$B$91*'Cost Improvement'!H21*1000</f>
        <v>7455319.0672770366</v>
      </c>
      <c r="I4" s="5">
        <f>GETPIVOTDATA("Average of Capital Cost",'Poland Capital Costs'!$A$82,"Model Energy Source","Biomass")*'Cost Improvement'!I21*1000</f>
        <v>3039330.4939473723</v>
      </c>
      <c r="J4" s="5">
        <f>'Poland Capital Costs'!$B$92*'Cost Improvement'!J21*1000</f>
        <v>2423520</v>
      </c>
      <c r="K4" s="5">
        <f>'Poland Capital Costs'!$B$93*1000*'Cost Improvement'!K21</f>
        <v>1043492.7790299691</v>
      </c>
      <c r="L4" s="5">
        <f>GETPIVOTDATA("Average of Capital Cost",'Poland Capital Costs'!$A$82,"Model Energy Source","Natural Gas Peaker")*1000*'Cost Improvement'!L21</f>
        <v>918695.45245751028</v>
      </c>
      <c r="M4" s="5">
        <f>'Poland Capital Costs'!$B$96*'Cost Improvement'!B21*1000</f>
        <v>2682103.4159375448</v>
      </c>
      <c r="N4">
        <v>0</v>
      </c>
    </row>
    <row r="5" spans="1:14" x14ac:dyDescent="0.25">
      <c r="A5" s="1">
        <v>2018</v>
      </c>
      <c r="B5" s="5">
        <f>'Poland Capital Costs'!$B$95*'Cost Improvement'!B22*1000</f>
        <v>2318693.9593988163</v>
      </c>
      <c r="C5" s="5">
        <f>GETPIVOTDATA("Average of Capital Cost",'Poland Capital Costs'!$A$82,"Model Energy Source","Natural Gas Nonpeaker")*'Cost Improvement'!C22*1000</f>
        <v>1224927.2699433472</v>
      </c>
      <c r="D5" s="5">
        <f>GETPIVOTDATA("Average of Capital Cost",'Poland Capital Costs'!$A$82,"Model Energy Source","Nuclear")*'Cost Improvement'!D22*1000</f>
        <v>5649977.0326136881</v>
      </c>
      <c r="E5" s="5">
        <f>GETPIVOTDATA("Average of Capital Cost",'Poland Capital Costs'!$A$82,"Model Energy Source","Hydro")*'Cost Improvement'!E22*1000</f>
        <v>5512172.7147450624</v>
      </c>
      <c r="F5" s="5">
        <v>0</v>
      </c>
      <c r="G5" s="5">
        <v>0</v>
      </c>
      <c r="H5" s="5">
        <f>'Poland Capital Costs'!$B$91*'Cost Improvement'!H22*1000</f>
        <v>7424883.6223213598</v>
      </c>
      <c r="I5" s="5">
        <f>GETPIVOTDATA("Average of Capital Cost",'Poland Capital Costs'!$A$82,"Model Energy Source","Biomass")*'Cost Improvement'!I22*1000</f>
        <v>3033610.5869781496</v>
      </c>
      <c r="J5" s="5">
        <f>'Poland Capital Costs'!$B$92*'Cost Improvement'!J22*1000</f>
        <v>2423520</v>
      </c>
      <c r="K5" s="5">
        <f>'Poland Capital Costs'!$B$93*1000*'Cost Improvement'!K22</f>
        <v>1043492.7790299691</v>
      </c>
      <c r="L5" s="5">
        <f>GETPIVOTDATA("Average of Capital Cost",'Poland Capital Costs'!$A$82,"Model Energy Source","Natural Gas Peaker")*1000*'Cost Improvement'!L22</f>
        <v>918695.45245751028</v>
      </c>
      <c r="M5" s="5">
        <f>'Poland Capital Costs'!$B$96*'Cost Improvement'!B22*1000</f>
        <v>2678928.6883207331</v>
      </c>
      <c r="N5" s="26">
        <v>0</v>
      </c>
    </row>
    <row r="6" spans="1:14" x14ac:dyDescent="0.25">
      <c r="A6" s="1">
        <v>2019</v>
      </c>
      <c r="B6" s="5">
        <f>'Poland Capital Costs'!$B$95*'Cost Improvement'!B23*1000</f>
        <v>2315949.3889605189</v>
      </c>
      <c r="C6" s="5">
        <f>GETPIVOTDATA("Average of Capital Cost",'Poland Capital Costs'!$A$82,"Model Energy Source","Natural Gas Nonpeaker")*'Cost Improvement'!C23*1000</f>
        <v>1224927.2699433472</v>
      </c>
      <c r="D6" s="5">
        <f>GETPIVOTDATA("Average of Capital Cost",'Poland Capital Costs'!$A$82,"Model Energy Source","Nuclear")*'Cost Improvement'!D23*1000</f>
        <v>5649977.0326136881</v>
      </c>
      <c r="E6" s="5">
        <f>GETPIVOTDATA("Average of Capital Cost",'Poland Capital Costs'!$A$82,"Model Energy Source","Hydro")*'Cost Improvement'!E23*1000</f>
        <v>5512172.7147450624</v>
      </c>
      <c r="F6" s="5">
        <v>0</v>
      </c>
      <c r="G6" s="5">
        <v>0</v>
      </c>
      <c r="H6" s="5">
        <f>'Poland Capital Costs'!$B$91*'Cost Improvement'!H23*1000</f>
        <v>7394572.4264154267</v>
      </c>
      <c r="I6" s="5">
        <f>GETPIVOTDATA("Average of Capital Cost",'Poland Capital Costs'!$A$82,"Model Energy Source","Biomass")*'Cost Improvement'!I23*1000</f>
        <v>3027901.4446611428</v>
      </c>
      <c r="J6" s="5">
        <f>'Poland Capital Costs'!$B$92*'Cost Improvement'!J23*1000</f>
        <v>2423520</v>
      </c>
      <c r="K6" s="5">
        <f>'Poland Capital Costs'!$B$93*1000*'Cost Improvement'!K23</f>
        <v>1043492.7790299691</v>
      </c>
      <c r="L6" s="5">
        <f>GETPIVOTDATA("Average of Capital Cost",'Poland Capital Costs'!$A$82,"Model Energy Source","Natural Gas Peaker")*1000*'Cost Improvement'!L23</f>
        <v>918695.45245751028</v>
      </c>
      <c r="M6" s="5">
        <f>'Poland Capital Costs'!$B$96*'Cost Improvement'!B23*1000</f>
        <v>2675757.7185364417</v>
      </c>
      <c r="N6" s="26">
        <v>0</v>
      </c>
    </row>
    <row r="7" spans="1:14" x14ac:dyDescent="0.25">
      <c r="A7" s="1">
        <v>2020</v>
      </c>
      <c r="B7" s="5">
        <f>'Poland Capital Costs'!$B$95*'Cost Improvement'!B24*1000</f>
        <v>2313208.0671902313</v>
      </c>
      <c r="C7" s="5">
        <f>GETPIVOTDATA("Average of Capital Cost",'Poland Capital Costs'!$A$82,"Model Energy Source","Natural Gas Nonpeaker")*'Cost Improvement'!C24*1000</f>
        <v>1224927.2699433472</v>
      </c>
      <c r="D7" s="5">
        <f>GETPIVOTDATA("Average of Capital Cost",'Poland Capital Costs'!$A$82,"Model Energy Source","Nuclear")*'Cost Improvement'!D24*1000</f>
        <v>5649977.0326136881</v>
      </c>
      <c r="E7" s="5">
        <f>GETPIVOTDATA("Average of Capital Cost",'Poland Capital Costs'!$A$82,"Model Energy Source","Hydro")*'Cost Improvement'!E24*1000</f>
        <v>5512172.7147450624</v>
      </c>
      <c r="F7" s="5">
        <v>0</v>
      </c>
      <c r="G7" s="5">
        <v>0</v>
      </c>
      <c r="H7" s="5">
        <f>'Poland Capital Costs'!$B$91*'Cost Improvement'!H24*1000</f>
        <v>7364384.9723274102</v>
      </c>
      <c r="I7" s="5">
        <f>GETPIVOTDATA("Average of Capital Cost",'Poland Capital Costs'!$A$82,"Model Energy Source","Biomass")*'Cost Improvement'!I24*1000</f>
        <v>3022203.0467376765</v>
      </c>
      <c r="J7" s="5">
        <f>'Poland Capital Costs'!$B$92*'Cost Improvement'!J24*1000</f>
        <v>2423520</v>
      </c>
      <c r="K7" s="5">
        <f>'Poland Capital Costs'!$B$93*1000*'Cost Improvement'!K24</f>
        <v>1043492.7790299691</v>
      </c>
      <c r="L7" s="5">
        <f>GETPIVOTDATA("Average of Capital Cost",'Poland Capital Costs'!$A$82,"Model Energy Source","Natural Gas Peaker")*1000*'Cost Improvement'!L24</f>
        <v>918695.45245751028</v>
      </c>
      <c r="M7" s="5">
        <f>'Poland Capital Costs'!$B$96*'Cost Improvement'!B24*1000</f>
        <v>2672590.5021366347</v>
      </c>
      <c r="N7" s="26">
        <v>0</v>
      </c>
    </row>
    <row r="8" spans="1:14" x14ac:dyDescent="0.25">
      <c r="A8" s="1">
        <v>2021</v>
      </c>
      <c r="B8" s="5">
        <f>'Poland Capital Costs'!$B$95*'Cost Improvement'!B25*1000</f>
        <v>2310469.9902426</v>
      </c>
      <c r="C8" s="5">
        <f>GETPIVOTDATA("Average of Capital Cost",'Poland Capital Costs'!$A$82,"Model Energy Source","Natural Gas Nonpeaker")*'Cost Improvement'!C25*1000</f>
        <v>1224927.2699433472</v>
      </c>
      <c r="D8" s="5">
        <f>GETPIVOTDATA("Average of Capital Cost",'Poland Capital Costs'!$A$82,"Model Energy Source","Nuclear")*'Cost Improvement'!D25*1000</f>
        <v>5649977.0326136881</v>
      </c>
      <c r="E8" s="5">
        <f>GETPIVOTDATA("Average of Capital Cost",'Poland Capital Costs'!$A$82,"Model Energy Source","Hydro")*'Cost Improvement'!E25*1000</f>
        <v>5512172.7147450624</v>
      </c>
      <c r="F8" s="5">
        <v>0</v>
      </c>
      <c r="G8" s="5">
        <v>0</v>
      </c>
      <c r="H8" s="5">
        <f>'Poland Capital Costs'!$B$91*'Cost Improvement'!H25*1000</f>
        <v>7334320.7548961975</v>
      </c>
      <c r="I8" s="5">
        <f>GETPIVOTDATA("Average of Capital Cost",'Poland Capital Costs'!$A$82,"Model Energy Source","Biomass")*'Cost Improvement'!I25*1000</f>
        <v>3016515.3729872024</v>
      </c>
      <c r="J8" s="5">
        <f>'Poland Capital Costs'!$B$92*'Cost Improvement'!J25*1000</f>
        <v>2423520</v>
      </c>
      <c r="K8" s="5">
        <f>'Poland Capital Costs'!$B$93*1000*'Cost Improvement'!K25</f>
        <v>1043492.7790299691</v>
      </c>
      <c r="L8" s="5">
        <f>GETPIVOTDATA("Average of Capital Cost",'Poland Capital Costs'!$A$82,"Model Energy Source","Natural Gas Peaker")*1000*'Cost Improvement'!L25</f>
        <v>918695.45245751028</v>
      </c>
      <c r="M8" s="5">
        <f>'Poland Capital Costs'!$B$96*'Cost Improvement'!B25*1000</f>
        <v>2669427.0346785402</v>
      </c>
      <c r="N8" s="26">
        <v>0</v>
      </c>
    </row>
    <row r="9" spans="1:14" x14ac:dyDescent="0.25">
      <c r="A9" s="1">
        <v>2022</v>
      </c>
      <c r="B9" s="5">
        <f>'Poland Capital Costs'!$B$95*'Cost Improvement'!B26*1000</f>
        <v>2307735.1542768232</v>
      </c>
      <c r="C9" s="5">
        <f>GETPIVOTDATA("Average of Capital Cost",'Poland Capital Costs'!$A$82,"Model Energy Source","Natural Gas Nonpeaker")*'Cost Improvement'!C26*1000</f>
        <v>1224927.2699433472</v>
      </c>
      <c r="D9" s="5">
        <f>GETPIVOTDATA("Average of Capital Cost",'Poland Capital Costs'!$A$82,"Model Energy Source","Nuclear")*'Cost Improvement'!D26*1000</f>
        <v>5649977.0326136881</v>
      </c>
      <c r="E9" s="5">
        <f>GETPIVOTDATA("Average of Capital Cost",'Poland Capital Costs'!$A$82,"Model Energy Source","Hydro")*'Cost Improvement'!E26*1000</f>
        <v>5512172.7147450624</v>
      </c>
      <c r="F9" s="5">
        <v>0</v>
      </c>
      <c r="G9" s="5">
        <v>0</v>
      </c>
      <c r="H9" s="5">
        <f>'Poland Capital Costs'!$B$91*'Cost Improvement'!H26*1000</f>
        <v>7304379.2710229307</v>
      </c>
      <c r="I9" s="5">
        <f>GETPIVOTDATA("Average of Capital Cost",'Poland Capital Costs'!$A$82,"Model Energy Source","Biomass")*'Cost Improvement'!I26*1000</f>
        <v>3010838.4032272249</v>
      </c>
      <c r="J9" s="5">
        <f>'Poland Capital Costs'!$B$92*'Cost Improvement'!J26*1000</f>
        <v>2423520</v>
      </c>
      <c r="K9" s="5">
        <f>'Poland Capital Costs'!$B$93*1000*'Cost Improvement'!K26</f>
        <v>1043492.7790299691</v>
      </c>
      <c r="L9" s="5">
        <f>GETPIVOTDATA("Average of Capital Cost",'Poland Capital Costs'!$A$82,"Model Energy Source","Natural Gas Peaker")*1000*'Cost Improvement'!L26</f>
        <v>918695.45245751028</v>
      </c>
      <c r="M9" s="5">
        <f>'Poland Capital Costs'!$B$96*'Cost Improvement'!B26*1000</f>
        <v>2666267.3117246451</v>
      </c>
      <c r="N9" s="26">
        <v>0</v>
      </c>
    </row>
    <row r="10" spans="1:14" x14ac:dyDescent="0.25">
      <c r="A10" s="1">
        <v>2023</v>
      </c>
      <c r="B10" s="5">
        <f>'Poland Capital Costs'!$B$95*'Cost Improvement'!B27*1000</f>
        <v>2305003.5554566453</v>
      </c>
      <c r="C10" s="5">
        <f>GETPIVOTDATA("Average of Capital Cost",'Poland Capital Costs'!$A$82,"Model Energy Source","Natural Gas Nonpeaker")*'Cost Improvement'!C27*1000</f>
        <v>1224927.2699433472</v>
      </c>
      <c r="D10" s="5">
        <f>GETPIVOTDATA("Average of Capital Cost",'Poland Capital Costs'!$A$82,"Model Energy Source","Nuclear")*'Cost Improvement'!D27*1000</f>
        <v>5649977.0326136881</v>
      </c>
      <c r="E10" s="5">
        <f>GETPIVOTDATA("Average of Capital Cost",'Poland Capital Costs'!$A$82,"Model Energy Source","Hydro")*'Cost Improvement'!E27*1000</f>
        <v>5512172.7147450624</v>
      </c>
      <c r="F10" s="5">
        <v>0</v>
      </c>
      <c r="G10" s="5">
        <v>0</v>
      </c>
      <c r="H10" s="5">
        <f>'Poland Capital Costs'!$B$91*'Cost Improvement'!H27*1000</f>
        <v>7274560.0196625991</v>
      </c>
      <c r="I10" s="5">
        <f>GETPIVOTDATA("Average of Capital Cost",'Poland Capital Costs'!$A$82,"Model Energy Source","Biomass")*'Cost Improvement'!I27*1000</f>
        <v>3005172.1173132318</v>
      </c>
      <c r="J10" s="5">
        <f>'Poland Capital Costs'!$B$92*'Cost Improvement'!J27*1000</f>
        <v>2423520</v>
      </c>
      <c r="K10" s="5">
        <f>'Poland Capital Costs'!$B$93*1000*'Cost Improvement'!K27</f>
        <v>1043492.7790299691</v>
      </c>
      <c r="L10" s="5">
        <f>GETPIVOTDATA("Average of Capital Cost",'Poland Capital Costs'!$A$82,"Model Energy Source","Natural Gas Peaker")*1000*'Cost Improvement'!L27</f>
        <v>918695.45245751028</v>
      </c>
      <c r="M10" s="5">
        <f>'Poland Capital Costs'!$B$96*'Cost Improvement'!B27*1000</f>
        <v>2663111.3288426884</v>
      </c>
      <c r="N10" s="26">
        <v>0</v>
      </c>
    </row>
    <row r="11" spans="1:14" x14ac:dyDescent="0.25">
      <c r="A11" s="1">
        <v>2024</v>
      </c>
      <c r="B11" s="5">
        <f>'Poland Capital Costs'!$B$95*'Cost Improvement'!B28*1000</f>
        <v>2302275.1899503511</v>
      </c>
      <c r="C11" s="5">
        <f>GETPIVOTDATA("Average of Capital Cost",'Poland Capital Costs'!$A$82,"Model Energy Source","Natural Gas Nonpeaker")*'Cost Improvement'!C28*1000</f>
        <v>1224927.2699433472</v>
      </c>
      <c r="D11" s="5">
        <f>GETPIVOTDATA("Average of Capital Cost",'Poland Capital Costs'!$A$82,"Model Energy Source","Nuclear")*'Cost Improvement'!D28*1000</f>
        <v>5649977.0326136881</v>
      </c>
      <c r="E11" s="5">
        <f>GETPIVOTDATA("Average of Capital Cost",'Poland Capital Costs'!$A$82,"Model Energy Source","Hydro")*'Cost Improvement'!E28*1000</f>
        <v>5512172.7147450624</v>
      </c>
      <c r="F11" s="5">
        <v>0</v>
      </c>
      <c r="G11" s="5">
        <v>0</v>
      </c>
      <c r="H11" s="5">
        <f>'Poland Capital Costs'!$B$91*'Cost Improvement'!H28*1000</f>
        <v>7244862.5018156422</v>
      </c>
      <c r="I11" s="5">
        <f>GETPIVOTDATA("Average of Capital Cost",'Poland Capital Costs'!$A$82,"Model Energy Source","Biomass")*'Cost Improvement'!I28*1000</f>
        <v>2999516.4951386228</v>
      </c>
      <c r="J11" s="5">
        <f>'Poland Capital Costs'!$B$92*'Cost Improvement'!J28*1000</f>
        <v>2423520</v>
      </c>
      <c r="K11" s="5">
        <f>'Poland Capital Costs'!$B$93*1000*'Cost Improvement'!K28</f>
        <v>1043492.7790299691</v>
      </c>
      <c r="L11" s="5">
        <f>GETPIVOTDATA("Average of Capital Cost",'Poland Capital Costs'!$A$82,"Model Energy Source","Natural Gas Peaker")*1000*'Cost Improvement'!L28</f>
        <v>918695.45245751028</v>
      </c>
      <c r="M11" s="5">
        <f>'Poland Capital Costs'!$B$96*'Cost Improvement'!B28*1000</f>
        <v>2659959.081605657</v>
      </c>
      <c r="N11" s="26">
        <v>0</v>
      </c>
    </row>
    <row r="12" spans="1:14" x14ac:dyDescent="0.25">
      <c r="A12" s="1">
        <v>2025</v>
      </c>
      <c r="B12" s="5">
        <f>'Poland Capital Costs'!$B$95*'Cost Improvement'!B29*1000</f>
        <v>2299550.0539307608</v>
      </c>
      <c r="C12" s="5">
        <f>GETPIVOTDATA("Average of Capital Cost",'Poland Capital Costs'!$A$82,"Model Energy Source","Natural Gas Nonpeaker")*'Cost Improvement'!C29*1000</f>
        <v>1224927.2699433472</v>
      </c>
      <c r="D12" s="5">
        <f>GETPIVOTDATA("Average of Capital Cost",'Poland Capital Costs'!$A$82,"Model Energy Source","Nuclear")*'Cost Improvement'!D29*1000</f>
        <v>5649977.0326136881</v>
      </c>
      <c r="E12" s="5">
        <f>GETPIVOTDATA("Average of Capital Cost",'Poland Capital Costs'!$A$82,"Model Energy Source","Hydro")*'Cost Improvement'!E29*1000</f>
        <v>5512172.7147450624</v>
      </c>
      <c r="F12" s="5">
        <v>0</v>
      </c>
      <c r="G12" s="5">
        <v>0</v>
      </c>
      <c r="H12" s="5">
        <f>'Poland Capital Costs'!$B$91*'Cost Improvement'!H29*1000</f>
        <v>7215286.2205196097</v>
      </c>
      <c r="I12" s="5">
        <f>GETPIVOTDATA("Average of Capital Cost",'Poland Capital Costs'!$A$82,"Model Energy Source","Biomass")*'Cost Improvement'!I29*1000</f>
        <v>2993871.516634637</v>
      </c>
      <c r="J12" s="5">
        <f>'Poland Capital Costs'!$B$92*'Cost Improvement'!J29*1000</f>
        <v>2423520</v>
      </c>
      <c r="K12" s="5">
        <f>'Poland Capital Costs'!$B$93*1000*'Cost Improvement'!K29</f>
        <v>1043492.7790299691</v>
      </c>
      <c r="L12" s="5">
        <f>GETPIVOTDATA("Average of Capital Cost",'Poland Capital Costs'!$A$82,"Model Energy Source","Natural Gas Peaker")*1000*'Cost Improvement'!L29</f>
        <v>918695.45245751028</v>
      </c>
      <c r="M12" s="5">
        <f>'Poland Capital Costs'!$B$96*'Cost Improvement'!B29*1000</f>
        <v>2656810.5655917763</v>
      </c>
      <c r="N12" s="26">
        <v>0</v>
      </c>
    </row>
    <row r="13" spans="1:14" x14ac:dyDescent="0.25">
      <c r="A13" s="1">
        <v>2026</v>
      </c>
      <c r="B13" s="5">
        <f>'Poland Capital Costs'!$B$95*'Cost Improvement'!B30*1000</f>
        <v>2296828.143575226</v>
      </c>
      <c r="C13" s="5">
        <f>GETPIVOTDATA("Average of Capital Cost",'Poland Capital Costs'!$A$82,"Model Energy Source","Natural Gas Nonpeaker")*'Cost Improvement'!C30*1000</f>
        <v>1224927.2699433472</v>
      </c>
      <c r="D13" s="5">
        <f>GETPIVOTDATA("Average of Capital Cost",'Poland Capital Costs'!$A$82,"Model Energy Source","Nuclear")*'Cost Improvement'!D30*1000</f>
        <v>5649977.0326136881</v>
      </c>
      <c r="E13" s="5">
        <f>GETPIVOTDATA("Average of Capital Cost",'Poland Capital Costs'!$A$82,"Model Energy Source","Hydro")*'Cost Improvement'!E30*1000</f>
        <v>5512172.7147450624</v>
      </c>
      <c r="F13" s="5">
        <v>0</v>
      </c>
      <c r="G13" s="5">
        <v>0</v>
      </c>
      <c r="H13" s="5">
        <f>'Poland Capital Costs'!$B$91*'Cost Improvement'!H30*1000</f>
        <v>7185830.6808408378</v>
      </c>
      <c r="I13" s="5">
        <f>GETPIVOTDATA("Average of Capital Cost",'Poland Capital Costs'!$A$82,"Model Energy Source","Biomass")*'Cost Improvement'!I30*1000</f>
        <v>2988237.1617702814</v>
      </c>
      <c r="J13" s="5">
        <f>'Poland Capital Costs'!$B$92*'Cost Improvement'!J30*1000</f>
        <v>2423520</v>
      </c>
      <c r="K13" s="5">
        <f>'Poland Capital Costs'!$B$93*1000*'Cost Improvement'!K30</f>
        <v>1043492.7790299691</v>
      </c>
      <c r="L13" s="5">
        <f>GETPIVOTDATA("Average of Capital Cost",'Poland Capital Costs'!$A$82,"Model Energy Source","Natural Gas Peaker")*1000*'Cost Improvement'!L30</f>
        <v>918695.45245751028</v>
      </c>
      <c r="M13" s="5">
        <f>'Poland Capital Costs'!$B$96*'Cost Improvement'!B30*1000</f>
        <v>2653665.7763845064</v>
      </c>
      <c r="N13" s="26">
        <v>0</v>
      </c>
    </row>
    <row r="14" spans="1:14" x14ac:dyDescent="0.25">
      <c r="A14" s="1">
        <v>2027</v>
      </c>
      <c r="B14" s="5">
        <f>'Poland Capital Costs'!$B$95*'Cost Improvement'!B31*1000</f>
        <v>2294109.4550656215</v>
      </c>
      <c r="C14" s="5">
        <f>GETPIVOTDATA("Average of Capital Cost",'Poland Capital Costs'!$A$82,"Model Energy Source","Natural Gas Nonpeaker")*'Cost Improvement'!C31*1000</f>
        <v>1224927.2699433472</v>
      </c>
      <c r="D14" s="5">
        <f>GETPIVOTDATA("Average of Capital Cost",'Poland Capital Costs'!$A$82,"Model Energy Source","Nuclear")*'Cost Improvement'!D31*1000</f>
        <v>5649977.0326136881</v>
      </c>
      <c r="E14" s="5">
        <f>GETPIVOTDATA("Average of Capital Cost",'Poland Capital Costs'!$A$82,"Model Energy Source","Hydro")*'Cost Improvement'!E31*1000</f>
        <v>5512172.7147450624</v>
      </c>
      <c r="F14" s="5">
        <v>0</v>
      </c>
      <c r="G14" s="5">
        <v>0</v>
      </c>
      <c r="H14" s="5">
        <f>'Poland Capital Costs'!$B$91*'Cost Improvement'!H31*1000</f>
        <v>7156495.3898661714</v>
      </c>
      <c r="I14" s="5">
        <f>GETPIVOTDATA("Average of Capital Cost",'Poland Capital Costs'!$A$82,"Model Energy Source","Biomass")*'Cost Improvement'!I31*1000</f>
        <v>2982613.4105522619</v>
      </c>
      <c r="J14" s="5">
        <f>'Poland Capital Costs'!$B$92*'Cost Improvement'!J31*1000</f>
        <v>2423520</v>
      </c>
      <c r="K14" s="5">
        <f>'Poland Capital Costs'!$B$93*1000*'Cost Improvement'!K31</f>
        <v>1043492.7790299691</v>
      </c>
      <c r="L14" s="5">
        <f>GETPIVOTDATA("Average of Capital Cost",'Poland Capital Costs'!$A$82,"Model Energy Source","Natural Gas Peaker")*1000*'Cost Improvement'!L31</f>
        <v>918695.45245751028</v>
      </c>
      <c r="M14" s="5">
        <f>'Poland Capital Costs'!$B$96*'Cost Improvement'!B31*1000</f>
        <v>2650524.7095725345</v>
      </c>
      <c r="N14" s="26">
        <v>0</v>
      </c>
    </row>
    <row r="15" spans="1:14" x14ac:dyDescent="0.25">
      <c r="A15" s="1">
        <v>2028</v>
      </c>
      <c r="B15" s="5">
        <f>'Poland Capital Costs'!$B$95*'Cost Improvement'!B32*1000</f>
        <v>2291393.9845883432</v>
      </c>
      <c r="C15" s="5">
        <f>GETPIVOTDATA("Average of Capital Cost",'Poland Capital Costs'!$A$82,"Model Energy Source","Natural Gas Nonpeaker")*'Cost Improvement'!C32*1000</f>
        <v>1224927.2699433472</v>
      </c>
      <c r="D15" s="5">
        <f>GETPIVOTDATA("Average of Capital Cost",'Poland Capital Costs'!$A$82,"Model Energy Source","Nuclear")*'Cost Improvement'!D32*1000</f>
        <v>5649977.0326136881</v>
      </c>
      <c r="E15" s="5">
        <f>GETPIVOTDATA("Average of Capital Cost",'Poland Capital Costs'!$A$82,"Model Energy Source","Hydro")*'Cost Improvement'!E32*1000</f>
        <v>5512172.7147450624</v>
      </c>
      <c r="F15" s="5">
        <v>0</v>
      </c>
      <c r="G15" s="5">
        <v>0</v>
      </c>
      <c r="H15" s="5">
        <f>'Poland Capital Costs'!$B$91*'Cost Improvement'!H32*1000</f>
        <v>7127279.8566947142</v>
      </c>
      <c r="I15" s="5">
        <f>GETPIVOTDATA("Average of Capital Cost",'Poland Capital Costs'!$A$82,"Model Energy Source","Biomass")*'Cost Improvement'!I32*1000</f>
        <v>2977000.2430249103</v>
      </c>
      <c r="J15" s="5">
        <f>'Poland Capital Costs'!$B$92*'Cost Improvement'!J32*1000</f>
        <v>2423520</v>
      </c>
      <c r="K15" s="5">
        <f>'Poland Capital Costs'!$B$93*1000*'Cost Improvement'!K32</f>
        <v>1043492.7790299691</v>
      </c>
      <c r="L15" s="5">
        <f>GETPIVOTDATA("Average of Capital Cost",'Poland Capital Costs'!$A$82,"Model Energy Source","Natural Gas Peaker")*1000*'Cost Improvement'!L32</f>
        <v>918695.45245751028</v>
      </c>
      <c r="M15" s="5">
        <f>'Poland Capital Costs'!$B$96*'Cost Improvement'!B32*1000</f>
        <v>2647387.3607497709</v>
      </c>
      <c r="N15" s="26">
        <v>0</v>
      </c>
    </row>
    <row r="16" spans="1:14" x14ac:dyDescent="0.25">
      <c r="A16" s="1">
        <v>2029</v>
      </c>
      <c r="B16" s="5">
        <f>'Poland Capital Costs'!$B$95*'Cost Improvement'!B33*1000</f>
        <v>2288681.7283342988</v>
      </c>
      <c r="C16" s="5">
        <f>GETPIVOTDATA("Average of Capital Cost",'Poland Capital Costs'!$A$82,"Model Energy Source","Natural Gas Nonpeaker")*'Cost Improvement'!C33*1000</f>
        <v>1224927.2699433472</v>
      </c>
      <c r="D16" s="5">
        <f>GETPIVOTDATA("Average of Capital Cost",'Poland Capital Costs'!$A$82,"Model Energy Source","Nuclear")*'Cost Improvement'!D33*1000</f>
        <v>5649977.0326136881</v>
      </c>
      <c r="E16" s="5">
        <f>GETPIVOTDATA("Average of Capital Cost",'Poland Capital Costs'!$A$82,"Model Energy Source","Hydro")*'Cost Improvement'!E33*1000</f>
        <v>5512172.7147450624</v>
      </c>
      <c r="F16" s="5">
        <v>0</v>
      </c>
      <c r="G16" s="5">
        <v>0</v>
      </c>
      <c r="H16" s="5">
        <f>'Poland Capital Costs'!$B$91*'Cost Improvement'!H33*1000</f>
        <v>7098183.5924296118</v>
      </c>
      <c r="I16" s="5">
        <f>GETPIVOTDATA("Average of Capital Cost",'Poland Capital Costs'!$A$82,"Model Energy Source","Biomass")*'Cost Improvement'!I33*1000</f>
        <v>2971397.6392701142</v>
      </c>
      <c r="J16" s="5">
        <f>'Poland Capital Costs'!$B$92*'Cost Improvement'!J33*1000</f>
        <v>2423520</v>
      </c>
      <c r="K16" s="5">
        <f>'Poland Capital Costs'!$B$93*1000*'Cost Improvement'!K33</f>
        <v>1043492.7790299691</v>
      </c>
      <c r="L16" s="5">
        <f>GETPIVOTDATA("Average of Capital Cost",'Poland Capital Costs'!$A$82,"Model Energy Source","Natural Gas Peaker")*1000*'Cost Improvement'!L33</f>
        <v>918695.45245751028</v>
      </c>
      <c r="M16" s="5">
        <f>'Poland Capital Costs'!$B$96*'Cost Improvement'!B33*1000</f>
        <v>2644253.7255153391</v>
      </c>
      <c r="N16" s="26">
        <v>0</v>
      </c>
    </row>
    <row r="17" spans="1:14" x14ac:dyDescent="0.25">
      <c r="A17" s="1">
        <v>2030</v>
      </c>
      <c r="B17" s="5">
        <f>'Poland Capital Costs'!$B$95*'Cost Improvement'!B34*1000</f>
        <v>2285972.6824989077</v>
      </c>
      <c r="C17" s="5">
        <f>GETPIVOTDATA("Average of Capital Cost",'Poland Capital Costs'!$A$82,"Model Energy Source","Natural Gas Nonpeaker")*'Cost Improvement'!C34*1000</f>
        <v>1224927.2699433472</v>
      </c>
      <c r="D17" s="5">
        <f>GETPIVOTDATA("Average of Capital Cost",'Poland Capital Costs'!$A$82,"Model Energy Source","Nuclear")*'Cost Improvement'!D34*1000</f>
        <v>5649977.0326136881</v>
      </c>
      <c r="E17" s="5">
        <f>GETPIVOTDATA("Average of Capital Cost",'Poland Capital Costs'!$A$82,"Model Energy Source","Hydro")*'Cost Improvement'!E34*1000</f>
        <v>5512172.7147450624</v>
      </c>
      <c r="F17" s="5">
        <v>0</v>
      </c>
      <c r="G17" s="5">
        <v>0</v>
      </c>
      <c r="H17" s="5">
        <f>'Poland Capital Costs'!$B$91*'Cost Improvement'!H34*1000</f>
        <v>7069206.1101698773</v>
      </c>
      <c r="I17" s="5">
        <f>GETPIVOTDATA("Average of Capital Cost",'Poland Capital Costs'!$A$82,"Model Energy Source","Biomass")*'Cost Improvement'!I34*1000</f>
        <v>2965805.5794072463</v>
      </c>
      <c r="J17" s="5">
        <f>'Poland Capital Costs'!$B$92*'Cost Improvement'!J34*1000</f>
        <v>2423520</v>
      </c>
      <c r="K17" s="5">
        <f>'Poland Capital Costs'!$B$93*1000*'Cost Improvement'!K34</f>
        <v>1043492.7790299691</v>
      </c>
      <c r="L17" s="5">
        <f>GETPIVOTDATA("Average of Capital Cost",'Poland Capital Costs'!$A$82,"Model Energy Source","Natural Gas Peaker")*1000*'Cost Improvement'!L34</f>
        <v>918695.45245751028</v>
      </c>
      <c r="M17" s="5">
        <f>'Poland Capital Costs'!$B$96*'Cost Improvement'!B34*1000</f>
        <v>2641123.7994735735</v>
      </c>
      <c r="N17" s="26">
        <v>0</v>
      </c>
    </row>
    <row r="18" spans="1:14" x14ac:dyDescent="0.25">
      <c r="A18" s="1">
        <v>2031</v>
      </c>
      <c r="B18" s="5">
        <f>'Poland Capital Costs'!$B$95*'Cost Improvement'!B35*1000</f>
        <v>2283266.8432820886</v>
      </c>
      <c r="C18" s="5">
        <f>GETPIVOTDATA("Average of Capital Cost",'Poland Capital Costs'!$A$82,"Model Energy Source","Natural Gas Nonpeaker")*'Cost Improvement'!C35*1000</f>
        <v>1224927.2699433472</v>
      </c>
      <c r="D18" s="5">
        <f>GETPIVOTDATA("Average of Capital Cost",'Poland Capital Costs'!$A$82,"Model Energy Source","Nuclear")*'Cost Improvement'!D35*1000</f>
        <v>5649977.0326136881</v>
      </c>
      <c r="E18" s="5">
        <f>GETPIVOTDATA("Average of Capital Cost",'Poland Capital Costs'!$A$82,"Model Energy Source","Hydro")*'Cost Improvement'!E35*1000</f>
        <v>5512172.7147450624</v>
      </c>
      <c r="F18" s="5">
        <v>0</v>
      </c>
      <c r="G18" s="5">
        <v>0</v>
      </c>
      <c r="H18" s="5">
        <f>'Poland Capital Costs'!$B$91*'Cost Improvement'!H35*1000</f>
        <v>7040346.9250022331</v>
      </c>
      <c r="I18" s="5">
        <f>GETPIVOTDATA("Average of Capital Cost",'Poland Capital Costs'!$A$82,"Model Energy Source","Biomass")*'Cost Improvement'!I35*1000</f>
        <v>2960224.0435930942</v>
      </c>
      <c r="J18" s="5">
        <f>'Poland Capital Costs'!$B$92*'Cost Improvement'!J35*1000</f>
        <v>2423520</v>
      </c>
      <c r="K18" s="5">
        <f>'Poland Capital Costs'!$B$93*1000*'Cost Improvement'!K35</f>
        <v>1043492.7790299691</v>
      </c>
      <c r="L18" s="5">
        <f>GETPIVOTDATA("Average of Capital Cost",'Poland Capital Costs'!$A$82,"Model Energy Source","Natural Gas Peaker")*1000*'Cost Improvement'!L35</f>
        <v>918695.45245751028</v>
      </c>
      <c r="M18" s="5">
        <f>'Poland Capital Costs'!$B$96*'Cost Improvement'!B35*1000</f>
        <v>2637997.5782340104</v>
      </c>
      <c r="N18" s="26">
        <v>0</v>
      </c>
    </row>
    <row r="19" spans="1:14" x14ac:dyDescent="0.25">
      <c r="A19" s="1">
        <v>2032</v>
      </c>
      <c r="B19" s="5">
        <f>'Poland Capital Costs'!$B$95*'Cost Improvement'!B36*1000</f>
        <v>2280564.2068882622</v>
      </c>
      <c r="C19" s="5">
        <f>GETPIVOTDATA("Average of Capital Cost",'Poland Capital Costs'!$A$82,"Model Energy Source","Natural Gas Nonpeaker")*'Cost Improvement'!C36*1000</f>
        <v>1224927.2699433472</v>
      </c>
      <c r="D19" s="5">
        <f>GETPIVOTDATA("Average of Capital Cost",'Poland Capital Costs'!$A$82,"Model Energy Source","Nuclear")*'Cost Improvement'!D36*1000</f>
        <v>5649977.0326136881</v>
      </c>
      <c r="E19" s="5">
        <f>GETPIVOTDATA("Average of Capital Cost",'Poland Capital Costs'!$A$82,"Model Energy Source","Hydro")*'Cost Improvement'!E36*1000</f>
        <v>5512172.7147450624</v>
      </c>
      <c r="F19" s="5">
        <v>0</v>
      </c>
      <c r="G19" s="5">
        <v>0</v>
      </c>
      <c r="H19" s="5">
        <f>'Poland Capital Costs'!$B$91*'Cost Improvement'!H36*1000</f>
        <v>7011605.5539930044</v>
      </c>
      <c r="I19" s="5">
        <f>GETPIVOTDATA("Average of Capital Cost",'Poland Capital Costs'!$A$82,"Model Energy Source","Biomass")*'Cost Improvement'!I36*1000</f>
        <v>2954653.0120217903</v>
      </c>
      <c r="J19" s="5">
        <f>'Poland Capital Costs'!$B$92*'Cost Improvement'!J36*1000</f>
        <v>2423520</v>
      </c>
      <c r="K19" s="5">
        <f>'Poland Capital Costs'!$B$93*1000*'Cost Improvement'!K36</f>
        <v>1043492.7790299691</v>
      </c>
      <c r="L19" s="5">
        <f>GETPIVOTDATA("Average of Capital Cost",'Poland Capital Costs'!$A$82,"Model Energy Source","Natural Gas Peaker")*1000*'Cost Improvement'!L36</f>
        <v>918695.45245751028</v>
      </c>
      <c r="M19" s="5">
        <f>'Poland Capital Costs'!$B$96*'Cost Improvement'!B36*1000</f>
        <v>2634875.0574113838</v>
      </c>
      <c r="N19" s="26">
        <v>0</v>
      </c>
    </row>
    <row r="20" spans="1:14" x14ac:dyDescent="0.25">
      <c r="A20" s="1">
        <v>2033</v>
      </c>
      <c r="B20" s="5">
        <f>'Poland Capital Costs'!$B$95*'Cost Improvement'!B37*1000</f>
        <v>2277864.7695263401</v>
      </c>
      <c r="C20" s="5">
        <f>GETPIVOTDATA("Average of Capital Cost",'Poland Capital Costs'!$A$82,"Model Energy Source","Natural Gas Nonpeaker")*'Cost Improvement'!C37*1000</f>
        <v>1224927.2699433472</v>
      </c>
      <c r="D20" s="5">
        <f>GETPIVOTDATA("Average of Capital Cost",'Poland Capital Costs'!$A$82,"Model Energy Source","Nuclear")*'Cost Improvement'!D37*1000</f>
        <v>5649977.0326136881</v>
      </c>
      <c r="E20" s="5">
        <f>GETPIVOTDATA("Average of Capital Cost",'Poland Capital Costs'!$A$82,"Model Energy Source","Hydro")*'Cost Improvement'!E37*1000</f>
        <v>5512172.7147450624</v>
      </c>
      <c r="F20" s="5">
        <v>0</v>
      </c>
      <c r="G20" s="5">
        <v>0</v>
      </c>
      <c r="H20" s="5">
        <f>'Poland Capital Costs'!$B$91*'Cost Improvement'!H37*1000</f>
        <v>6982981.5161800375</v>
      </c>
      <c r="I20" s="5">
        <f>GETPIVOTDATA("Average of Capital Cost",'Poland Capital Costs'!$A$82,"Model Energy Source","Biomass")*'Cost Improvement'!I37*1000</f>
        <v>2949092.4649247387</v>
      </c>
      <c r="J20" s="5">
        <f>'Poland Capital Costs'!$B$92*'Cost Improvement'!J37*1000</f>
        <v>2423520</v>
      </c>
      <c r="K20" s="5">
        <f>'Poland Capital Costs'!$B$93*1000*'Cost Improvement'!K37</f>
        <v>1043492.7790299691</v>
      </c>
      <c r="L20" s="5">
        <f>GETPIVOTDATA("Average of Capital Cost",'Poland Capital Costs'!$A$82,"Model Energy Source","Natural Gas Peaker")*1000*'Cost Improvement'!L37</f>
        <v>918695.45245751028</v>
      </c>
      <c r="M20" s="5">
        <f>'Poland Capital Costs'!$B$96*'Cost Improvement'!B37*1000</f>
        <v>2631756.2326256181</v>
      </c>
      <c r="N20" s="26">
        <v>0</v>
      </c>
    </row>
    <row r="21" spans="1:14" x14ac:dyDescent="0.25">
      <c r="A21" s="1">
        <v>2034</v>
      </c>
      <c r="B21" s="5">
        <f>'Poland Capital Costs'!$B$95*'Cost Improvement'!B38*1000</f>
        <v>2275168.5274097207</v>
      </c>
      <c r="C21" s="5">
        <f>GETPIVOTDATA("Average of Capital Cost",'Poland Capital Costs'!$A$82,"Model Energy Source","Natural Gas Nonpeaker")*'Cost Improvement'!C38*1000</f>
        <v>1224927.2699433472</v>
      </c>
      <c r="D21" s="5">
        <f>GETPIVOTDATA("Average of Capital Cost",'Poland Capital Costs'!$A$82,"Model Energy Source","Nuclear")*'Cost Improvement'!D38*1000</f>
        <v>5649977.0326136881</v>
      </c>
      <c r="E21" s="5">
        <f>GETPIVOTDATA("Average of Capital Cost",'Poland Capital Costs'!$A$82,"Model Energy Source","Hydro")*'Cost Improvement'!E38*1000</f>
        <v>5512172.7147450624</v>
      </c>
      <c r="F21" s="5">
        <v>0</v>
      </c>
      <c r="G21" s="5">
        <v>0</v>
      </c>
      <c r="H21" s="5">
        <f>'Poland Capital Costs'!$B$91*'Cost Improvement'!H38*1000</f>
        <v>6954474.3325646445</v>
      </c>
      <c r="I21" s="5">
        <f>GETPIVOTDATA("Average of Capital Cost",'Poland Capital Costs'!$A$82,"Model Energy Source","Biomass")*'Cost Improvement'!I38*1000</f>
        <v>2943542.3825705498</v>
      </c>
      <c r="J21" s="5">
        <f>'Poland Capital Costs'!$B$92*'Cost Improvement'!J38*1000</f>
        <v>2423520</v>
      </c>
      <c r="K21" s="5">
        <f>'Poland Capital Costs'!$B$93*1000*'Cost Improvement'!K38</f>
        <v>1043492.7790299691</v>
      </c>
      <c r="L21" s="5">
        <f>GETPIVOTDATA("Average of Capital Cost",'Poland Capital Costs'!$A$82,"Model Energy Source","Natural Gas Peaker")*1000*'Cost Improvement'!L38</f>
        <v>918695.45245751028</v>
      </c>
      <c r="M21" s="5">
        <f>'Poland Capital Costs'!$B$96*'Cost Improvement'!B38*1000</f>
        <v>2628641.0995018217</v>
      </c>
      <c r="N21" s="26">
        <v>0</v>
      </c>
    </row>
    <row r="22" spans="1:14" x14ac:dyDescent="0.25">
      <c r="A22" s="1">
        <v>2035</v>
      </c>
      <c r="B22" s="5">
        <f>'Poland Capital Costs'!$B$95*'Cost Improvement'!B39*1000</f>
        <v>2272475.4767562863</v>
      </c>
      <c r="C22" s="5">
        <f>GETPIVOTDATA("Average of Capital Cost",'Poland Capital Costs'!$A$82,"Model Energy Source","Natural Gas Nonpeaker")*'Cost Improvement'!C39*1000</f>
        <v>1224927.2699433472</v>
      </c>
      <c r="D22" s="5">
        <f>GETPIVOTDATA("Average of Capital Cost",'Poland Capital Costs'!$A$82,"Model Energy Source","Nuclear")*'Cost Improvement'!D39*1000</f>
        <v>5649977.0326136881</v>
      </c>
      <c r="E22" s="5">
        <f>GETPIVOTDATA("Average of Capital Cost",'Poland Capital Costs'!$A$82,"Model Energy Source","Hydro")*'Cost Improvement'!E39*1000</f>
        <v>5512172.7147450624</v>
      </c>
      <c r="F22" s="5">
        <v>0</v>
      </c>
      <c r="G22" s="5">
        <v>0</v>
      </c>
      <c r="H22" s="5">
        <f>'Poland Capital Costs'!$B$91*'Cost Improvement'!H39*1000</f>
        <v>6926083.5261035925</v>
      </c>
      <c r="I22" s="5">
        <f>GETPIVOTDATA("Average of Capital Cost",'Poland Capital Costs'!$A$82,"Model Energy Source","Biomass")*'Cost Improvement'!I39*1000</f>
        <v>2938002.745264967</v>
      </c>
      <c r="J22" s="5">
        <f>'Poland Capital Costs'!$B$92*'Cost Improvement'!J39*1000</f>
        <v>2423520</v>
      </c>
      <c r="K22" s="5">
        <f>'Poland Capital Costs'!$B$93*1000*'Cost Improvement'!K39</f>
        <v>1043492.7790299691</v>
      </c>
      <c r="L22" s="5">
        <f>GETPIVOTDATA("Average of Capital Cost",'Poland Capital Costs'!$A$82,"Model Energy Source","Natural Gas Peaker")*1000*'Cost Improvement'!L39</f>
        <v>918695.45245751028</v>
      </c>
      <c r="M22" s="5">
        <f>'Poland Capital Costs'!$B$96*'Cost Improvement'!B39*1000</f>
        <v>2625529.6536702826</v>
      </c>
      <c r="N22" s="26">
        <v>0</v>
      </c>
    </row>
    <row r="23" spans="1:14" x14ac:dyDescent="0.25">
      <c r="A23" s="1">
        <v>2036</v>
      </c>
      <c r="B23" s="5">
        <f>'Poland Capital Costs'!$B$95*'Cost Improvement'!B40*1000</f>
        <v>2269785.6137883947</v>
      </c>
      <c r="C23" s="5">
        <f>GETPIVOTDATA("Average of Capital Cost",'Poland Capital Costs'!$A$82,"Model Energy Source","Natural Gas Nonpeaker")*'Cost Improvement'!C40*1000</f>
        <v>1224927.2699433472</v>
      </c>
      <c r="D23" s="5">
        <f>GETPIVOTDATA("Average of Capital Cost",'Poland Capital Costs'!$A$82,"Model Energy Source","Nuclear")*'Cost Improvement'!D40*1000</f>
        <v>5649977.0326136881</v>
      </c>
      <c r="E23" s="5">
        <f>GETPIVOTDATA("Average of Capital Cost",'Poland Capital Costs'!$A$82,"Model Energy Source","Hydro")*'Cost Improvement'!E40*1000</f>
        <v>5512172.7147450624</v>
      </c>
      <c r="F23" s="5">
        <v>0</v>
      </c>
      <c r="G23" s="5">
        <v>0</v>
      </c>
      <c r="H23" s="5">
        <f>'Poland Capital Costs'!$B$91*'Cost Improvement'!H40*1000</f>
        <v>6897808.6217011251</v>
      </c>
      <c r="I23" s="5">
        <f>GETPIVOTDATA("Average of Capital Cost",'Poland Capital Costs'!$A$82,"Model Energy Source","Biomass")*'Cost Improvement'!I40*1000</f>
        <v>2932473.5333507955</v>
      </c>
      <c r="J23" s="5">
        <f>'Poland Capital Costs'!$B$92*'Cost Improvement'!J40*1000</f>
        <v>2423520</v>
      </c>
      <c r="K23" s="5">
        <f>'Poland Capital Costs'!$B$93*1000*'Cost Improvement'!K40</f>
        <v>1043492.7790299691</v>
      </c>
      <c r="L23" s="5">
        <f>GETPIVOTDATA("Average of Capital Cost",'Poland Capital Costs'!$A$82,"Model Energy Source","Natural Gas Peaker")*1000*'Cost Improvement'!L40</f>
        <v>918695.45245751028</v>
      </c>
      <c r="M23" s="5">
        <f>'Poland Capital Costs'!$B$96*'Cost Improvement'!B40*1000</f>
        <v>2622421.8907664604</v>
      </c>
      <c r="N23" s="26">
        <v>0</v>
      </c>
    </row>
    <row r="24" spans="1:14" x14ac:dyDescent="0.25">
      <c r="A24" s="1">
        <v>2037</v>
      </c>
      <c r="B24" s="5">
        <f>'Poland Capital Costs'!$B$95*'Cost Improvement'!B41*1000</f>
        <v>2267098.9347328749</v>
      </c>
      <c r="C24" s="5">
        <f>GETPIVOTDATA("Average of Capital Cost",'Poland Capital Costs'!$A$82,"Model Energy Source","Natural Gas Nonpeaker")*'Cost Improvement'!C41*1000</f>
        <v>1224927.2699433472</v>
      </c>
      <c r="D24" s="5">
        <f>GETPIVOTDATA("Average of Capital Cost",'Poland Capital Costs'!$A$82,"Model Energy Source","Nuclear")*'Cost Improvement'!D41*1000</f>
        <v>5649977.0326136881</v>
      </c>
      <c r="E24" s="5">
        <f>GETPIVOTDATA("Average of Capital Cost",'Poland Capital Costs'!$A$82,"Model Energy Source","Hydro")*'Cost Improvement'!E41*1000</f>
        <v>5512172.7147450624</v>
      </c>
      <c r="F24" s="5">
        <v>0</v>
      </c>
      <c r="G24" s="5">
        <v>0</v>
      </c>
      <c r="H24" s="5">
        <f>'Poland Capital Costs'!$B$91*'Cost Improvement'!H41*1000</f>
        <v>6869649.1462010033</v>
      </c>
      <c r="I24" s="5">
        <f>GETPIVOTDATA("Average of Capital Cost",'Poland Capital Costs'!$A$82,"Model Energy Source","Biomass")*'Cost Improvement'!I41*1000</f>
        <v>2926954.7272078386</v>
      </c>
      <c r="J24" s="5">
        <f>'Poland Capital Costs'!$B$92*'Cost Improvement'!J41*1000</f>
        <v>2423520</v>
      </c>
      <c r="K24" s="5">
        <f>'Poland Capital Costs'!$B$93*1000*'Cost Improvement'!K41</f>
        <v>1043492.7790299691</v>
      </c>
      <c r="L24" s="5">
        <f>GETPIVOTDATA("Average of Capital Cost",'Poland Capital Costs'!$A$82,"Model Energy Source","Natural Gas Peaker")*1000*'Cost Improvement'!L41</f>
        <v>918695.45245751028</v>
      </c>
      <c r="M24" s="5">
        <f>'Poland Capital Costs'!$B$96*'Cost Improvement'!B41*1000</f>
        <v>2619317.8064309801</v>
      </c>
      <c r="N24" s="26">
        <v>0</v>
      </c>
    </row>
    <row r="25" spans="1:14" x14ac:dyDescent="0.25">
      <c r="A25" s="1">
        <v>2038</v>
      </c>
      <c r="B25" s="5">
        <f>'Poland Capital Costs'!$B$95*'Cost Improvement'!B42*1000</f>
        <v>2264415.4358210233</v>
      </c>
      <c r="C25" s="5">
        <f>GETPIVOTDATA("Average of Capital Cost",'Poland Capital Costs'!$A$82,"Model Energy Source","Natural Gas Nonpeaker")*'Cost Improvement'!C42*1000</f>
        <v>1224927.2699433472</v>
      </c>
      <c r="D25" s="5">
        <f>GETPIVOTDATA("Average of Capital Cost",'Poland Capital Costs'!$A$82,"Model Energy Source","Nuclear")*'Cost Improvement'!D42*1000</f>
        <v>5649977.0326136881</v>
      </c>
      <c r="E25" s="5">
        <f>GETPIVOTDATA("Average of Capital Cost",'Poland Capital Costs'!$A$82,"Model Energy Source","Hydro")*'Cost Improvement'!E42*1000</f>
        <v>5512172.7147450624</v>
      </c>
      <c r="F25" s="5">
        <v>0</v>
      </c>
      <c r="G25" s="5">
        <v>0</v>
      </c>
      <c r="H25" s="5">
        <f>'Poland Capital Costs'!$B$91*'Cost Improvement'!H42*1000</f>
        <v>6841604.6283785915</v>
      </c>
      <c r="I25" s="5">
        <f>GETPIVOTDATA("Average of Capital Cost",'Poland Capital Costs'!$A$82,"Model Energy Source","Biomass")*'Cost Improvement'!I42*1000</f>
        <v>2921446.3072528201</v>
      </c>
      <c r="J25" s="5">
        <f>'Poland Capital Costs'!$B$92*'Cost Improvement'!J42*1000</f>
        <v>2423520</v>
      </c>
      <c r="K25" s="5">
        <f>'Poland Capital Costs'!$B$93*1000*'Cost Improvement'!K42</f>
        <v>1043492.7790299691</v>
      </c>
      <c r="L25" s="5">
        <f>GETPIVOTDATA("Average of Capital Cost",'Poland Capital Costs'!$A$82,"Model Energy Source","Natural Gas Peaker")*1000*'Cost Improvement'!L42</f>
        <v>918695.45245751028</v>
      </c>
      <c r="M25" s="5">
        <f>'Poland Capital Costs'!$B$96*'Cost Improvement'!B42*1000</f>
        <v>2616217.3963096286</v>
      </c>
      <c r="N25" s="26">
        <v>0</v>
      </c>
    </row>
    <row r="26" spans="1:14" x14ac:dyDescent="0.25">
      <c r="A26" s="1">
        <v>2039</v>
      </c>
      <c r="B26" s="5">
        <f>'Poland Capital Costs'!$B$95*'Cost Improvement'!B43*1000</f>
        <v>2261735.1132885963</v>
      </c>
      <c r="C26" s="5">
        <f>GETPIVOTDATA("Average of Capital Cost",'Poland Capital Costs'!$A$82,"Model Energy Source","Natural Gas Nonpeaker")*'Cost Improvement'!C43*1000</f>
        <v>1224927.2699433472</v>
      </c>
      <c r="D26" s="5">
        <f>GETPIVOTDATA("Average of Capital Cost",'Poland Capital Costs'!$A$82,"Model Energy Source","Nuclear")*'Cost Improvement'!D43*1000</f>
        <v>5649977.0326136881</v>
      </c>
      <c r="E26" s="5">
        <f>GETPIVOTDATA("Average of Capital Cost",'Poland Capital Costs'!$A$82,"Model Energy Source","Hydro")*'Cost Improvement'!E43*1000</f>
        <v>5512172.7147450624</v>
      </c>
      <c r="F26" s="5">
        <v>0</v>
      </c>
      <c r="G26" s="5">
        <v>0</v>
      </c>
      <c r="H26" s="5">
        <f>'Poland Capital Costs'!$B$91*'Cost Improvement'!H43*1000</f>
        <v>6813674.598932974</v>
      </c>
      <c r="I26" s="5">
        <f>GETPIVOTDATA("Average of Capital Cost",'Poland Capital Costs'!$A$82,"Model Energy Source","Biomass")*'Cost Improvement'!I43*1000</f>
        <v>2915948.2539393213</v>
      </c>
      <c r="J26" s="5">
        <f>'Poland Capital Costs'!$B$92*'Cost Improvement'!J43*1000</f>
        <v>2423520</v>
      </c>
      <c r="K26" s="5">
        <f>'Poland Capital Costs'!$B$93*1000*'Cost Improvement'!K43</f>
        <v>1043492.7790299691</v>
      </c>
      <c r="L26" s="5">
        <f>GETPIVOTDATA("Average of Capital Cost",'Poland Capital Costs'!$A$82,"Model Energy Source","Natural Gas Peaker")*1000*'Cost Improvement'!L43</f>
        <v>918695.45245751028</v>
      </c>
      <c r="M26" s="5">
        <f>'Poland Capital Costs'!$B$96*'Cost Improvement'!B43*1000</f>
        <v>2613120.6560533457</v>
      </c>
      <c r="N26" s="26">
        <v>0</v>
      </c>
    </row>
    <row r="27" spans="1:14" x14ac:dyDescent="0.25">
      <c r="A27" s="1">
        <v>2040</v>
      </c>
      <c r="B27" s="5">
        <f>'Poland Capital Costs'!$B$95*'Cost Improvement'!B44*1000</f>
        <v>2259057.9633758063</v>
      </c>
      <c r="C27" s="5">
        <f>GETPIVOTDATA("Average of Capital Cost",'Poland Capital Costs'!$A$82,"Model Energy Source","Natural Gas Nonpeaker")*'Cost Improvement'!C44*1000</f>
        <v>1224927.2699433472</v>
      </c>
      <c r="D27" s="5">
        <f>GETPIVOTDATA("Average of Capital Cost",'Poland Capital Costs'!$A$82,"Model Energy Source","Nuclear")*'Cost Improvement'!D44*1000</f>
        <v>5649977.0326136881</v>
      </c>
      <c r="E27" s="5">
        <f>GETPIVOTDATA("Average of Capital Cost",'Poland Capital Costs'!$A$82,"Model Energy Source","Hydro")*'Cost Improvement'!E44*1000</f>
        <v>5512172.7147450624</v>
      </c>
      <c r="F27" s="5">
        <v>0</v>
      </c>
      <c r="G27" s="5">
        <v>0</v>
      </c>
      <c r="H27" s="5">
        <f>'Poland Capital Costs'!$B$91*'Cost Improvement'!H44*1000</f>
        <v>6785858.5904790973</v>
      </c>
      <c r="I27" s="5">
        <f>GETPIVOTDATA("Average of Capital Cost",'Poland Capital Costs'!$A$82,"Model Energy Source","Biomass")*'Cost Improvement'!I44*1000</f>
        <v>2910460.5477577085</v>
      </c>
      <c r="J27" s="5">
        <f>'Poland Capital Costs'!$B$92*'Cost Improvement'!J44*1000</f>
        <v>2423520</v>
      </c>
      <c r="K27" s="5">
        <f>'Poland Capital Costs'!$B$93*1000*'Cost Improvement'!K44</f>
        <v>1043492.7790299691</v>
      </c>
      <c r="L27" s="5">
        <f>GETPIVOTDATA("Average of Capital Cost",'Poland Capital Costs'!$A$82,"Model Energy Source","Natural Gas Peaker")*1000*'Cost Improvement'!L44</f>
        <v>918695.45245751028</v>
      </c>
      <c r="M27" s="5">
        <f>'Poland Capital Costs'!$B$96*'Cost Improvement'!B44*1000</f>
        <v>2610027.5813182183</v>
      </c>
      <c r="N27" s="26">
        <v>0</v>
      </c>
    </row>
    <row r="28" spans="1:14" x14ac:dyDescent="0.25">
      <c r="A28" s="1">
        <v>2041</v>
      </c>
      <c r="B28" s="5">
        <f>'Poland Capital Costs'!$B$95*'Cost Improvement'!B45*1000</f>
        <v>2256383.982327316</v>
      </c>
      <c r="C28" s="5">
        <f>GETPIVOTDATA("Average of Capital Cost",'Poland Capital Costs'!$A$82,"Model Energy Source","Natural Gas Nonpeaker")*'Cost Improvement'!C45*1000</f>
        <v>1224927.2699433472</v>
      </c>
      <c r="D28" s="5">
        <f>GETPIVOTDATA("Average of Capital Cost",'Poland Capital Costs'!$A$82,"Model Energy Source","Nuclear")*'Cost Improvement'!D45*1000</f>
        <v>5649977.0326136881</v>
      </c>
      <c r="E28" s="5">
        <f>GETPIVOTDATA("Average of Capital Cost",'Poland Capital Costs'!$A$82,"Model Energy Source","Hydro")*'Cost Improvement'!E45*1000</f>
        <v>5512172.7147450624</v>
      </c>
      <c r="F28" s="5">
        <v>0</v>
      </c>
      <c r="G28" s="5">
        <v>0</v>
      </c>
      <c r="H28" s="5">
        <f>'Poland Capital Costs'!$B$91*'Cost Improvement'!H45*1000</f>
        <v>6758156.1375399539</v>
      </c>
      <c r="I28" s="5">
        <f>GETPIVOTDATA("Average of Capital Cost",'Poland Capital Costs'!$A$82,"Model Energy Source","Biomass")*'Cost Improvement'!I45*1000</f>
        <v>2904983.1692350633</v>
      </c>
      <c r="J28" s="5">
        <f>'Poland Capital Costs'!$B$92*'Cost Improvement'!J45*1000</f>
        <v>2423520</v>
      </c>
      <c r="K28" s="5">
        <f>'Poland Capital Costs'!$B$93*1000*'Cost Improvement'!K45</f>
        <v>1043492.7790299691</v>
      </c>
      <c r="L28" s="5">
        <f>GETPIVOTDATA("Average of Capital Cost",'Poland Capital Costs'!$A$82,"Model Energy Source","Natural Gas Peaker")*1000*'Cost Improvement'!L45</f>
        <v>918695.45245751028</v>
      </c>
      <c r="M28" s="5">
        <f>'Poland Capital Costs'!$B$96*'Cost Improvement'!B45*1000</f>
        <v>2606938.1677654767</v>
      </c>
      <c r="N28" s="26">
        <v>0</v>
      </c>
    </row>
    <row r="29" spans="1:14" x14ac:dyDescent="0.25">
      <c r="A29" s="1">
        <v>2042</v>
      </c>
      <c r="B29" s="5">
        <f>'Poland Capital Costs'!$B$95*'Cost Improvement'!B46*1000</f>
        <v>2253713.1663922328</v>
      </c>
      <c r="C29" s="5">
        <f>GETPIVOTDATA("Average of Capital Cost",'Poland Capital Costs'!$A$82,"Model Energy Source","Natural Gas Nonpeaker")*'Cost Improvement'!C46*1000</f>
        <v>1224927.2699433472</v>
      </c>
      <c r="D29" s="5">
        <f>GETPIVOTDATA("Average of Capital Cost",'Poland Capital Costs'!$A$82,"Model Energy Source","Nuclear")*'Cost Improvement'!D46*1000</f>
        <v>5649977.0326136881</v>
      </c>
      <c r="E29" s="5">
        <f>GETPIVOTDATA("Average of Capital Cost",'Poland Capital Costs'!$A$82,"Model Energy Source","Hydro")*'Cost Improvement'!E46*1000</f>
        <v>5512172.7147450624</v>
      </c>
      <c r="F29" s="5">
        <v>0</v>
      </c>
      <c r="G29" s="5">
        <v>0</v>
      </c>
      <c r="H29" s="5">
        <f>'Poland Capital Costs'!$B$91*'Cost Improvement'!H46*1000</f>
        <v>6730566.7765387902</v>
      </c>
      <c r="I29" s="5">
        <f>GETPIVOTDATA("Average of Capital Cost",'Poland Capital Costs'!$A$82,"Model Energy Source","Biomass")*'Cost Improvement'!I46*1000</f>
        <v>2899516.0989351161</v>
      </c>
      <c r="J29" s="5">
        <f>'Poland Capital Costs'!$B$92*'Cost Improvement'!J46*1000</f>
        <v>2423520</v>
      </c>
      <c r="K29" s="5">
        <f>'Poland Capital Costs'!$B$93*1000*'Cost Improvement'!K46</f>
        <v>1043492.7790299691</v>
      </c>
      <c r="L29" s="5">
        <f>GETPIVOTDATA("Average of Capital Cost",'Poland Capital Costs'!$A$82,"Model Energy Source","Natural Gas Peaker")*1000*'Cost Improvement'!L46</f>
        <v>918695.45245751028</v>
      </c>
      <c r="M29" s="5">
        <f>'Poland Capital Costs'!$B$96*'Cost Improvement'!B46*1000</f>
        <v>2603852.4110614858</v>
      </c>
      <c r="N29" s="26">
        <v>0</v>
      </c>
    </row>
    <row r="30" spans="1:14" x14ac:dyDescent="0.25">
      <c r="A30" s="1">
        <v>2043</v>
      </c>
      <c r="B30" s="5">
        <f>'Poland Capital Costs'!$B$95*'Cost Improvement'!B47*1000</f>
        <v>2251045.5118241049</v>
      </c>
      <c r="C30" s="5">
        <f>GETPIVOTDATA("Average of Capital Cost",'Poland Capital Costs'!$A$82,"Model Energy Source","Natural Gas Nonpeaker")*'Cost Improvement'!C47*1000</f>
        <v>1224927.2699433472</v>
      </c>
      <c r="D30" s="5">
        <f>GETPIVOTDATA("Average of Capital Cost",'Poland Capital Costs'!$A$82,"Model Energy Source","Nuclear")*'Cost Improvement'!D47*1000</f>
        <v>5649977.0326136881</v>
      </c>
      <c r="E30" s="5">
        <f>GETPIVOTDATA("Average of Capital Cost",'Poland Capital Costs'!$A$82,"Model Energy Source","Hydro")*'Cost Improvement'!E47*1000</f>
        <v>5512172.7147450624</v>
      </c>
      <c r="F30" s="5">
        <v>0</v>
      </c>
      <c r="G30" s="5">
        <v>0</v>
      </c>
      <c r="H30" s="5">
        <f>'Poland Capital Costs'!$B$91*'Cost Improvement'!H47*1000</f>
        <v>6703090.0457913456</v>
      </c>
      <c r="I30" s="5">
        <f>GETPIVOTDATA("Average of Capital Cost",'Poland Capital Costs'!$A$82,"Model Energy Source","Biomass")*'Cost Improvement'!I47*1000</f>
        <v>2894059.3174581761</v>
      </c>
      <c r="J30" s="5">
        <f>'Poland Capital Costs'!$B$92*'Cost Improvement'!J47*1000</f>
        <v>2423520</v>
      </c>
      <c r="K30" s="5">
        <f>'Poland Capital Costs'!$B$93*1000*'Cost Improvement'!K47</f>
        <v>1043492.7790299691</v>
      </c>
      <c r="L30" s="5">
        <f>GETPIVOTDATA("Average of Capital Cost",'Poland Capital Costs'!$A$82,"Model Energy Source","Natural Gas Peaker")*1000*'Cost Improvement'!L47</f>
        <v>918695.45245751028</v>
      </c>
      <c r="M30" s="5">
        <f>'Poland Capital Costs'!$B$96*'Cost Improvement'!B47*1000</f>
        <v>2600770.3068777402</v>
      </c>
      <c r="N30" s="26">
        <v>0</v>
      </c>
    </row>
    <row r="31" spans="1:14" x14ac:dyDescent="0.25">
      <c r="A31" s="1">
        <v>2044</v>
      </c>
      <c r="B31" s="5">
        <f>'Poland Capital Costs'!$B$95*'Cost Improvement'!B48*1000</f>
        <v>2248381.0148809133</v>
      </c>
      <c r="C31" s="5">
        <f>GETPIVOTDATA("Average of Capital Cost",'Poland Capital Costs'!$A$82,"Model Energy Source","Natural Gas Nonpeaker")*'Cost Improvement'!C48*1000</f>
        <v>1224927.2699433472</v>
      </c>
      <c r="D31" s="5">
        <f>GETPIVOTDATA("Average of Capital Cost",'Poland Capital Costs'!$A$82,"Model Energy Source","Nuclear")*'Cost Improvement'!D48*1000</f>
        <v>5649977.0326136881</v>
      </c>
      <c r="E31" s="5">
        <f>GETPIVOTDATA("Average of Capital Cost",'Poland Capital Costs'!$A$82,"Model Energy Source","Hydro")*'Cost Improvement'!E48*1000</f>
        <v>5512172.7147450624</v>
      </c>
      <c r="F31" s="5">
        <v>0</v>
      </c>
      <c r="G31" s="5">
        <v>0</v>
      </c>
      <c r="H31" s="5">
        <f>'Poland Capital Costs'!$B$91*'Cost Improvement'!H48*1000</f>
        <v>6675725.485498134</v>
      </c>
      <c r="I31" s="5">
        <f>GETPIVOTDATA("Average of Capital Cost",'Poland Capital Costs'!$A$82,"Model Energy Source","Biomass")*'Cost Improvement'!I48*1000</f>
        <v>2888612.8054410592</v>
      </c>
      <c r="J31" s="5">
        <f>'Poland Capital Costs'!$B$92*'Cost Improvement'!J48*1000</f>
        <v>2423520</v>
      </c>
      <c r="K31" s="5">
        <f>'Poland Capital Costs'!$B$93*1000*'Cost Improvement'!K48</f>
        <v>1043492.7790299691</v>
      </c>
      <c r="L31" s="5">
        <f>GETPIVOTDATA("Average of Capital Cost",'Poland Capital Costs'!$A$82,"Model Energy Source","Natural Gas Peaker")*1000*'Cost Improvement'!L48</f>
        <v>918695.45245751028</v>
      </c>
      <c r="M31" s="5">
        <f>'Poland Capital Costs'!$B$96*'Cost Improvement'!B48*1000</f>
        <v>2597691.8508908586</v>
      </c>
      <c r="N31" s="26">
        <v>0</v>
      </c>
    </row>
    <row r="32" spans="1:14" x14ac:dyDescent="0.25">
      <c r="A32" s="1">
        <v>2045</v>
      </c>
      <c r="B32" s="5">
        <f>'Poland Capital Costs'!$B$95*'Cost Improvement'!B49*1000</f>
        <v>2245719.6718250699</v>
      </c>
      <c r="C32" s="5">
        <f>GETPIVOTDATA("Average of Capital Cost",'Poland Capital Costs'!$A$82,"Model Energy Source","Natural Gas Nonpeaker")*'Cost Improvement'!C49*1000</f>
        <v>1224927.2699433472</v>
      </c>
      <c r="D32" s="5">
        <f>GETPIVOTDATA("Average of Capital Cost",'Poland Capital Costs'!$A$82,"Model Energy Source","Nuclear")*'Cost Improvement'!D49*1000</f>
        <v>5649977.0326136881</v>
      </c>
      <c r="E32" s="5">
        <f>GETPIVOTDATA("Average of Capital Cost",'Poland Capital Costs'!$A$82,"Model Energy Source","Hydro")*'Cost Improvement'!E49*1000</f>
        <v>5512172.7147450624</v>
      </c>
      <c r="F32" s="5">
        <v>0</v>
      </c>
      <c r="G32" s="5">
        <v>0</v>
      </c>
      <c r="H32" s="5">
        <f>'Poland Capital Costs'!$B$91*'Cost Improvement'!H49*1000</f>
        <v>6648472.6377367424</v>
      </c>
      <c r="I32" s="5">
        <f>GETPIVOTDATA("Average of Capital Cost",'Poland Capital Costs'!$A$82,"Model Energy Source","Biomass")*'Cost Improvement'!I49*1000</f>
        <v>2883176.543557025</v>
      </c>
      <c r="J32" s="5">
        <f>'Poland Capital Costs'!$B$92*'Cost Improvement'!J49*1000</f>
        <v>2423520</v>
      </c>
      <c r="K32" s="5">
        <f>'Poland Capital Costs'!$B$93*1000*'Cost Improvement'!K49</f>
        <v>1043492.7790299691</v>
      </c>
      <c r="L32" s="5">
        <f>GETPIVOTDATA("Average of Capital Cost",'Poland Capital Costs'!$A$82,"Model Energy Source","Natural Gas Peaker")*1000*'Cost Improvement'!L49</f>
        <v>918695.45245751028</v>
      </c>
      <c r="M32" s="5">
        <f>'Poland Capital Costs'!$B$96*'Cost Improvement'!B49*1000</f>
        <v>2594617.0387825756</v>
      </c>
      <c r="N32" s="26">
        <v>0</v>
      </c>
    </row>
    <row r="33" spans="1:14" x14ac:dyDescent="0.25">
      <c r="A33" s="1">
        <v>2046</v>
      </c>
      <c r="B33" s="5">
        <f>'Poland Capital Costs'!$B$95*'Cost Improvement'!B50*1000</f>
        <v>2243061.4789234111</v>
      </c>
      <c r="C33" s="5">
        <f>GETPIVOTDATA("Average of Capital Cost",'Poland Capital Costs'!$A$82,"Model Energy Source","Natural Gas Nonpeaker")*'Cost Improvement'!C50*1000</f>
        <v>1224927.2699433472</v>
      </c>
      <c r="D33" s="5">
        <f>GETPIVOTDATA("Average of Capital Cost",'Poland Capital Costs'!$A$82,"Model Energy Source","Nuclear")*'Cost Improvement'!D50*1000</f>
        <v>5649977.0326136881</v>
      </c>
      <c r="E33" s="5">
        <f>GETPIVOTDATA("Average of Capital Cost",'Poland Capital Costs'!$A$82,"Model Energy Source","Hydro")*'Cost Improvement'!E50*1000</f>
        <v>5512172.7147450624</v>
      </c>
      <c r="F33" s="5">
        <v>0</v>
      </c>
      <c r="G33" s="5">
        <v>0</v>
      </c>
      <c r="H33" s="5">
        <f>'Poland Capital Costs'!$B$91*'Cost Improvement'!H50*1000</f>
        <v>6621331.0464541754</v>
      </c>
      <c r="I33" s="5">
        <f>GETPIVOTDATA("Average of Capital Cost",'Poland Capital Costs'!$A$82,"Model Energy Source","Biomass")*'Cost Improvement'!I50*1000</f>
        <v>2877750.5125157041</v>
      </c>
      <c r="J33" s="5">
        <f>'Poland Capital Costs'!$B$92*'Cost Improvement'!J50*1000</f>
        <v>2423520</v>
      </c>
      <c r="K33" s="5">
        <f>'Poland Capital Costs'!$B$93*1000*'Cost Improvement'!K50</f>
        <v>1043492.7790299691</v>
      </c>
      <c r="L33" s="5">
        <f>GETPIVOTDATA("Average of Capital Cost",'Poland Capital Costs'!$A$82,"Model Energy Source","Natural Gas Peaker")*1000*'Cost Improvement'!L50</f>
        <v>918695.45245751028</v>
      </c>
      <c r="M33" s="5">
        <f>'Poland Capital Costs'!$B$96*'Cost Improvement'!B50*1000</f>
        <v>2591545.8662397396</v>
      </c>
      <c r="N33" s="26">
        <v>0</v>
      </c>
    </row>
    <row r="34" spans="1:14" x14ac:dyDescent="0.25">
      <c r="A34" s="1">
        <v>2047</v>
      </c>
      <c r="B34" s="5">
        <f>'Poland Capital Costs'!$B$95*'Cost Improvement'!B51*1000</f>
        <v>2240406.4324471895</v>
      </c>
      <c r="C34" s="5">
        <f>GETPIVOTDATA("Average of Capital Cost",'Poland Capital Costs'!$A$82,"Model Energy Source","Natural Gas Nonpeaker")*'Cost Improvement'!C51*1000</f>
        <v>1224927.2699433472</v>
      </c>
      <c r="D34" s="5">
        <f>GETPIVOTDATA("Average of Capital Cost",'Poland Capital Costs'!$A$82,"Model Energy Source","Nuclear")*'Cost Improvement'!D51*1000</f>
        <v>5649977.0326136881</v>
      </c>
      <c r="E34" s="5">
        <f>GETPIVOTDATA("Average of Capital Cost",'Poland Capital Costs'!$A$82,"Model Energy Source","Hydro")*'Cost Improvement'!E51*1000</f>
        <v>5512172.7147450624</v>
      </c>
      <c r="F34" s="5">
        <v>0</v>
      </c>
      <c r="G34" s="5">
        <v>0</v>
      </c>
      <c r="H34" s="5">
        <f>'Poland Capital Costs'!$B$91*'Cost Improvement'!H51*1000</f>
        <v>6594300.2574592158</v>
      </c>
      <c r="I34" s="5">
        <f>GETPIVOTDATA("Average of Capital Cost",'Poland Capital Costs'!$A$82,"Model Energy Source","Biomass")*'Cost Improvement'!I51*1000</f>
        <v>2872334.6930630314</v>
      </c>
      <c r="J34" s="5">
        <f>'Poland Capital Costs'!$B$92*'Cost Improvement'!J51*1000</f>
        <v>2423520</v>
      </c>
      <c r="K34" s="5">
        <f>'Poland Capital Costs'!$B$93*1000*'Cost Improvement'!K51</f>
        <v>1043492.7790299691</v>
      </c>
      <c r="L34" s="5">
        <f>GETPIVOTDATA("Average of Capital Cost",'Poland Capital Costs'!$A$82,"Model Energy Source","Natural Gas Peaker")*1000*'Cost Improvement'!L51</f>
        <v>918695.45245751028</v>
      </c>
      <c r="M34" s="5">
        <f>'Poland Capital Costs'!$B$96*'Cost Improvement'!B51*1000</f>
        <v>2588478.3289543022</v>
      </c>
      <c r="N34" s="26">
        <v>0</v>
      </c>
    </row>
    <row r="35" spans="1:14" x14ac:dyDescent="0.25">
      <c r="A35" s="1">
        <v>2048</v>
      </c>
      <c r="B35" s="5">
        <f>'Poland Capital Costs'!$B$95*'Cost Improvement'!B52*1000</f>
        <v>2237754.5286720749</v>
      </c>
      <c r="C35" s="5">
        <f>GETPIVOTDATA("Average of Capital Cost",'Poland Capital Costs'!$A$82,"Model Energy Source","Natural Gas Nonpeaker")*'Cost Improvement'!C52*1000</f>
        <v>1224927.2699433472</v>
      </c>
      <c r="D35" s="5">
        <f>GETPIVOTDATA("Average of Capital Cost",'Poland Capital Costs'!$A$82,"Model Energy Source","Nuclear")*'Cost Improvement'!D52*1000</f>
        <v>5649977.0326136881</v>
      </c>
      <c r="E35" s="5">
        <f>GETPIVOTDATA("Average of Capital Cost",'Poland Capital Costs'!$A$82,"Model Energy Source","Hydro")*'Cost Improvement'!E52*1000</f>
        <v>5512172.7147450624</v>
      </c>
      <c r="F35" s="5">
        <v>0</v>
      </c>
      <c r="G35" s="5">
        <v>0</v>
      </c>
      <c r="H35" s="5">
        <f>'Poland Capital Costs'!$B$91*'Cost Improvement'!H52*1000</f>
        <v>6567379.8184148241</v>
      </c>
      <c r="I35" s="5">
        <f>GETPIVOTDATA("Average of Capital Cost",'Poland Capital Costs'!$A$82,"Model Energy Source","Biomass")*'Cost Improvement'!I52*1000</f>
        <v>2866929.0659811753</v>
      </c>
      <c r="J35" s="5">
        <f>'Poland Capital Costs'!$B$92*'Cost Improvement'!J52*1000</f>
        <v>2423520</v>
      </c>
      <c r="K35" s="5">
        <f>'Poland Capital Costs'!$B$93*1000*'Cost Improvement'!K52</f>
        <v>1043492.7790299691</v>
      </c>
      <c r="L35" s="5">
        <f>GETPIVOTDATA("Average of Capital Cost",'Poland Capital Costs'!$A$82,"Model Energy Source","Natural Gas Peaker")*1000*'Cost Improvement'!L52</f>
        <v>918695.45245751028</v>
      </c>
      <c r="M35" s="5">
        <f>'Poland Capital Costs'!$B$96*'Cost Improvement'!B52*1000</f>
        <v>2585414.4226233163</v>
      </c>
      <c r="N35" s="26">
        <v>0</v>
      </c>
    </row>
    <row r="36" spans="1:14" x14ac:dyDescent="0.25">
      <c r="A36" s="1">
        <v>2049</v>
      </c>
      <c r="B36" s="5">
        <f>'Poland Capital Costs'!$B$95*'Cost Improvement'!B53*1000</f>
        <v>2235105.763878142</v>
      </c>
      <c r="C36" s="5">
        <f>GETPIVOTDATA("Average of Capital Cost",'Poland Capital Costs'!$A$82,"Model Energy Source","Natural Gas Nonpeaker")*'Cost Improvement'!C53*1000</f>
        <v>1224927.2699433472</v>
      </c>
      <c r="D36" s="5">
        <f>GETPIVOTDATA("Average of Capital Cost",'Poland Capital Costs'!$A$82,"Model Energy Source","Nuclear")*'Cost Improvement'!D53*1000</f>
        <v>5649977.0326136881</v>
      </c>
      <c r="E36" s="5">
        <f>GETPIVOTDATA("Average of Capital Cost",'Poland Capital Costs'!$A$82,"Model Energy Source","Hydro")*'Cost Improvement'!E53*1000</f>
        <v>5512172.7147450624</v>
      </c>
      <c r="F36" s="5">
        <v>0</v>
      </c>
      <c r="G36" s="5">
        <v>0</v>
      </c>
      <c r="H36" s="5">
        <f>'Poland Capital Costs'!$B$91*'Cost Improvement'!H53*1000</f>
        <v>6540569.2788305823</v>
      </c>
      <c r="I36" s="5">
        <f>GETPIVOTDATA("Average of Capital Cost",'Poland Capital Costs'!$A$82,"Model Energy Source","Biomass")*'Cost Improvement'!I53*1000</f>
        <v>2861533.6120884744</v>
      </c>
      <c r="J36" s="5">
        <f>'Poland Capital Costs'!$B$92*'Cost Improvement'!J53*1000</f>
        <v>2423520</v>
      </c>
      <c r="K36" s="5">
        <f>'Poland Capital Costs'!$B$93*1000*'Cost Improvement'!K53</f>
        <v>1043492.7790299691</v>
      </c>
      <c r="L36" s="5">
        <f>GETPIVOTDATA("Average of Capital Cost",'Poland Capital Costs'!$A$82,"Model Energy Source","Natural Gas Peaker")*1000*'Cost Improvement'!L53</f>
        <v>918695.45245751028</v>
      </c>
      <c r="M36" s="5">
        <f>'Poland Capital Costs'!$B$96*'Cost Improvement'!B53*1000</f>
        <v>2582354.1429489255</v>
      </c>
      <c r="N36" s="26">
        <v>0</v>
      </c>
    </row>
    <row r="37" spans="1:14" x14ac:dyDescent="0.25">
      <c r="A37" s="1">
        <v>2050</v>
      </c>
      <c r="B37" s="5">
        <f>'Poland Capital Costs'!$B$95*'Cost Improvement'!B54*1000</f>
        <v>2232460.1343498714</v>
      </c>
      <c r="C37" s="5">
        <f>GETPIVOTDATA("Average of Capital Cost",'Poland Capital Costs'!$A$82,"Model Energy Source","Natural Gas Nonpeaker")*'Cost Improvement'!C54*1000</f>
        <v>1224927.2699433472</v>
      </c>
      <c r="D37" s="5">
        <f>GETPIVOTDATA("Average of Capital Cost",'Poland Capital Costs'!$A$82,"Model Energy Source","Nuclear")*'Cost Improvement'!D54*1000</f>
        <v>5649977.0326136881</v>
      </c>
      <c r="E37" s="5">
        <f>GETPIVOTDATA("Average of Capital Cost",'Poland Capital Costs'!$A$82,"Model Energy Source","Hydro")*'Cost Improvement'!E54*1000</f>
        <v>5512172.7147450624</v>
      </c>
      <c r="F37" s="5">
        <v>0</v>
      </c>
      <c r="G37" s="5">
        <v>0</v>
      </c>
      <c r="H37" s="5">
        <f>'Poland Capital Costs'!$B$91*'Cost Improvement'!H54*1000</f>
        <v>6513868.1900551356</v>
      </c>
      <c r="I37" s="5">
        <f>GETPIVOTDATA("Average of Capital Cost",'Poland Capital Costs'!$A$82,"Model Energy Source","Biomass")*'Cost Improvement'!I54*1000</f>
        <v>2856148.3122393647</v>
      </c>
      <c r="J37" s="5">
        <f>'Poland Capital Costs'!$B$92*'Cost Improvement'!J54*1000</f>
        <v>2423520</v>
      </c>
      <c r="K37" s="5">
        <f>'Poland Capital Costs'!$B$93*1000*'Cost Improvement'!K54</f>
        <v>1043492.7790299691</v>
      </c>
      <c r="L37" s="5">
        <f>GETPIVOTDATA("Average of Capital Cost",'Poland Capital Costs'!$A$82,"Model Energy Source","Natural Gas Peaker")*1000*'Cost Improvement'!L54</f>
        <v>918695.45245751028</v>
      </c>
      <c r="M37" s="5">
        <f>'Poland Capital Costs'!$B$96*'Cost Improvement'!B54*1000</f>
        <v>2579297.4856383633</v>
      </c>
      <c r="N37" s="26">
        <v>0</v>
      </c>
    </row>
    <row r="38" spans="1:14" x14ac:dyDescent="0.25">
      <c r="B38" s="17"/>
    </row>
    <row r="39" spans="1:14" x14ac:dyDescent="0.25">
      <c r="B39" s="17"/>
    </row>
    <row r="40" spans="1:14" x14ac:dyDescent="0.25">
      <c r="B40" s="17"/>
    </row>
    <row r="41" spans="1:14" x14ac:dyDescent="0.25">
      <c r="B41" s="17"/>
    </row>
    <row r="42" spans="1:14" x14ac:dyDescent="0.25">
      <c r="B42" s="17"/>
    </row>
    <row r="43" spans="1:14" x14ac:dyDescent="0.25">
      <c r="B43" s="17"/>
    </row>
    <row r="44" spans="1:14" x14ac:dyDescent="0.25">
      <c r="B44" s="17"/>
    </row>
    <row r="45" spans="1:14" x14ac:dyDescent="0.25">
      <c r="B45" s="17"/>
    </row>
    <row r="46" spans="1:14" x14ac:dyDescent="0.25">
      <c r="B46" s="17"/>
    </row>
    <row r="47" spans="1:14" x14ac:dyDescent="0.25">
      <c r="B47" s="17"/>
    </row>
    <row r="48" spans="1:14" x14ac:dyDescent="0.25">
      <c r="B48" s="17"/>
    </row>
    <row r="49" spans="2:2" x14ac:dyDescent="0.25">
      <c r="B49" s="17"/>
    </row>
    <row r="50" spans="2:2" x14ac:dyDescent="0.25">
      <c r="B50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tabSelected="1" workbookViewId="0">
      <selection activeCell="H12" sqref="H12"/>
    </sheetView>
  </sheetViews>
  <sheetFormatPr defaultRowHeight="15" x14ac:dyDescent="0.25"/>
  <cols>
    <col min="1" max="1" width="23.5703125" customWidth="1"/>
    <col min="2" max="2" width="23.28515625" customWidth="1"/>
    <col min="3" max="3" width="21.85546875" bestFit="1" customWidth="1"/>
  </cols>
  <sheetData>
    <row r="1" spans="1:4" x14ac:dyDescent="0.25">
      <c r="A1" s="22" t="s">
        <v>33</v>
      </c>
      <c r="B1" s="26" t="s">
        <v>222</v>
      </c>
      <c r="C1" s="26" t="s">
        <v>223</v>
      </c>
      <c r="D1" s="26" t="s">
        <v>224</v>
      </c>
    </row>
    <row r="2" spans="1:4" x14ac:dyDescent="0.25">
      <c r="A2" t="s">
        <v>25</v>
      </c>
      <c r="B2" s="21">
        <f>GETPIVOTDATA("Average of Variable O&amp;M",'Poland Capital Costs'!$A$82,"Model Energy Source","Coal")</f>
        <v>3.2996478334098915</v>
      </c>
      <c r="C2">
        <v>0</v>
      </c>
      <c r="D2" s="21">
        <f>B2</f>
        <v>3.2996478334098915</v>
      </c>
    </row>
    <row r="3" spans="1:4" x14ac:dyDescent="0.25">
      <c r="A3" t="s">
        <v>37</v>
      </c>
      <c r="B3" s="21">
        <f>INDEX('Poland Capital Costs'!$C$83:$C$93,MATCH('CCaMC-VOaMCpUC'!A3,'Poland Capital Costs'!$A$83:$A$93,0),1)</f>
        <v>1.7761445414178534</v>
      </c>
      <c r="C3">
        <v>0</v>
      </c>
      <c r="D3" s="21">
        <f t="shared" ref="D3:D14" si="0">B3</f>
        <v>1.7761445414178534</v>
      </c>
    </row>
    <row r="4" spans="1:4" x14ac:dyDescent="0.25">
      <c r="A4" t="s">
        <v>26</v>
      </c>
      <c r="B4" s="21">
        <f>INDEX('Poland Capital Costs'!$C$83:$C$93,MATCH('CCaMC-VOaMCpUC'!A4,'Poland Capital Costs'!$A$83:$A$93,0),1)</f>
        <v>1.2249272699433471</v>
      </c>
      <c r="C4">
        <v>0</v>
      </c>
      <c r="D4" s="21">
        <f t="shared" si="0"/>
        <v>1.2249272699433471</v>
      </c>
    </row>
    <row r="5" spans="1:4" x14ac:dyDescent="0.25">
      <c r="A5" t="s">
        <v>27</v>
      </c>
      <c r="B5" s="21">
        <f>INDEX('Poland Capital Costs'!$C$83:$C$93,MATCH('CCaMC-VOaMCpUC'!A5,'Poland Capital Costs'!$A$83:$A$93,0),1)</f>
        <v>3.5522890828357068</v>
      </c>
      <c r="C5">
        <v>0</v>
      </c>
      <c r="D5" s="21">
        <f t="shared" si="0"/>
        <v>3.5522890828357068</v>
      </c>
    </row>
    <row r="6" spans="1:4" x14ac:dyDescent="0.25">
      <c r="A6" t="s">
        <v>28</v>
      </c>
      <c r="B6" s="21">
        <f>INDEX('Poland Capital Costs'!$C$83:$C$93,MATCH('CCaMC-VOaMCpUC'!A6,'Poland Capital Costs'!$A$83:$A$93,0),1)</f>
        <v>0</v>
      </c>
      <c r="C6">
        <v>0</v>
      </c>
      <c r="D6" s="21">
        <f t="shared" si="0"/>
        <v>0</v>
      </c>
    </row>
    <row r="7" spans="1:4" x14ac:dyDescent="0.25">
      <c r="A7" t="s">
        <v>29</v>
      </c>
      <c r="B7" s="21">
        <f>INDEX('Poland Capital Costs'!$C$83:$C$93,MATCH('CCaMC-VOaMCpUC'!A7,'Poland Capital Costs'!$A$83:$A$93,0),1)</f>
        <v>0</v>
      </c>
      <c r="C7">
        <v>0</v>
      </c>
      <c r="D7" s="21">
        <f t="shared" si="0"/>
        <v>0</v>
      </c>
    </row>
    <row r="8" spans="1:4" x14ac:dyDescent="0.25">
      <c r="A8" t="s">
        <v>30</v>
      </c>
      <c r="B8" s="21">
        <f>INDEX('Poland Capital Costs'!$C$83:$C$93,MATCH('CCaMC-VOaMCpUC'!A8,'Poland Capital Costs'!$A$83:$A$93,0),1)</f>
        <v>29.099999999999998</v>
      </c>
      <c r="C8">
        <v>0</v>
      </c>
      <c r="D8" s="21">
        <f t="shared" si="0"/>
        <v>29.099999999999998</v>
      </c>
    </row>
    <row r="9" spans="1:4" x14ac:dyDescent="0.25">
      <c r="A9" t="s">
        <v>31</v>
      </c>
      <c r="B9" s="21">
        <f>INDEX('Poland Capital Costs'!$C$83:$C$93,MATCH('CCaMC-VOaMCpUC'!A9,'Poland Capital Costs'!$A$83:$A$93,0),1)</f>
        <v>3.5522890828357068</v>
      </c>
      <c r="C9">
        <v>0</v>
      </c>
      <c r="D9" s="21">
        <f t="shared" si="0"/>
        <v>3.5522890828357068</v>
      </c>
    </row>
    <row r="10" spans="1:4" x14ac:dyDescent="0.25">
      <c r="A10" s="26" t="s">
        <v>38</v>
      </c>
      <c r="B10" s="21">
        <f>INDEX('Poland Capital Costs'!$C$83:$C$93,MATCH('CCaMC-VOaMCpUC'!A10,'Poland Capital Costs'!$A$83:$A$93,0),1)</f>
        <v>0</v>
      </c>
      <c r="C10">
        <v>0</v>
      </c>
      <c r="D10" s="21">
        <f t="shared" si="0"/>
        <v>0</v>
      </c>
    </row>
    <row r="11" spans="1:4" x14ac:dyDescent="0.25">
      <c r="A11" s="26" t="s">
        <v>39</v>
      </c>
      <c r="B11" s="21">
        <f>INDEX('Poland Capital Costs'!$C$83:$C$93,MATCH('CCaMC-VOaMCpUC'!A11,'Poland Capital Costs'!$A$83:$A$93,0),1)</f>
        <v>41.73971116119877</v>
      </c>
      <c r="C11">
        <v>0</v>
      </c>
      <c r="D11" s="21">
        <f t="shared" si="0"/>
        <v>41.73971116119877</v>
      </c>
    </row>
    <row r="12" spans="1:4" x14ac:dyDescent="0.25">
      <c r="A12" s="26" t="s">
        <v>40</v>
      </c>
      <c r="B12" s="21">
        <f>INDEX('Poland Capital Costs'!$C$83:$C$93,MATCH('CCaMC-VOaMCpUC'!A12,'Poland Capital Costs'!$A$83:$A$93,0),1)</f>
        <v>1.7761445414178534</v>
      </c>
      <c r="C12">
        <v>0</v>
      </c>
      <c r="D12" s="21">
        <f t="shared" si="0"/>
        <v>1.7761445414178534</v>
      </c>
    </row>
    <row r="13" spans="1:4" x14ac:dyDescent="0.25">
      <c r="A13" t="s">
        <v>218</v>
      </c>
      <c r="B13" s="5">
        <f>'Poland Capital Costs'!C96</f>
        <v>3.7054049915786251</v>
      </c>
      <c r="C13">
        <v>0</v>
      </c>
      <c r="D13" s="21">
        <f t="shared" si="0"/>
        <v>3.7054049915786251</v>
      </c>
    </row>
    <row r="14" spans="1:4" x14ac:dyDescent="0.25">
      <c r="A14" t="s">
        <v>219</v>
      </c>
      <c r="B14">
        <f>GETPIVOTDATA("Average of Variable O&amp;M",'Poland Capital Costs'!$A$82,"Model Energy Source","Wind")</f>
        <v>0</v>
      </c>
      <c r="C14">
        <v>0</v>
      </c>
      <c r="D14" s="21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sheetData>
    <row r="1" spans="1:4" x14ac:dyDescent="0.25">
      <c r="A1">
        <v>3.11</v>
      </c>
      <c r="B1" t="s">
        <v>112</v>
      </c>
      <c r="D1" t="s">
        <v>115</v>
      </c>
    </row>
    <row r="2" spans="1:4" x14ac:dyDescent="0.25">
      <c r="A2">
        <v>1.05</v>
      </c>
      <c r="B2" t="s">
        <v>113</v>
      </c>
    </row>
    <row r="3" spans="1:4" x14ac:dyDescent="0.25">
      <c r="A3">
        <f>A1*A2</f>
        <v>3.2654999999999998</v>
      </c>
      <c r="B3" t="s">
        <v>114</v>
      </c>
    </row>
    <row r="4" spans="1:4" x14ac:dyDescent="0.25">
      <c r="A4" s="26">
        <v>0.97</v>
      </c>
      <c r="B4" t="s">
        <v>142</v>
      </c>
    </row>
    <row r="5" spans="1:4" x14ac:dyDescent="0.25">
      <c r="A5">
        <v>0.99</v>
      </c>
      <c r="B5" t="s">
        <v>151</v>
      </c>
    </row>
    <row r="6" spans="1:4" x14ac:dyDescent="0.25">
      <c r="A6">
        <v>0.72599999999999998</v>
      </c>
      <c r="B6" t="s">
        <v>156</v>
      </c>
    </row>
    <row r="7" spans="1:4" x14ac:dyDescent="0.25">
      <c r="A7">
        <f>A6*A5</f>
        <v>0.71873999999999993</v>
      </c>
      <c r="B7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Cost Improvement</vt:lpstr>
      <vt:lpstr>CCaMC-AFOaMCpUC</vt:lpstr>
      <vt:lpstr>Nuclear Fixed O&amp;M Calcs</vt:lpstr>
      <vt:lpstr>Poland Capital Costs</vt:lpstr>
      <vt:lpstr>CCaMC-BCCpUC</vt:lpstr>
      <vt:lpstr>CCaMC-VOaMCpUC</vt:lpstr>
      <vt:lpstr>Currency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2014-02-14T06:19:38Z</dcterms:created>
  <dcterms:modified xsi:type="dcterms:W3CDTF">2017-08-08T23:55:58Z</dcterms:modified>
</cp:coreProperties>
</file>