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0" windowWidth="27795" windowHeight="14130"/>
  </bookViews>
  <sheets>
    <sheet name="About" sheetId="8" r:id="rId1"/>
    <sheet name="Calculations" sheetId="2" r:id="rId2"/>
    <sheet name="Cost Curve" sheetId="5" r:id="rId3"/>
    <sheet name="2.0.0-saudiarabia-Example" sheetId="9" r:id="rId4"/>
  </sheets>
  <definedNames>
    <definedName name="_xlnm._FilterDatabase" localSheetId="2" hidden="1">'Cost Curve'!$A$1:$C$26</definedName>
  </definedNames>
  <calcPr calcId="145621"/>
</workbook>
</file>

<file path=xl/calcChain.xml><?xml version="1.0" encoding="utf-8"?>
<calcChain xmlns="http://schemas.openxmlformats.org/spreadsheetml/2006/main">
  <c r="A43" i="5" l="1"/>
  <c r="C18" i="2"/>
  <c r="C3" i="2"/>
  <c r="C26" i="2"/>
  <c r="C21" i="2"/>
  <c r="C6" i="2"/>
  <c r="C13" i="2"/>
  <c r="C15" i="2"/>
  <c r="C22" i="2"/>
  <c r="C20" i="2"/>
  <c r="C10" i="2"/>
  <c r="C19" i="2"/>
  <c r="C7" i="2"/>
  <c r="C14" i="2"/>
  <c r="C11" i="2"/>
  <c r="C25" i="2"/>
  <c r="C27" i="2"/>
  <c r="C9" i="2"/>
  <c r="C23" i="2"/>
  <c r="C16" i="2"/>
  <c r="C12" i="2"/>
  <c r="C24" i="2"/>
  <c r="C5" i="2"/>
  <c r="C8" i="2"/>
  <c r="C4" i="2"/>
  <c r="C17" i="2"/>
  <c r="A5" i="5" l="1"/>
  <c r="A10" i="5"/>
  <c r="A8" i="5"/>
  <c r="D13" i="2"/>
  <c r="A26" i="5" l="1"/>
  <c r="A23" i="5" l="1"/>
  <c r="A15" i="5"/>
  <c r="A11" i="5"/>
  <c r="A2" i="5"/>
  <c r="A4" i="5"/>
  <c r="A13" i="5"/>
  <c r="A9" i="5"/>
  <c r="A12" i="5"/>
  <c r="A3" i="5"/>
  <c r="A7" i="5"/>
  <c r="A6" i="5"/>
  <c r="A14" i="5"/>
  <c r="A18" i="5"/>
  <c r="A17" i="5"/>
  <c r="A22" i="5"/>
  <c r="A21" i="5"/>
  <c r="A17" i="2"/>
  <c r="D27" i="2"/>
  <c r="D20" i="2"/>
  <c r="J18" i="2"/>
  <c r="J19" i="2"/>
  <c r="D19" i="2"/>
  <c r="D18" i="2"/>
  <c r="D17" i="2"/>
  <c r="J10" i="2"/>
  <c r="D12" i="2"/>
  <c r="J8" i="2"/>
  <c r="J17" i="2"/>
  <c r="J4" i="2"/>
  <c r="D8" i="2"/>
  <c r="J14" i="2"/>
  <c r="J13" i="2"/>
  <c r="D11" i="2"/>
  <c r="J6" i="2"/>
  <c r="D15" i="2"/>
  <c r="J5" i="2"/>
  <c r="J3" i="2"/>
  <c r="J12" i="2"/>
  <c r="D10" i="2"/>
  <c r="J9" i="2"/>
  <c r="D7" i="2"/>
  <c r="D16" i="2"/>
  <c r="J16" i="2"/>
  <c r="J7" i="2"/>
  <c r="J11" i="2"/>
  <c r="D3" i="2"/>
  <c r="D9" i="2"/>
  <c r="J15" i="2"/>
  <c r="D6" i="2"/>
  <c r="D4" i="2"/>
  <c r="D5" i="2"/>
  <c r="D14" i="2"/>
  <c r="E27" i="2" l="1"/>
  <c r="A24" i="5"/>
  <c r="E20" i="2"/>
  <c r="A19" i="5"/>
  <c r="K3" i="2"/>
  <c r="L3" i="2" s="1"/>
  <c r="A20" i="5"/>
  <c r="A16" i="5"/>
  <c r="A25"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D25" i="2"/>
  <c r="J24" i="2"/>
  <c r="J23" i="2"/>
  <c r="D22" i="2"/>
  <c r="J20" i="2"/>
  <c r="D21" i="2"/>
  <c r="J22" i="2"/>
  <c r="J21" i="2"/>
  <c r="D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23" i="5" s="1"/>
  <c r="F4" i="2"/>
  <c r="F16" i="2"/>
  <c r="F12" i="2"/>
  <c r="F26" i="2"/>
  <c r="G26" i="2" s="1"/>
  <c r="H26" i="2" s="1"/>
  <c r="B25" i="5" s="1"/>
  <c r="F19" i="2"/>
  <c r="F6" i="2"/>
  <c r="F21" i="2"/>
  <c r="F25" i="2"/>
  <c r="F14" i="2"/>
  <c r="F22" i="2"/>
  <c r="F15" i="2"/>
  <c r="F9" i="2"/>
  <c r="F20" i="2"/>
  <c r="F11" i="2"/>
  <c r="F7" i="2"/>
  <c r="F18" i="2"/>
  <c r="F27" i="2"/>
  <c r="G27" i="2" s="1"/>
  <c r="M27" i="2" s="1"/>
  <c r="C26" i="5" s="1"/>
  <c r="F24" i="2"/>
  <c r="F10" i="2"/>
  <c r="F13" i="2"/>
  <c r="F17" i="2"/>
  <c r="G25" i="2" l="1"/>
  <c r="H25" i="2" s="1"/>
  <c r="B24" i="5" s="1"/>
  <c r="M3" i="2"/>
  <c r="C23" i="5" s="1"/>
  <c r="G22" i="2"/>
  <c r="M22" i="2" s="1"/>
  <c r="C19" i="5" s="1"/>
  <c r="G7" i="2"/>
  <c r="H7" i="2" s="1"/>
  <c r="B4" i="5" s="1"/>
  <c r="M26" i="2"/>
  <c r="C25" i="5" s="1"/>
  <c r="G24" i="2"/>
  <c r="M24" i="2" s="1"/>
  <c r="C21" i="5" s="1"/>
  <c r="G15" i="2"/>
  <c r="M15" i="2" s="1"/>
  <c r="C7" i="5" s="1"/>
  <c r="H27" i="2"/>
  <c r="G19" i="2"/>
  <c r="M19" i="2" s="1"/>
  <c r="C17" i="5" s="1"/>
  <c r="G21" i="2"/>
  <c r="M21" i="2" s="1"/>
  <c r="C20" i="5" s="1"/>
  <c r="G10" i="2"/>
  <c r="M10" i="2" s="1"/>
  <c r="C12" i="5" s="1"/>
  <c r="G23" i="2"/>
  <c r="G8" i="2"/>
  <c r="M8" i="2" s="1"/>
  <c r="C13" i="5" s="1"/>
  <c r="G12" i="2"/>
  <c r="M12" i="2" s="1"/>
  <c r="C8" i="5" s="1"/>
  <c r="G17" i="2"/>
  <c r="M17" i="2" s="1"/>
  <c r="C14" i="5" s="1"/>
  <c r="G6" i="2"/>
  <c r="M6" i="2" s="1"/>
  <c r="C2" i="5" s="1"/>
  <c r="G13" i="2"/>
  <c r="H13" i="2" s="1"/>
  <c r="B5" i="5" s="1"/>
  <c r="G16" i="2"/>
  <c r="H16" i="2" s="1"/>
  <c r="B6" i="5" s="1"/>
  <c r="G20" i="2"/>
  <c r="G5" i="2"/>
  <c r="H5" i="2" s="1"/>
  <c r="B11" i="5" s="1"/>
  <c r="G14" i="2"/>
  <c r="H14" i="2" s="1"/>
  <c r="B10" i="5" s="1"/>
  <c r="G4" i="2"/>
  <c r="M4" i="2" s="1"/>
  <c r="C15" i="5" s="1"/>
  <c r="G11" i="2"/>
  <c r="H11" i="2" s="1"/>
  <c r="B3" i="5" s="1"/>
  <c r="G9" i="2"/>
  <c r="H9" i="2" s="1"/>
  <c r="B9" i="5" s="1"/>
  <c r="G18" i="2"/>
  <c r="M18" i="2" s="1"/>
  <c r="C18" i="5" s="1"/>
  <c r="B26" i="5" l="1"/>
  <c r="A86" i="5" s="1"/>
  <c r="Y41" i="5"/>
  <c r="C98" i="5"/>
  <c r="M25" i="2"/>
  <c r="C24" i="5" s="1"/>
  <c r="X88" i="5" s="1"/>
  <c r="M7" i="2"/>
  <c r="C4" i="5" s="1"/>
  <c r="H12" i="2"/>
  <c r="H4" i="2"/>
  <c r="B15" i="5" s="1"/>
  <c r="M16" i="2"/>
  <c r="C6" i="5" s="1"/>
  <c r="H10" i="2"/>
  <c r="B12" i="5" s="1"/>
  <c r="H22" i="2"/>
  <c r="B19" i="5" s="1"/>
  <c r="H15" i="2"/>
  <c r="B7" i="5" s="1"/>
  <c r="M5" i="2"/>
  <c r="C11" i="5" s="1"/>
  <c r="M14" i="2"/>
  <c r="C10" i="5" s="1"/>
  <c r="Z92" i="5" s="1"/>
  <c r="H18" i="2"/>
  <c r="B18" i="5" s="1"/>
  <c r="H17" i="2"/>
  <c r="B14" i="5" s="1"/>
  <c r="M11" i="2"/>
  <c r="C3" i="5" s="1"/>
  <c r="H6" i="2"/>
  <c r="B2" i="5" s="1"/>
  <c r="A44" i="5" s="1"/>
  <c r="H19" i="2"/>
  <c r="B17" i="5" s="1"/>
  <c r="H21" i="2"/>
  <c r="B20" i="5" s="1"/>
  <c r="M13" i="2"/>
  <c r="C5" i="5" s="1"/>
  <c r="H24" i="2"/>
  <c r="B21" i="5" s="1"/>
  <c r="M23" i="2"/>
  <c r="C22" i="5" s="1"/>
  <c r="H23" i="2"/>
  <c r="B22" i="5" s="1"/>
  <c r="M9" i="2"/>
  <c r="C9" i="5" s="1"/>
  <c r="H8" i="2"/>
  <c r="B13" i="5" s="1"/>
  <c r="M20" i="2"/>
  <c r="C16" i="5" s="1"/>
  <c r="H20" i="2"/>
  <c r="B16" i="5" s="1"/>
  <c r="T79" i="5" l="1"/>
  <c r="V84" i="5"/>
  <c r="R76" i="5"/>
  <c r="V83" i="5"/>
  <c r="C96" i="5"/>
  <c r="B8" i="5"/>
  <c r="H41" i="5" s="1"/>
  <c r="W41" i="5"/>
  <c r="R41" i="5"/>
  <c r="Z41" i="5"/>
  <c r="N41" i="5"/>
  <c r="N67" i="5"/>
  <c r="C45" i="5"/>
  <c r="W86" i="5"/>
  <c r="C99" i="5"/>
  <c r="W85" i="5"/>
  <c r="C41" i="5"/>
  <c r="D41" i="5"/>
  <c r="G53" i="5"/>
  <c r="G41" i="5"/>
  <c r="I41" i="5"/>
  <c r="K41" i="5"/>
  <c r="S77" i="5"/>
  <c r="K62" i="5"/>
  <c r="S78" i="5"/>
  <c r="O70" i="5"/>
  <c r="O69" i="5"/>
  <c r="L63" i="5"/>
  <c r="L41" i="5"/>
  <c r="J60" i="5"/>
  <c r="J59" i="5"/>
  <c r="U41" i="5"/>
  <c r="F41" i="5"/>
  <c r="O41" i="5"/>
  <c r="S41" i="5"/>
  <c r="B41" i="5"/>
  <c r="Q41" i="5"/>
  <c r="V41" i="5"/>
  <c r="M41" i="5"/>
  <c r="T41" i="5"/>
  <c r="E41" i="5"/>
  <c r="A45" i="5"/>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A46" i="5" l="1"/>
  <c r="A47" i="5" s="1"/>
  <c r="A48" i="5" s="1"/>
  <c r="P41" i="5"/>
  <c r="J41" i="5"/>
  <c r="C97" i="5"/>
  <c r="X41" i="5"/>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<sst xmlns="http://schemas.openxmlformats.org/spreadsheetml/2006/main" count="160" uniqueCount="94">
  <si>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</si>
  <si>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</si>
  <si>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</si>
  <si>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</si>
  <si>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</si>
  <si>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</si>
  <si>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</si>
  <si>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DisabledPolicyGroup=Reduce F-gases</t>
  </si>
  <si>
    <t>Disabled Policy Group</t>
  </si>
  <si>
    <t>This is the width of each box.</t>
  </si>
  <si>
    <t>Cost or Savings Attributable to This Policy Group</t>
  </si>
  <si>
    <t>Cost or Savings per Ton Abated (in Dollars per Ton)</t>
  </si>
  <si>
    <t>This is the height of each box.</t>
  </si>
  <si>
    <t>DisabledPolicyGroup=All</t>
  </si>
  <si>
    <t>DisabledPolicies=All</t>
  </si>
  <si>
    <t>Number of Years in Model Run</t>
  </si>
  <si>
    <t>Settings</t>
  </si>
  <si>
    <t>First simulated year</t>
  </si>
  <si>
    <t>Final Year in Cost Curve</t>
  </si>
  <si>
    <t>Source Data Tab Name</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</si>
  <si>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</si>
  <si>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</si>
  <si>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</si>
  <si>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</si>
  <si>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</si>
  <si>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</si>
  <si>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</si>
  <si>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</si>
  <si>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</si>
  <si>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</si>
  <si>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</si>
  <si>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</si>
  <si>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</si>
  <si>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</si>
  <si>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</si>
  <si>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</si>
  <si>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</si>
  <si>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</si>
  <si>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</si>
  <si>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</si>
  <si>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</si>
  <si>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</si>
  <si>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</si>
  <si>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</si>
  <si>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</si>
  <si>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</si>
  <si>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</si>
  <si>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</si>
  <si>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</si>
  <si>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</si>
  <si>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</si>
  <si>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</si>
  <si>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</si>
  <si>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</si>
  <si>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</si>
  <si>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</si>
  <si>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</si>
  <si>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</si>
  <si>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</si>
  <si>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</si>
  <si>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</si>
  <si>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</si>
  <si>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</si>
  <si>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</si>
  <si>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</si>
  <si>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</si>
  <si>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</si>
  <si>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DisabledPolicies=Transportation Demand Management - Passengers, Transportation Demand Management - Freight</t>
  </si>
  <si>
    <t>DisabledPolicies=Reduce F-gases</t>
  </si>
  <si>
    <t>Output First Year NPV of CapEx and OpEx through This Year with Revenue Neutral Taxes and Subsidies</t>
  </si>
  <si>
    <t>First Year NPV of CapEx and OpEx through This Year</t>
  </si>
  <si>
    <t>DisabledPolicyGroup=Increased Retrofitting</t>
  </si>
  <si>
    <t>DisabledPolicies=Retrofit Existing Buildings - Urban Residential, Retrofit Existing Buildings - Rural Residential, Retrofit Existing Buildings - Commercial</t>
  </si>
  <si>
    <t>DisabledPolicyGroup=Cement Clinker Substitution</t>
  </si>
  <si>
    <t>DisabledPolicies=Cement Clinker Substitution</t>
  </si>
  <si>
    <t>DisabledPolicyGroup=EV Sales Mandate</t>
  </si>
  <si>
    <t>DisabledPolicies=Electric Vehicle Sales Mandate - Passenger LDVs</t>
  </si>
  <si>
    <t>DisabledPolicies=Fuel Economy Standard - Passenger HDVs, Fuel Economy Standard - Freight HDVs, Fuel Economy Standard - Passenger Aircraft, Fuel Economy Standard - Passenger Rail, Fuel Economy Standard - Freight Ships, Fuel Economy Standard - Passenger Motorbikes</t>
  </si>
  <si>
    <t>DisabledPolicies=Building Energy Efficiency Standards - Urban Residential Cooling and Ventilation, Building Energy Efficiency Standards - Urban Residential Envelope, Building Energy Efficiency Standards - Urban Residential Lighting, Building Energy Efficiency Standards - Rural Residential Cooling and Ventilation, Building Energy Efficiency Standards - Rural Residential Envelope, Building Energy Efficiency Standards - Rural Residential Lighting, Building Energy Efficiency Standards - Commercial Cooling and Ventilation, Building Energy Efficiency Standards - Commercial Envelope, Building Energy Efficiency Standards - Commercial Lighting, Building Energy Efficiency Standards - Commercial Other Components</t>
  </si>
  <si>
    <t>DisabledPolicyGroup=Carbon-free Electricity Standard</t>
  </si>
  <si>
    <t>DisabledPolicies=Carbon-free Electricity Standard</t>
  </si>
  <si>
    <t>DisabledPolicyGroup=Early Retirement of Power Plants</t>
  </si>
  <si>
    <t>DisabledPolicies=Early Retirement of Power Plants - Crude Oil</t>
  </si>
  <si>
    <t>DisabledPolicyGroup=Increase Transmission</t>
  </si>
  <si>
    <t>DisabledPolicies=Increase Transmission</t>
  </si>
  <si>
    <t>DisabledPolicyGroup=Industry Energy Efficiency Standards</t>
  </si>
  <si>
    <t>DisabledPolicies=Industry Energy Efficiency Standards - Cement Industry, Industry Energy Efficiency Standards - Petroleum and Natural Gas, Industry Energy Efficiency Standards - Iron and Steel Industry, Industry Energy Efficiency Standards - Chemicals Industry, Industry Energy Efficiency Standards - Agriculture, Industry Energy Efficiency Standards - Other Industries</t>
  </si>
  <si>
    <t>DisabledPolicyGroup=Methane Capture</t>
  </si>
  <si>
    <t>DisabledPolicies=Methane Capture</t>
  </si>
  <si>
    <t>DisabledPolicyGroup=Desalination Energy Efficiency</t>
  </si>
  <si>
    <t>DisabledPolicies=Desalination Energy Efficiency Standards</t>
  </si>
  <si>
    <t>DisabledPolicyGroup=Fuel Price Deregulation</t>
  </si>
  <si>
    <t>DisabledPolicies=Fuel Price Deregulation - Natural Gas, Fuel Price Deregulation - Petroleum Gasoline, Fuel Price Deregulation - Petroleum Diesel, Fuel Price Deregulation - Jet Fuel/Kerosene, Fuel Price Deregulation - Crude Oil, Fuel Price Deregulation - Heavy/Residual Fuel Oil, Fuel Price Deregulation - LPG/Propane/Butane</t>
  </si>
  <si>
    <t>2.0.0-saudiarabia-Example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</si>
</sst>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9">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1" fontId="0" fillId="0" borderId="16" xfId="0" applyNumberFormat="1"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0" fillId="0" borderId="17" xfId="0" applyBorder="1" applyAlignment="1">
      <alignment horizontal="righ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xf numFmtId="0" fontId="0" fillId="0" borderId="0" xfId="0"/>
    <xf numFmtId="1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-1294.883198046256</c:v>
                </c:pt>
                <c:pt idx="2">
                  <c:v>-1294.883198046256</c:v>
                </c:pt>
              </c:numCache>
            </c:numRef>
          </c:val>
          <c:extLst xmlns:c16r2="http://schemas.microsoft.com/office/drawing/2015/06/chart">
            <c:ext xmlns:c16="http://schemas.microsoft.com/office/drawing/2014/chart" uri="{C3380CC4-5D6E-409C-BE32-E72D297353CC}">
              <c16:uniqueId val="{00000000-492B-49FD-90E0-AB2E19DD36BE}"/>
            </c:ext>
          </c:extLst>
        </c:ser>
        <c:ser>
          <c:idx val="1"/>
          <c:order val="1"/>
          <c:tx>
            <c:strRef>
              <c:f>'Cost Curve'!$C$41</c:f>
              <c:strCache>
                <c:ptCount val="1"/>
                <c:pt idx="0">
                  <c:v>Increase Transmission</c:v>
                </c:pt>
              </c:strCache>
            </c:strRef>
          </c:tx>
          <c:spPr>
            <a:solidFill>
              <a:schemeClr val="accent2"/>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-655.75290803248845</c:v>
                </c:pt>
                <c:pt idx="4" formatCode="0.00">
                  <c:v>-655.75290803248845</c:v>
                </c:pt>
              </c:numCache>
            </c:numRef>
          </c:val>
          <c:extLst xmlns:c16r2="http://schemas.microsoft.com/office/drawing/2015/06/chart">
            <c:ext xmlns:c16="http://schemas.microsoft.com/office/drawing/2014/chart" uri="{C3380CC4-5D6E-409C-BE32-E72D297353CC}">
              <c16:uniqueId val="{00000001-492B-49FD-90E0-AB2E19DD36BE}"/>
            </c:ext>
          </c:extLst>
        </c:ser>
        <c:ser>
          <c:idx val="2"/>
          <c:order val="2"/>
          <c:tx>
            <c:strRef>
              <c:f>'Cost Curve'!$D$41</c:f>
              <c:strCache>
                <c:ptCount val="1"/>
                <c:pt idx="0">
                  <c:v>Building Energy Efficiency Standards</c:v>
                </c:pt>
              </c:strCache>
            </c:strRef>
          </c:tx>
          <c:spPr>
            <a:solidFill>
              <a:schemeClr val="accent3"/>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-572.00225322591291</c:v>
                </c:pt>
                <c:pt idx="6" formatCode="0.00">
                  <c:v>-572.00225322591291</c:v>
                </c:pt>
              </c:numCache>
            </c:numRef>
          </c:val>
          <c:extLst xmlns:c16r2="http://schemas.microsoft.com/office/drawing/2015/06/chart">
            <c:ext xmlns:c16="http://schemas.microsoft.com/office/drawing/2014/chart" uri="{C3380CC4-5D6E-409C-BE32-E72D297353CC}">
              <c16:uniqueId val="{00000002-492B-49FD-90E0-AB2E19DD36BE}"/>
            </c:ext>
          </c:extLst>
        </c:ser>
        <c:ser>
          <c:idx val="3"/>
          <c:order val="3"/>
          <c:tx>
            <c:strRef>
              <c:f>'Cost Curve'!$E$41</c:f>
              <c:strCache>
                <c:ptCount val="1"/>
                <c:pt idx="0">
                  <c:v>Industry Energy Efficiency Standards</c:v>
                </c:pt>
              </c:strCache>
            </c:strRef>
          </c:tx>
          <c:spPr>
            <a:solidFill>
              <a:schemeClr val="accent4"/>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-160.08130665552659</c:v>
                </c:pt>
                <c:pt idx="8" formatCode="0.00">
                  <c:v>-160.08130665552659</c:v>
                </c:pt>
              </c:numCache>
            </c:numRef>
          </c:val>
          <c:extLst xmlns:c16r2="http://schemas.microsoft.com/office/drawing/2015/06/chart">
            <c:ext xmlns:c16="http://schemas.microsoft.com/office/drawing/2014/chart" uri="{C3380CC4-5D6E-409C-BE32-E72D297353CC}">
              <c16:uniqueId val="{00000003-492B-49FD-90E0-AB2E19DD36BE}"/>
            </c:ext>
          </c:extLst>
        </c:ser>
        <c:ser>
          <c:idx val="4"/>
          <c:order val="4"/>
          <c:tx>
            <c:strRef>
              <c:f>'Cost Curve'!$F$41</c:f>
              <c:strCache>
                <c:ptCount val="1"/>
                <c:pt idx="0">
                  <c:v>Desalination Energy Efficiency</c:v>
                </c:pt>
              </c:strCache>
            </c:strRef>
          </c:tx>
          <c:spPr>
            <a:solidFill>
              <a:schemeClr val="accent5"/>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-94.359269820211466</c:v>
                </c:pt>
                <c:pt idx="10" formatCode="0.00">
                  <c:v>-94.359269820211466</c:v>
                </c:pt>
              </c:numCache>
            </c:numRef>
          </c:val>
          <c:extLst xmlns:c16r2="http://schemas.microsoft.com/office/drawing/2015/06/chart">
            <c:ext xmlns:c16="http://schemas.microsoft.com/office/drawing/2014/chart" uri="{C3380CC4-5D6E-409C-BE32-E72D297353CC}">
              <c16:uniqueId val="{00000004-492B-49FD-90E0-AB2E19DD36BE}"/>
            </c:ext>
          </c:extLst>
        </c:ser>
        <c:ser>
          <c:idx val="5"/>
          <c:order val="5"/>
          <c:tx>
            <c:strRef>
              <c:f>'Cost Curve'!$G$41</c:f>
              <c:strCache>
                <c:ptCount val="1"/>
                <c:pt idx="0">
                  <c:v>Reduce F-gases</c:v>
                </c:pt>
              </c:strCache>
            </c:strRef>
          </c:tx>
          <c:spPr>
            <a:solidFill>
              <a:schemeClr val="accent6"/>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-10.679498519089538</c:v>
                </c:pt>
                <c:pt idx="12" formatCode="0.00">
                  <c:v>-10.679498519089538</c:v>
                </c:pt>
              </c:numCache>
            </c:numRef>
          </c:val>
          <c:extLst xmlns:c16r2="http://schemas.microsoft.com/office/drawing/2015/06/chart">
            <c:ext xmlns:c16="http://schemas.microsoft.com/office/drawing/2014/chart" uri="{C3380CC4-5D6E-409C-BE32-E72D297353CC}">
              <c16:uniqueId val="{00000005-492B-49FD-90E0-AB2E19DD36BE}"/>
            </c:ext>
          </c:extLst>
        </c:ser>
        <c:ser>
          <c:idx val="6"/>
          <c:order val="6"/>
          <c:tx>
            <c:strRef>
              <c:f>'Cost Curve'!$H$41</c:f>
              <c:strCache>
                <c:ptCount val="1"/>
                <c:pt idx="0">
                  <c:v>Cement Clinker Substitution</c:v>
                </c:pt>
              </c:strCache>
            </c:strRef>
          </c:tx>
          <c:spPr>
            <a:solidFill>
              <a:schemeClr val="accent1">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5.3390289986034389</c:v>
                </c:pt>
                <c:pt idx="14" formatCode="0.00">
                  <c:v>5.3390289986034389</c:v>
                </c:pt>
              </c:numCache>
            </c:numRef>
          </c:val>
          <c:extLst xmlns:c16r2="http://schemas.microsoft.com/office/drawing/2015/06/chart">
            <c:ext xmlns:c16="http://schemas.microsoft.com/office/drawing/2014/chart" uri="{C3380CC4-5D6E-409C-BE32-E72D297353CC}">
              <c16:uniqueId val="{00000006-492B-49FD-90E0-AB2E19DD36BE}"/>
            </c:ext>
          </c:extLst>
        </c:ser>
        <c:ser>
          <c:idx val="7"/>
          <c:order val="7"/>
          <c:tx>
            <c:strRef>
              <c:f>'Cost Curve'!$I$41</c:f>
              <c:strCache>
                <c:ptCount val="1"/>
                <c:pt idx="0">
                  <c:v>Carbon-free Electricity Standard</c:v>
                </c:pt>
              </c:strCache>
            </c:strRef>
          </c:tx>
          <c:spPr>
            <a:solidFill>
              <a:schemeClr val="accent2">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18.806044455998997</c:v>
                </c:pt>
                <c:pt idx="16" formatCode="0.00">
                  <c:v>18.806044455998997</c:v>
                </c:pt>
              </c:numCache>
            </c:numRef>
          </c:val>
          <c:extLst xmlns:c16r2="http://schemas.microsoft.com/office/drawing/2015/06/chart">
            <c:ext xmlns:c16="http://schemas.microsoft.com/office/drawing/2014/chart" uri="{C3380CC4-5D6E-409C-BE32-E72D297353CC}">
              <c16:uniqueId val="{00000007-492B-49FD-90E0-AB2E19DD36BE}"/>
            </c:ext>
          </c:extLst>
        </c:ser>
        <c:ser>
          <c:idx val="8"/>
          <c:order val="8"/>
          <c:tx>
            <c:strRef>
              <c:f>'Cost Curve'!$J$41</c:f>
              <c:strCache>
                <c:ptCount val="1"/>
                <c:pt idx="0">
                  <c:v>Methane Capture</c:v>
                </c:pt>
              </c:strCache>
            </c:strRef>
          </c:tx>
          <c:spPr>
            <a:solidFill>
              <a:schemeClr val="accent3">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73.260190183880781</c:v>
                </c:pt>
                <c:pt idx="18" formatCode="0.00">
                  <c:v>73.260190183880781</c:v>
                </c:pt>
              </c:numCache>
            </c:numRef>
          </c:val>
          <c:extLst xmlns:c16r2="http://schemas.microsoft.com/office/drawing/2015/06/chart">
            <c:ext xmlns:c16="http://schemas.microsoft.com/office/drawing/2014/chart" uri="{C3380CC4-5D6E-409C-BE32-E72D297353CC}">
              <c16:uniqueId val="{00000008-492B-49FD-90E0-AB2E19DD36BE}"/>
            </c:ext>
          </c:extLst>
        </c:ser>
        <c:ser>
          <c:idx val="9"/>
          <c:order val="9"/>
          <c:tx>
            <c:strRef>
              <c:f>'Cost Curve'!$K$41</c:f>
              <c:strCache>
                <c:ptCount val="1"/>
                <c:pt idx="0">
                  <c:v>Vehicle Fuel Economy Standards</c:v>
                </c:pt>
              </c:strCache>
            </c:strRef>
          </c:tx>
          <c:spPr>
            <a:solidFill>
              <a:schemeClr val="accent4">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200.68346481293349</c:v>
                </c:pt>
                <c:pt idx="20" formatCode="0.00">
                  <c:v>200.68346481293349</c:v>
                </c:pt>
              </c:numCache>
            </c:numRef>
          </c:val>
          <c:extLst xmlns:c16r2="http://schemas.microsoft.com/office/drawing/2015/06/chart">
            <c:ext xmlns:c16="http://schemas.microsoft.com/office/drawing/2014/chart" uri="{C3380CC4-5D6E-409C-BE32-E72D297353CC}">
              <c16:uniqueId val="{00000009-492B-49FD-90E0-AB2E19DD36BE}"/>
            </c:ext>
          </c:extLst>
        </c:ser>
        <c:ser>
          <c:idx val="10"/>
          <c:order val="10"/>
          <c:tx>
            <c:strRef>
              <c:f>'Cost Curve'!$L$41</c:f>
              <c:strCache>
                <c:ptCount val="1"/>
                <c:pt idx="0">
                  <c:v>Early Retirement of Power Plants</c:v>
                </c:pt>
              </c:strCache>
            </c:strRef>
          </c:tx>
          <c:spPr>
            <a:solidFill>
              <a:schemeClr val="accent5">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276.9246326717776</c:v>
                </c:pt>
                <c:pt idx="22" formatCode="0.00">
                  <c:v>276.9246326717776</c:v>
                </c:pt>
              </c:numCache>
            </c:numRef>
          </c:val>
          <c:extLst xmlns:c16r2="http://schemas.microsoft.com/office/drawing/2015/06/chart">
            <c:ext xmlns:c16="http://schemas.microsoft.com/office/drawing/2014/chart" uri="{C3380CC4-5D6E-409C-BE32-E72D297353CC}">
              <c16:uniqueId val="{0000000A-492B-49FD-90E0-AB2E19DD36BE}"/>
            </c:ext>
          </c:extLst>
        </c:ser>
        <c:ser>
          <c:idx val="11"/>
          <c:order val="11"/>
          <c:tx>
            <c:strRef>
              <c:f>'Cost Curve'!$M$41</c:f>
              <c:strCache>
                <c:ptCount val="1"/>
                <c:pt idx="0">
                  <c:v>Increased Retrofitting</c:v>
                </c:pt>
              </c:strCache>
            </c:strRef>
          </c:tx>
          <c:spPr>
            <a:solidFill>
              <a:schemeClr val="accent6">
                <a:lumMod val="6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447.67962578746983</c:v>
                </c:pt>
                <c:pt idx="24" formatCode="0.00">
                  <c:v>447.67962578746983</c:v>
                </c:pt>
              </c:numCache>
            </c:numRef>
          </c:val>
          <c:extLst xmlns:c16r2="http://schemas.microsoft.com/office/drawing/2015/06/chart">
            <c:ext xmlns:c16="http://schemas.microsoft.com/office/drawing/2014/chart" uri="{C3380CC4-5D6E-409C-BE32-E72D297353CC}">
              <c16:uniqueId val="{0000000B-492B-49FD-90E0-AB2E19DD36BE}"/>
            </c:ext>
          </c:extLst>
        </c:ser>
        <c:ser>
          <c:idx val="12"/>
          <c:order val="12"/>
          <c:tx>
            <c:strRef>
              <c:f>'Cost Curve'!$N$41</c:f>
              <c:strCache>
                <c:ptCount val="1"/>
                <c:pt idx="0">
                  <c:v>Fuel Price Deregulation</c:v>
                </c:pt>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1691.6638794345895</c:v>
                </c:pt>
                <c:pt idx="26" formatCode="0.00">
                  <c:v>1691.6638794345895</c:v>
                </c:pt>
              </c:numCache>
            </c:numRef>
          </c:val>
          <c:extLst xmlns:c16r2="http://schemas.microsoft.com/office/drawing/2015/06/chart">
            <c:ext xmlns:c16="http://schemas.microsoft.com/office/drawing/2014/chart" uri="{C3380CC4-5D6E-409C-BE32-E72D297353CC}">
              <c16:uniqueId val="{0000000C-492B-49FD-90E0-AB2E19DD36BE}"/>
            </c:ext>
          </c:extLst>
        </c:ser>
        <c:ser>
          <c:idx val="13"/>
          <c:order val="13"/>
          <c:tx>
            <c:strRef>
              <c:f>'Cost Curve'!$O$41</c:f>
              <c:strCache>
                <c:ptCount val="1"/>
                <c:pt idx="0">
                  <c:v>EV Sales Mandate</c:v>
                </c:pt>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2022.9999847129372</c:v>
                </c:pt>
                <c:pt idx="28" formatCode="0.00">
                  <c:v>2022.9999847129372</c:v>
                </c:pt>
              </c:numCache>
            </c:numRef>
          </c:val>
          <c:extLst xmlns:c16r2="http://schemas.microsoft.com/office/drawing/2015/06/chart">
            <c:ext xmlns:c16="http://schemas.microsoft.com/office/drawing/2014/chart" uri="{C3380CC4-5D6E-409C-BE32-E72D297353CC}">
              <c16:uniqueId val="{0000000D-492B-49FD-90E0-AB2E19DD36BE}"/>
            </c:ext>
          </c:extLst>
        </c:ser>
        <c:ser>
          <c:idx val="14"/>
          <c:order val="14"/>
          <c:tx>
            <c:strRef>
              <c:f>'Cost Curve'!$P$41</c:f>
              <c:strCache>
                <c:ptCount val="1"/>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#N/A</c:v>
                </c:pt>
                <c:pt idx="30" formatCode="0.00">
                  <c:v>#N/A</c:v>
                </c:pt>
              </c:numCache>
            </c:numRef>
          </c:val>
          <c:extLst xmlns:c16r2="http://schemas.microsoft.com/office/drawing/2015/06/chart">
            <c:ext xmlns:c16="http://schemas.microsoft.com/office/drawing/2014/chart" uri="{C3380CC4-5D6E-409C-BE32-E72D297353CC}">
              <c16:uniqueId val="{0000000E-492B-49FD-90E0-AB2E19DD36BE}"/>
            </c:ext>
          </c:extLst>
        </c:ser>
        <c:ser>
          <c:idx val="15"/>
          <c:order val="15"/>
          <c:tx>
            <c:strRef>
              <c:f>'Cost Curve'!$Q$41</c:f>
              <c:strCache>
                <c:ptCount val="1"/>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#N/A</c:v>
                </c:pt>
                <c:pt idx="32" formatCode="0.00">
                  <c:v>#N/A</c:v>
                </c:pt>
              </c:numCache>
            </c:numRef>
          </c:val>
          <c:extLst xmlns:c16r2="http://schemas.microsoft.com/office/drawing/2015/06/chart">
            <c:ext xmlns:c16="http://schemas.microsoft.com/office/drawing/2014/chart" uri="{C3380CC4-5D6E-409C-BE32-E72D297353CC}">
              <c16:uniqueId val="{0000000F-492B-49FD-90E0-AB2E19DD36BE}"/>
            </c:ext>
          </c:extLst>
        </c:ser>
        <c:ser>
          <c:idx val="16"/>
          <c:order val="16"/>
          <c:tx>
            <c:strRef>
              <c:f>'Cost Curve'!$R$41</c:f>
              <c:strCache>
                <c:ptCount val="1"/>
              </c:strCache>
              <c:extLst xmlns:c15="http://schemas.microsoft.com/office/drawing/2012/chart" xmlns:c16r2="http://schemas.microsoft.com/office/drawing/2015/06/chart"/>
            </c:strRef>
          </c:tx>
          <c:spPr>
            <a:solidFill>
              <a:schemeClr val="accent5">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xmlns:c16r2="http://schemas.microsoft.com/office/drawing/2015/06/chart"/>
            </c:numRef>
          </c:cat>
          <c:val>
            <c:numRef>
              <c:f>'Cost Curve'!$R$42:$R$93</c:f>
              <c:numCache>
                <c:formatCode>General</c:formatCode>
                <c:ptCount val="52"/>
                <c:pt idx="33">
                  <c:v>#N/A</c:v>
                </c:pt>
                <c:pt idx="34">
                  <c:v>#N/A</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10-492B-49FD-90E0-AB2E19DD36BE}"/>
            </c:ext>
          </c:extLst>
        </c:ser>
        <c:ser>
          <c:idx val="17"/>
          <c:order val="17"/>
          <c:tx>
            <c:strRef>
              <c:f>'Cost Curve'!$S$41</c:f>
              <c:strCache>
                <c:ptCount val="1"/>
              </c:strCache>
              <c:extLst xmlns:c15="http://schemas.microsoft.com/office/drawing/2012/chart" xmlns:c16r2="http://schemas.microsoft.com/office/drawing/2015/06/chart"/>
            </c:strRef>
          </c:tx>
          <c:spPr>
            <a:solidFill>
              <a:schemeClr val="accent6">
                <a:lumMod val="80000"/>
                <a:lumOff val="2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xmlns:c16r2="http://schemas.microsoft.com/office/drawing/2015/06/chart"/>
            </c:numRef>
          </c:cat>
          <c:val>
            <c:numRef>
              <c:f>'Cost Curve'!$S$42:$S$93</c:f>
              <c:numCache>
                <c:formatCode>General</c:formatCode>
                <c:ptCount val="52"/>
                <c:pt idx="35">
                  <c:v>#N/A</c:v>
                </c:pt>
                <c:pt idx="36">
                  <c:v>#N/A</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11-492B-49FD-90E0-AB2E19DD36BE}"/>
            </c:ext>
          </c:extLst>
        </c:ser>
        <c:ser>
          <c:idx val="18"/>
          <c:order val="18"/>
          <c:tx>
            <c:strRef>
              <c:f>'Cost Curve'!$T$41</c:f>
              <c:strCache>
                <c:ptCount val="1"/>
              </c:strCache>
              <c:extLst xmlns:c15="http://schemas.microsoft.com/office/drawing/2012/chart" xmlns:c16r2="http://schemas.microsoft.com/office/drawing/2015/06/chart"/>
            </c:strRef>
          </c:tx>
          <c:spPr>
            <a:solidFill>
              <a:schemeClr val="accent1">
                <a:lumMod val="80000"/>
              </a:schemeClr>
            </a:solidFill>
            <a:ln>
              <a:noFill/>
            </a:ln>
            <a:effectLst/>
          </c:spPr>
          <c:cat>
            <c:numRef>
              <c:f>'Cost Curve'!$A$42:$A$93</c:f>
              <c:numCache>
                <c:formatCode>0</c:formatCode>
                <c:ptCount val="52"/>
                <c:pt idx="0">
                  <c:v>0</c:v>
                </c:pt>
                <c:pt idx="1">
                  <c:v>0</c:v>
                </c:pt>
                <c:pt idx="2">
                  <c:v>698.76432344120951</c:v>
                </c:pt>
                <c:pt idx="3">
                  <c:v>698.76432344120951</c:v>
                </c:pt>
                <c:pt idx="4">
                  <c:v>1634.6767154558956</c:v>
                </c:pt>
                <c:pt idx="5">
                  <c:v>1634.6767154558956</c:v>
                </c:pt>
                <c:pt idx="6">
                  <c:v>3129.5320263193285</c:v>
                </c:pt>
                <c:pt idx="7">
                  <c:v>3129.5320263193285</c:v>
                </c:pt>
                <c:pt idx="8">
                  <c:v>5858.4483125195893</c:v>
                </c:pt>
                <c:pt idx="9">
                  <c:v>5858.4483125195893</c:v>
                </c:pt>
                <c:pt idx="10">
                  <c:v>6670.3034779105765</c:v>
                </c:pt>
                <c:pt idx="11">
                  <c:v>6670.3034779105765</c:v>
                </c:pt>
                <c:pt idx="12">
                  <c:v>7359.8149142831653</c:v>
                </c:pt>
                <c:pt idx="13">
                  <c:v>7359.8149142831653</c:v>
                </c:pt>
                <c:pt idx="14">
                  <c:v>7955.769381406395</c:v>
                </c:pt>
                <c:pt idx="15">
                  <c:v>7955.769381406395</c:v>
                </c:pt>
                <c:pt idx="16">
                  <c:v>14842.658956626827</c:v>
                </c:pt>
                <c:pt idx="17">
                  <c:v>14842.658956626827</c:v>
                </c:pt>
                <c:pt idx="18">
                  <c:v>16629.151559912272</c:v>
                </c:pt>
                <c:pt idx="19">
                  <c:v>16629.151559912272</c:v>
                </c:pt>
                <c:pt idx="20">
                  <c:v>17255.948983930895</c:v>
                </c:pt>
                <c:pt idx="21">
                  <c:v>17255.948983930895</c:v>
                </c:pt>
                <c:pt idx="22">
                  <c:v>18376.919117317946</c:v>
                </c:pt>
                <c:pt idx="23">
                  <c:v>18376.919117317946</c:v>
                </c:pt>
                <c:pt idx="24">
                  <c:v>19303.921321785067</c:v>
                </c:pt>
                <c:pt idx="25">
                  <c:v>19303.921321785067</c:v>
                </c:pt>
                <c:pt idx="26">
                  <c:v>25801.846940602474</c:v>
                </c:pt>
                <c:pt idx="27">
                  <c:v>25801.846940602474</c:v>
                </c:pt>
                <c:pt idx="28">
                  <c:v>25984.848484848484</c:v>
                </c:pt>
                <c:pt idx="29">
                  <c:v>25984.848484848484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xmlns:c16r2="http://schemas.microsoft.com/office/drawing/2015/06/chart"/>
            </c:numRef>
          </c:cat>
          <c:val>
            <c:numRef>
              <c:f>'Cost Curve'!$T$42:$T$93</c:f>
              <c:numCache>
                <c:formatCode>General</c:formatCode>
                <c:ptCount val="52"/>
                <c:pt idx="37">
                  <c:v>#N/A</c:v>
                </c:pt>
                <c:pt idx="38">
                  <c:v>#N/A</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12-492B-49FD-90E0-AB2E19DD36BE}"/>
            </c:ext>
          </c:extLst>
        </c:ser>
        <c:dLbls>
          <c:showLegendKey val="0"/>
          <c:showVal val="0"/>
          <c:showCatName val="0"/>
          <c:showSerName val="0"/>
          <c:showPercent val="0"/>
          <c:showBubbleSize val="0"/>
        </c:dLbls>
        <c:axId val="151858560"/>
        <c:axId val="151872640"/>
        <c:extLst xmlns:c16r2="http://schemas.microsoft.com/office/drawing/2015/06/chart">
          <c:ext xmlns:c15="http://schemas.microsoft.com/office/drawing/2012/chart" uri="{02D57815-91ED-43cb-92C2-25804820EDAC}">
            <c15:filteredAreaSeries>
              <c15:ser>
                <c:idx val="19"/>
                <c:order val="19"/>
                <c:tx>
                  <c:strRef>
                    <c:extLst>
                      <c:ext uri="{02D57815-91ED-43cb-92C2-25804820EDAC}">
                        <c15:formulaRef>
                          <c15:sqref>'Cost Curve'!$U$41</c15:sqref>
                        </c15:formulaRef>
                      </c:ext>
                    </c:extLst>
                    <c:strCache>
                      <c:ptCount val="1"/>
                    </c:strCache>
                  </c:strRef>
                </c:tx>
                <c:spPr>
                  <a:solidFill>
                    <a:schemeClr val="accent2">
                      <a:lumMod val="80000"/>
                    </a:schemeClr>
                  </a:solidFill>
                  <a:ln>
                    <a:noFill/>
                  </a:ln>
                  <a:effectLst/>
                </c:spPr>
                <c:cat>
                  <c:numRef>
                    <c:extLst>
                      <c:ex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c:ext uri="{02D57815-91ED-43cb-92C2-25804820EDAC}">
                        <c15:formulaRef>
                          <c15:sqref>'Cost Curve'!$U$42:$U$93</c15:sqref>
                        </c15:formulaRef>
                      </c:ext>
                    </c:extLst>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15:ser>
            </c15:filteredAreaSeries>
            <c15:filteredAreaSeries>
              <c15:ser>
                <c:idx val="20"/>
                <c:order val="20"/>
                <c:tx>
                  <c:strRef>
                    <c:extLst xmlns:c15="http://schemas.microsoft.com/office/drawing/2012/chart">
                      <c:ext xmlns:c15="http://schemas.microsoft.com/office/drawing/2012/chart" uri="{02D57815-91ED-43cb-92C2-25804820EDAC}">
                        <c15:formulaRef>
                          <c15:sqref>'Cost Curve'!$V$41</c15:sqref>
                        </c15:formulaRef>
                      </c:ext>
                    </c:extLst>
                    <c:strCache>
                      <c:ptCount val="1"/>
                    </c:strCache>
                  </c:strRef>
                </c:tx>
                <c:spPr>
                  <a:solidFill>
                    <a:schemeClr val="accent3">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Curve'!$V$42:$V$93</c15:sqref>
                        </c15:formulaRef>
                      </c:ext>
                    </c:extLst>
                    <c:numCache>
                      <c:formatCode>General</c:formatCode>
                      <c:ptCount val="52"/>
                      <c:pt idx="41" formatCode="0.00">
                        <c:v>#N/A</c:v>
                      </c:pt>
                      <c:pt idx="42" formatCode="0.00">
                        <c:v>#N/A</c:v>
                      </c:pt>
                    </c:numCache>
                  </c:numRef>
                </c:val>
                <c:extLst xmlns:c15="http://schemas.microsoft.com/office/drawing/2012/chart">
                  <c:ext xmlns:c16="http://schemas.microsoft.com/office/drawing/2014/chart" uri="{C3380CC4-5D6E-409C-BE32-E72D297353CC}">
                    <c16:uniqueId val="{00000014-492B-49FD-90E0-AB2E19DD36BE}"/>
                  </c:ext>
                </c:extLst>
              </c15:ser>
            </c15:filteredAreaSeries>
            <c15:filteredAreaSeries>
              <c15:ser>
                <c:idx val="21"/>
                <c:order val="21"/>
                <c:tx>
                  <c:strRef>
                    <c:extLst xmlns:c15="http://schemas.microsoft.com/office/drawing/2012/chart">
                      <c:ext xmlns:c15="http://schemas.microsoft.com/office/drawing/2012/chart" uri="{02D57815-91ED-43cb-92C2-25804820EDAC}">
                        <c15:formulaRef>
                          <c15:sqref>'Cost Curve'!$W$41</c15:sqref>
                        </c15:formulaRef>
                      </c:ext>
                    </c:extLst>
                    <c:strCache>
                      <c:ptCount val="1"/>
                    </c:strCache>
                  </c:strRef>
                </c:tx>
                <c:spPr>
                  <a:solidFill>
                    <a:schemeClr val="accent4">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Curve'!$W$42:$W$93</c15:sqref>
                        </c15:formulaRef>
                      </c:ext>
                    </c:extLst>
                    <c:numCache>
                      <c:formatCode>General</c:formatCode>
                      <c:ptCount val="52"/>
                      <c:pt idx="43" formatCode="0.00">
                        <c:v>#N/A</c:v>
                      </c:pt>
                      <c:pt idx="44" formatCode="0.00">
                        <c:v>#N/A</c:v>
                      </c:pt>
                    </c:numCache>
                  </c:numRef>
                </c:val>
                <c:extLst xmlns:c15="http://schemas.microsoft.com/office/drawing/2012/chart">
                  <c:ext xmlns:c16="http://schemas.microsoft.com/office/drawing/2014/chart" uri="{C3380CC4-5D6E-409C-BE32-E72D297353CC}">
                    <c16:uniqueId val="{00000015-492B-49FD-90E0-AB2E19DD36BE}"/>
                  </c:ext>
                </c:extLst>
              </c15:ser>
            </c15:filteredAreaSeries>
            <c15:filteredAreaSeries>
              <c15:ser>
                <c:idx val="22"/>
                <c:order val="22"/>
                <c:tx>
                  <c:strRef>
                    <c:extLst xmlns:c15="http://schemas.microsoft.com/office/drawing/2012/chart">
                      <c:ext xmlns:c15="http://schemas.microsoft.com/office/drawing/2012/chart" uri="{02D57815-91ED-43cb-92C2-25804820EDAC}">
                        <c15:formulaRef>
                          <c15:sqref>'Cost Curve'!$X$41</c15:sqref>
                        </c15:formulaRef>
                      </c:ext>
                    </c:extLst>
                    <c:strCache>
                      <c:ptCount val="1"/>
                    </c:strCache>
                  </c:strRef>
                </c:tx>
                <c:spPr>
                  <a:solidFill>
                    <a:schemeClr val="accent5">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Curve'!$X$42:$X$93</c15:sqref>
                        </c15:formulaRef>
                      </c:ext>
                    </c:extLst>
                    <c:numCache>
                      <c:formatCode>General</c:formatCode>
                      <c:ptCount val="52"/>
                      <c:pt idx="45" formatCode="0.00">
                        <c:v>#N/A</c:v>
                      </c:pt>
                      <c:pt idx="46" formatCode="0.00">
                        <c:v>#N/A</c:v>
                      </c:pt>
                    </c:numCache>
                  </c:numRef>
                </c:val>
                <c:extLst xmlns:c15="http://schemas.microsoft.com/office/drawing/2012/chart">
                  <c:ext xmlns:c16="http://schemas.microsoft.com/office/drawing/2014/chart" uri="{C3380CC4-5D6E-409C-BE32-E72D297353CC}">
                    <c16:uniqueId val="{00000016-492B-49FD-90E0-AB2E19DD36BE}"/>
                  </c:ext>
                </c:extLst>
              </c15:ser>
            </c15:filteredAreaSeries>
            <c15:filteredAreaSeries>
              <c15:ser>
                <c:idx val="23"/>
                <c:order val="23"/>
                <c:tx>
                  <c:strRef>
                    <c:extLst xmlns:c15="http://schemas.microsoft.com/office/drawing/2012/chart">
                      <c:ext xmlns:c15="http://schemas.microsoft.com/office/drawing/2012/chart" uri="{02D57815-91ED-43cb-92C2-25804820EDAC}">
                        <c15:formulaRef>
                          <c15:sqref>'Cost Curve'!$Y$41</c15:sqref>
                        </c15:formulaRef>
                      </c:ext>
                    </c:extLst>
                    <c:strCache>
                      <c:ptCount val="1"/>
                    </c:strCache>
                  </c:strRef>
                </c:tx>
                <c:spPr>
                  <a:solidFill>
                    <a:schemeClr val="accent6">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Curve'!$Y$42:$Y$93</c15:sqref>
                        </c15:formulaRef>
                      </c:ext>
                    </c:extLst>
                    <c:numCache>
                      <c:formatCode>General</c:formatCode>
                      <c:ptCount val="52"/>
                      <c:pt idx="47" formatCode="0.00">
                        <c:v>#N/A</c:v>
                      </c:pt>
                      <c:pt idx="48" formatCode="0.00">
                        <c:v>#N/A</c:v>
                      </c:pt>
                    </c:numCache>
                  </c:numRef>
                </c:val>
                <c:extLst xmlns:c15="http://schemas.microsoft.com/office/drawing/2012/chart">
                  <c:ext xmlns:c16="http://schemas.microsoft.com/office/drawing/2014/chart" uri="{C3380CC4-5D6E-409C-BE32-E72D297353CC}">
                    <c16:uniqueId val="{00000017-492B-49FD-90E0-AB2E19DD36BE}"/>
                  </c:ext>
                </c:extLst>
              </c15:ser>
            </c15:filteredAreaSeries>
            <c15:filteredAreaSeries>
              <c15:ser>
                <c:idx val="24"/>
                <c:order val="24"/>
                <c:tx>
                  <c:strRef>
                    <c:extLst xmlns:c15="http://schemas.microsoft.com/office/drawing/2012/chart">
                      <c:ext xmlns:c15="http://schemas.microsoft.com/office/drawing/2012/chart" uri="{02D57815-91ED-43cb-92C2-25804820EDAC}">
                        <c15:formulaRef>
                          <c15:sqref>'Cost Curve'!$Z$41</c15:sqref>
                        </c15:formulaRef>
                      </c:ext>
                    </c:extLst>
                    <c:strCache>
                      <c:ptCount val="1"/>
                    </c:strCache>
                  </c:strRef>
                </c:tx>
                <c:spPr>
                  <a:solidFill>
                    <a:schemeClr val="accent1">
                      <a:lumMod val="60000"/>
                      <a:lumOff val="4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Curve'!$Z$42:$Z$93</c15:sqref>
                        </c15:formulaRef>
                      </c:ext>
                    </c:extLst>
                    <c:numCache>
                      <c:formatCode>General</c:formatCode>
                      <c:ptCount val="52"/>
                      <c:pt idx="49" formatCode="0.00">
                        <c:v>#N/A</c:v>
                      </c:pt>
                      <c:pt idx="50" formatCode="0.00">
                        <c:v>#N/A</c:v>
                      </c:pt>
                    </c:numCache>
                  </c:numRef>
                </c:val>
                <c:extLst xmlns:c15="http://schemas.microsoft.com/office/drawing/2012/chart">
                  <c:ext xmlns:c16="http://schemas.microsoft.com/office/drawing/2014/chart" uri="{C3380CC4-5D6E-409C-BE32-E72D297353CC}">
                    <c16:uniqueId val="{00000018-492B-49FD-90E0-AB2E19DD36BE}"/>
                  </c:ext>
                </c:extLst>
              </c15:ser>
            </c15:filteredAreaSeries>
          </c:ext>
        </c:extLst>
      </c:areaChart>
      <c:dateAx>
        <c:axId val="151858560"/>
        <c:scaling>
          <c:orientation val="minMax"/>
        </c:scaling>
        <c:delete val="1"/>
        <c:axPos val="b"/>
        <c:numFmt formatCode="0" sourceLinked="1"/>
        <c:majorTickMark val="out"/>
        <c:minorTickMark val="none"/>
        <c:tickLblPos val="nextTo"/>
        <c:crossAx val="151872640"/>
        <c:crosses val="autoZero"/>
        <c:auto val="0"/>
        <c:lblOffset val="100"/>
        <c:baseTimeUnit val="days"/>
      </c:dateAx>
      <c:valAx>
        <c:axId val="15187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 CO2e abated</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585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50"/>
  <sheetViews>
    <sheetView tabSelected="1" workbookViewId="0"/>
  </sheetViews>
  <sheetFormatPr defaultRowHeight="15" x14ac:dyDescent="0.25"/>
  <cols>
    <col min="1" max="1" width="102.85546875" customWidth="1"/>
  </cols>
  <sheetData>
    <row r="1" spans="1:1" x14ac:dyDescent="0.25">
      <c r="A1" s="14" t="s">
        <v>36</v>
      </c>
    </row>
    <row r="3" spans="1:1" x14ac:dyDescent="0.25">
      <c r="A3" t="s">
        <v>37</v>
      </c>
    </row>
    <row r="4" spans="1:1" x14ac:dyDescent="0.25">
      <c r="A4" t="s">
        <v>38</v>
      </c>
    </row>
    <row r="5" spans="1:1" x14ac:dyDescent="0.25">
      <c r="A5" t="s">
        <v>39</v>
      </c>
    </row>
    <row r="7" spans="1:1" x14ac:dyDescent="0.25">
      <c r="A7" t="s">
        <v>49</v>
      </c>
    </row>
    <row r="8" spans="1:1" x14ac:dyDescent="0.25">
      <c r="A8" t="s">
        <v>50</v>
      </c>
    </row>
    <row r="9" spans="1:1" x14ac:dyDescent="0.25">
      <c r="A9" t="s">
        <v>51</v>
      </c>
    </row>
    <row r="12" spans="1:1" x14ac:dyDescent="0.25">
      <c r="A12" s="14" t="s">
        <v>53</v>
      </c>
    </row>
    <row r="14" spans="1:1" x14ac:dyDescent="0.25">
      <c r="A14" t="s">
        <v>52</v>
      </c>
    </row>
    <row r="15" spans="1:1" x14ac:dyDescent="0.25">
      <c r="A15" t="s">
        <v>40</v>
      </c>
    </row>
    <row r="16" spans="1:1" x14ac:dyDescent="0.25">
      <c r="A16" t="s">
        <v>41</v>
      </c>
    </row>
    <row r="18" spans="1:1" x14ac:dyDescent="0.25">
      <c r="A18" t="s">
        <v>42</v>
      </c>
    </row>
    <row r="19" spans="1:1" x14ac:dyDescent="0.25">
      <c r="A19" t="s">
        <v>43</v>
      </c>
    </row>
    <row r="21" spans="1:1" x14ac:dyDescent="0.25">
      <c r="A21" t="s">
        <v>44</v>
      </c>
    </row>
    <row r="22" spans="1:1" x14ac:dyDescent="0.25">
      <c r="A22" t="s">
        <v>45</v>
      </c>
    </row>
    <row r="23" spans="1:1" x14ac:dyDescent="0.25">
      <c r="A23" t="s">
        <v>46</v>
      </c>
    </row>
    <row r="25" spans="1:1" x14ac:dyDescent="0.25">
      <c r="A25" t="s">
        <v>47</v>
      </c>
    </row>
    <row r="26" spans="1:1" x14ac:dyDescent="0.25">
      <c r="A26" t="s">
        <v>48</v>
      </c>
    </row>
    <row r="29" spans="1:1" x14ac:dyDescent="0.25">
      <c r="A29" s="14" t="s">
        <v>54</v>
      </c>
    </row>
    <row r="31" spans="1:1" x14ac:dyDescent="0.25">
      <c r="A31" t="s">
        <v>55</v>
      </c>
    </row>
    <row r="32" spans="1:1" x14ac:dyDescent="0.25">
      <c r="A32" t="s">
        <v>56</v>
      </c>
    </row>
    <row r="34" spans="1:1" x14ac:dyDescent="0.25">
      <c r="A34" t="s">
        <v>57</v>
      </c>
    </row>
    <row r="35" spans="1:1" x14ac:dyDescent="0.25">
      <c r="A35" s="54" t="s">
        <v>3</v>
      </c>
    </row>
    <row r="36" spans="1:1" x14ac:dyDescent="0.25">
      <c r="A36" t="s">
        <v>58</v>
      </c>
    </row>
    <row r="37" spans="1:1" x14ac:dyDescent="0.25">
      <c r="A37" s="54" t="s">
        <v>70</v>
      </c>
    </row>
    <row r="38" spans="1:1" x14ac:dyDescent="0.25">
      <c r="A38" s="54" t="s">
        <v>69</v>
      </c>
    </row>
    <row r="40" spans="1:1" x14ac:dyDescent="0.25">
      <c r="A40" t="s">
        <v>59</v>
      </c>
    </row>
    <row r="41" spans="1:1" x14ac:dyDescent="0.25">
      <c r="A41" t="s">
        <v>66</v>
      </c>
    </row>
    <row r="42" spans="1:1" x14ac:dyDescent="0.25">
      <c r="A42" t="s">
        <v>60</v>
      </c>
    </row>
    <row r="44" spans="1:1" x14ac:dyDescent="0.25">
      <c r="A44" t="s">
        <v>61</v>
      </c>
    </row>
    <row r="46" spans="1:1" x14ac:dyDescent="0.25">
      <c r="A46" t="s">
        <v>62</v>
      </c>
    </row>
    <row r="47" spans="1:1" x14ac:dyDescent="0.25">
      <c r="A47" t="s">
        <v>63</v>
      </c>
    </row>
    <row r="49" spans="1:1" x14ac:dyDescent="0.25">
      <c r="A49" t="s">
        <v>64</v>
      </c>
    </row>
    <row r="50" spans="1:1" x14ac:dyDescent="0.25">
      <c r="A5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N53"/>
  <sheetViews>
    <sheetView zoomScaleNormal="100" workbookViewId="0"/>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3" t="s">
        <v>9</v>
      </c>
      <c r="M1" s="53" t="s">
        <v>12</v>
      </c>
    </row>
    <row r="2" spans="1:14" s="5" customFormat="1" ht="45" x14ac:dyDescent="0.25">
      <c r="A2" s="17" t="s">
        <v>16</v>
      </c>
      <c r="B2" s="7"/>
      <c r="C2" s="3" t="s">
        <v>8</v>
      </c>
      <c r="D2" s="4" t="s">
        <v>23</v>
      </c>
      <c r="E2" s="4" t="s">
        <v>20</v>
      </c>
      <c r="F2" s="4" t="s">
        <v>28</v>
      </c>
      <c r="G2" s="4" t="s">
        <v>21</v>
      </c>
      <c r="H2" s="4" t="s">
        <v>22</v>
      </c>
      <c r="I2" s="7"/>
      <c r="J2" s="4" t="s">
        <v>24</v>
      </c>
      <c r="K2" s="4" t="s">
        <v>25</v>
      </c>
      <c r="L2" s="4" t="s">
        <v>10</v>
      </c>
      <c r="M2" s="4" t="s">
        <v>11</v>
      </c>
      <c r="N2" s="12"/>
    </row>
    <row r="3" spans="1:14" x14ac:dyDescent="0.25">
      <c r="B3" s="8"/>
      <c r="C3" s="2" t="str">
        <f ca="1">IF(ISBLANK(INDIRECT("'" &amp; $A$5 &amp; "'!B2")),"",RIGHT(INDIRECT("'" &amp; $A$5 &amp; "'!B2"),LEN(INDIRECT("'" &amp; $A$5 &amp; "'!B2"))-20))</f>
        <v>None</v>
      </c>
      <c r="D3" s="15">
        <f ca="1">IF($C3="","",HLOOKUP($A$11,INDIRECT("'" &amp; $A$5 &amp; "'!$A:$AN"),2,FALSE))</f>
        <v>21215.1</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4004880000000</v>
      </c>
      <c r="K3" s="27" t="str">
        <f ca="1">IF(OR(C3="All",C3="None",C3=""),"",J3-J$3)</f>
        <v/>
      </c>
      <c r="L3" s="27" t="str">
        <f ca="1">IF(K3="","",-K3)</f>
        <v/>
      </c>
      <c r="M3" s="16" t="str">
        <f t="shared" ref="M3:M18" ca="1" si="3">IF(G3="","",IF(G3="exclude","exclude",L3/(G3*10^6)))</f>
        <v/>
      </c>
    </row>
    <row r="4" spans="1:14" ht="15.75" thickBot="1" x14ac:dyDescent="0.3">
      <c r="A4" s="18" t="s">
        <v>19</v>
      </c>
      <c r="B4" s="8"/>
      <c r="C4" s="2" t="str">
        <f ca="1">IF(ISBLANK(INDIRECT("'" &amp; $A$5 &amp; "'!B4")),"",RIGHT(INDIRECT("'" &amp; $A$5 &amp; "'!B4"),LEN(INDIRECT("'" &amp; $A$5 &amp; "'!B4"))-20))</f>
        <v>EV Sales Mandate</v>
      </c>
      <c r="D4" s="15">
        <f ca="1">IF($C4="","",HLOOKUP($A$11,INDIRECT("'" &amp; $A$5 &amp; "'!$A:$AN"),4,FALSE))</f>
        <v>21268.5</v>
      </c>
      <c r="E4" s="15">
        <f t="shared" ref="E4:E27" ca="1" si="4">IF(OR(C4="All",C4="None",C4=""),"",D4-D$3)</f>
        <v>53.400000000001455</v>
      </c>
      <c r="F4" s="15">
        <f t="shared" ca="1" si="0"/>
        <v>53.400000000001455</v>
      </c>
      <c r="G4" s="25">
        <f t="shared" ca="1" si="1"/>
        <v>60.390509601183147</v>
      </c>
      <c r="H4" s="25">
        <f t="shared" ca="1" si="2"/>
        <v>1.8300154424600954</v>
      </c>
      <c r="I4" s="26"/>
      <c r="J4" s="27">
        <f ca="1">IF(OR($C4="",$C4="All"),"",HLOOKUP($A$11,INDIRECT("'" &amp; $A$5 &amp; "'!$A:$AN"),5,FALSE))</f>
        <v>3882710000000</v>
      </c>
      <c r="K4" s="27">
        <f ca="1">IF(OR(C4="All",C4="None",C4=""),"",J4-J$3)</f>
        <v>-122170000000</v>
      </c>
      <c r="L4" s="27">
        <f ca="1">IF(K4="","",-K4)</f>
        <v>122170000000</v>
      </c>
      <c r="M4" s="16">
        <f t="shared" ca="1" si="3"/>
        <v>2022.9999847129372</v>
      </c>
    </row>
    <row r="5" spans="1:14" ht="15.75" thickBot="1" x14ac:dyDescent="0.3">
      <c r="A5" s="19" t="s">
        <v>93</v>
      </c>
      <c r="B5" s="8"/>
      <c r="C5" s="2" t="str">
        <f ca="1">IF(ISBLANK(INDIRECT("'" &amp; $A$5 &amp; "'!B6")),"",RIGHT(INDIRECT("'" &amp; $A$5 &amp; "'!B6"),LEN(INDIRECT("'" &amp; $A$5 &amp; "'!B6"))-20))</f>
        <v>Vehicle Fuel Economy Standards</v>
      </c>
      <c r="D5" s="15">
        <f ca="1">IF($C5="","",HLOOKUP($A$11,INDIRECT("'" &amp; $A$5 &amp; "'!$A:$AN"),6,FALSE))</f>
        <v>21398</v>
      </c>
      <c r="E5" s="15">
        <f t="shared" ca="1" si="4"/>
        <v>182.90000000000146</v>
      </c>
      <c r="F5" s="15">
        <f t="shared" ca="1" si="0"/>
        <v>182.90000000000146</v>
      </c>
      <c r="G5" s="25">
        <f t="shared" ca="1" si="1"/>
        <v>206.84314992614577</v>
      </c>
      <c r="H5" s="25">
        <f t="shared" ca="1" si="2"/>
        <v>6.2679742401862351</v>
      </c>
      <c r="I5" s="26"/>
      <c r="J5" s="27">
        <f ca="1">IF(OR($C5="",$C5="All"),"",HLOOKUP($A$11,INDIRECT("'" &amp; $A$5 &amp; "'!$A:$AN"),7,FALSE))</f>
        <v>3963370000000</v>
      </c>
      <c r="K5" s="27">
        <f t="shared" ref="K5:K27" ca="1" si="5">IF(OR(C5="All",C5="None",C5=""),"",J5-J$3)</f>
        <v>-41510000000</v>
      </c>
      <c r="L5" s="27">
        <f t="shared" ref="L5:L27" ca="1" si="6">IF(K5="","",-K5)</f>
        <v>41510000000</v>
      </c>
      <c r="M5" s="16">
        <f t="shared" ca="1" si="3"/>
        <v>200.68346481293349</v>
      </c>
    </row>
    <row r="6" spans="1:14" x14ac:dyDescent="0.25">
      <c r="B6" s="8"/>
      <c r="C6" s="2" t="str">
        <f ca="1">IF(ISBLANK(INDIRECT("'" &amp; $A$5 &amp; "'!B8")),"",RIGHT(INDIRECT("'" &amp; $A$5 &amp; "'!B8"),LEN(INDIRECT("'" &amp; $A$5 &amp; "'!B8"))-20))</f>
        <v>Transportation Demand Management</v>
      </c>
      <c r="D6" s="15">
        <f ca="1">IF($C6="","",HLOOKUP($A$11,INDIRECT("'" &amp; $A$5 &amp; "'!$A:$AN"),8,FALSE))</f>
        <v>21419</v>
      </c>
      <c r="E6" s="15">
        <f t="shared" ca="1" si="4"/>
        <v>203.90000000000146</v>
      </c>
      <c r="F6" s="15">
        <f ca="1">IF(E6&lt;$A$14*SUM(E:E),"exclude",E6)</f>
        <v>203.90000000000146</v>
      </c>
      <c r="G6" s="25">
        <f t="shared" ca="1" si="1"/>
        <v>230.59222673559916</v>
      </c>
      <c r="H6" s="25">
        <f t="shared" ca="1" si="2"/>
        <v>6.9876432344120953</v>
      </c>
      <c r="I6" s="26"/>
      <c r="J6" s="27">
        <f ca="1">IF(OR($C6="",$C6="All"),"",HLOOKUP($A$11,INDIRECT("'" &amp; $A$5 &amp; "'!$A:$AN"),9,FALSE))</f>
        <v>4303470000000</v>
      </c>
      <c r="K6" s="27">
        <f t="shared" ca="1" si="5"/>
        <v>298590000000</v>
      </c>
      <c r="L6" s="27">
        <f t="shared" ca="1" si="6"/>
        <v>-298590000000</v>
      </c>
      <c r="M6" s="16">
        <f t="shared" ca="1" si="3"/>
        <v>-1294.883198046256</v>
      </c>
    </row>
    <row r="7" spans="1:14" ht="15.75" thickBot="1" x14ac:dyDescent="0.3">
      <c r="A7" s="18" t="s">
        <v>17</v>
      </c>
      <c r="B7" s="8"/>
      <c r="C7" s="2" t="str">
        <f ca="1">IF(ISBLANK(INDIRECT("'" &amp; $A$5 &amp; "'!B10")),"",RIGHT(INDIRECT("'" &amp; $A$5 &amp; "'!B10"),LEN(INDIRECT("'" &amp; $A$5 &amp; "'!B10"))-20))</f>
        <v>Building Energy Efficiency Standards</v>
      </c>
      <c r="D7" s="15">
        <f ca="1">IF($C7="","",HLOOKUP($A$11,INDIRECT("'" &amp; $A$5 &amp; "'!$A:$AN"),10,FALSE))</f>
        <v>21651.3</v>
      </c>
      <c r="E7" s="15">
        <f t="shared" ca="1" si="4"/>
        <v>436.20000000000073</v>
      </c>
      <c r="F7" s="15">
        <f t="shared" ref="F7:F27" ca="1" si="7">IF(E7&lt;$A$14*SUM(E:E),"exclude",E7)</f>
        <v>436.20000000000073</v>
      </c>
      <c r="G7" s="25">
        <f t="shared" ca="1" si="1"/>
        <v>493.30225258493283</v>
      </c>
      <c r="H7" s="25">
        <f t="shared" ca="1" si="2"/>
        <v>14.948553108634329</v>
      </c>
      <c r="I7" s="26"/>
      <c r="J7" s="27">
        <f ca="1">IF(OR($C7="",$C7="All"),"",HLOOKUP($A$11,INDIRECT("'" &amp; $A$5 &amp; "'!$A:$AN"),11,FALSE))</f>
        <v>4287050000000</v>
      </c>
      <c r="K7" s="27">
        <f t="shared" ca="1" si="5"/>
        <v>282170000000</v>
      </c>
      <c r="L7" s="27">
        <f t="shared" ca="1" si="6"/>
        <v>-282170000000</v>
      </c>
      <c r="M7" s="16">
        <f t="shared" ca="1" si="3"/>
        <v>-572.00225322591291</v>
      </c>
    </row>
    <row r="8" spans="1:14" ht="15.75" thickBot="1" x14ac:dyDescent="0.3">
      <c r="A8" s="19">
        <v>2018</v>
      </c>
      <c r="B8" s="8"/>
      <c r="C8" s="2" t="str">
        <f ca="1">IF(ISBLANK(INDIRECT("'" &amp; $A$5 &amp; "'!B12")),"",RIGHT(INDIRECT("'" &amp; $A$5 &amp; "'!B12"),LEN(INDIRECT("'" &amp; $A$5 &amp; "'!B12"))-20))</f>
        <v>Increased Retrofitting</v>
      </c>
      <c r="D8" s="15">
        <f ca="1">IF($C8="","",HLOOKUP($A$11,INDIRECT("'" &amp; $A$5 &amp; "'!$A:$AN"),12,FALSE))</f>
        <v>21485.599999999999</v>
      </c>
      <c r="E8" s="15">
        <f t="shared" ca="1" si="4"/>
        <v>270.5</v>
      </c>
      <c r="F8" s="15">
        <f t="shared" ca="1" si="7"/>
        <v>270.5</v>
      </c>
      <c r="G8" s="25">
        <f t="shared" ca="1" si="1"/>
        <v>305.91072747414972</v>
      </c>
      <c r="H8" s="25">
        <f t="shared" ca="1" si="2"/>
        <v>9.2700220446712045</v>
      </c>
      <c r="I8" s="26"/>
      <c r="J8" s="27">
        <f ca="1">IF(OR($C8="",$C8="All"),"",HLOOKUP($A$11,INDIRECT("'" &amp; $A$5 &amp; "'!$A:$AN"),13,FALSE))</f>
        <v>3867930000000</v>
      </c>
      <c r="K8" s="27">
        <f t="shared" ca="1" si="5"/>
        <v>-136950000000</v>
      </c>
      <c r="L8" s="27">
        <f t="shared" ca="1" si="6"/>
        <v>136950000000</v>
      </c>
      <c r="M8" s="16">
        <f t="shared" ca="1" si="3"/>
        <v>447.67962578746983</v>
      </c>
    </row>
    <row r="9" spans="1:14" x14ac:dyDescent="0.25">
      <c r="B9" s="8"/>
      <c r="C9" s="2" t="str">
        <f ca="1">IF(ISBLANK(INDIRECT("'" &amp; $A$5 &amp; "'!B14")),"",RIGHT(INDIRECT("'" &amp; $A$5 &amp; "'!B14"),LEN(INDIRECT("'" &amp; $A$5 &amp; "'!B14"))-20))</f>
        <v>Carbon-free Electricity Standard</v>
      </c>
      <c r="D9" s="15">
        <f ca="1">IF($C9="","",HLOOKUP($A$11,INDIRECT("'" &amp; $A$5 &amp; "'!$A:$AN"),14,FALSE))</f>
        <v>23224.7</v>
      </c>
      <c r="E9" s="15">
        <f t="shared" ca="1" si="4"/>
        <v>2009.6000000000022</v>
      </c>
      <c r="F9" s="15">
        <f t="shared" ca="1" si="7"/>
        <v>2009.6000000000022</v>
      </c>
      <c r="G9" s="25">
        <f t="shared" ca="1" si="1"/>
        <v>2272.6735598227428</v>
      </c>
      <c r="H9" s="25">
        <f t="shared" ca="1" si="2"/>
        <v>68.868895752204324</v>
      </c>
      <c r="I9" s="26"/>
      <c r="J9" s="27">
        <f ca="1">IF(OR($C9="",$C9="All"),"",HLOOKUP($A$11,INDIRECT("'" &amp; $A$5 &amp; "'!$A:$AN"),15,FALSE))</f>
        <v>3962140000000</v>
      </c>
      <c r="K9" s="27">
        <f t="shared" ca="1" si="5"/>
        <v>-42740000000</v>
      </c>
      <c r="L9" s="27">
        <f t="shared" ca="1" si="6"/>
        <v>42740000000</v>
      </c>
      <c r="M9" s="16">
        <f t="shared" ca="1" si="3"/>
        <v>18.806044455998997</v>
      </c>
    </row>
    <row r="10" spans="1:14" ht="15.75" thickBot="1" x14ac:dyDescent="0.3">
      <c r="A10" s="18" t="s">
        <v>18</v>
      </c>
      <c r="B10" s="8"/>
      <c r="C10" s="2" t="str">
        <f ca="1">IF(ISBLANK(INDIRECT("'" &amp; $A$5 &amp; "'!B16")),"",RIGHT(INDIRECT("'" &amp; $A$5 &amp; "'!B16"),LEN(INDIRECT("'" &amp; $A$5 &amp; "'!B16"))-20))</f>
        <v>Early Retirement of Power Plants</v>
      </c>
      <c r="D10" s="15">
        <f ca="1">IF($C10="","",HLOOKUP($A$11,INDIRECT("'" &amp; $A$5 &amp; "'!$A:$AN"),16,FALSE))</f>
        <v>21542.2</v>
      </c>
      <c r="E10" s="15">
        <f t="shared" ca="1" si="4"/>
        <v>327.10000000000218</v>
      </c>
      <c r="F10" s="15">
        <f t="shared" ca="1" si="7"/>
        <v>327.10000000000218</v>
      </c>
      <c r="G10" s="25">
        <f t="shared" ca="1" si="1"/>
        <v>369.92014401772661</v>
      </c>
      <c r="H10" s="25">
        <f t="shared" ca="1" si="2"/>
        <v>11.209701333870504</v>
      </c>
      <c r="I10" s="26"/>
      <c r="J10" s="27">
        <f ca="1">IF(OR($C10="",$C10="All"),"",HLOOKUP($A$11,INDIRECT("'" &amp; $A$5 &amp; "'!$A:$AN"),17,FALSE))</f>
        <v>3902440000000</v>
      </c>
      <c r="K10" s="27">
        <f t="shared" ca="1" si="5"/>
        <v>-102440000000</v>
      </c>
      <c r="L10" s="27">
        <f t="shared" ca="1" si="6"/>
        <v>102440000000</v>
      </c>
      <c r="M10" s="16">
        <f t="shared" ca="1" si="3"/>
        <v>276.9246326717776</v>
      </c>
    </row>
    <row r="11" spans="1:14" ht="15.75" thickBot="1" x14ac:dyDescent="0.3">
      <c r="A11" s="19">
        <v>2050</v>
      </c>
      <c r="B11" s="8"/>
      <c r="C11" s="2" t="str">
        <f ca="1">IF(ISBLANK(INDIRECT("'" &amp; $A$5 &amp; "'!B18")),"",RIGHT(INDIRECT("'" &amp; $A$5 &amp; "'!B18"),LEN(INDIRECT("'" &amp; $A$5 &amp; "'!B18"))-20))</f>
        <v>Increase Transmission</v>
      </c>
      <c r="D11" s="15">
        <f ca="1">IF($C11="","",HLOOKUP($A$11,INDIRECT("'" &amp; $A$5 &amp; "'!$A:$AN"),18,FALSE))</f>
        <v>21488.2</v>
      </c>
      <c r="E11" s="15">
        <f t="shared" ca="1" si="4"/>
        <v>273.10000000000218</v>
      </c>
      <c r="F11" s="15">
        <f t="shared" ca="1" si="7"/>
        <v>273.10000000000218</v>
      </c>
      <c r="G11" s="25">
        <f t="shared" ca="1" si="1"/>
        <v>308.85108936484642</v>
      </c>
      <c r="H11" s="25">
        <f t="shared" ca="1" si="2"/>
        <v>9.3591239201468603</v>
      </c>
      <c r="I11" s="26"/>
      <c r="J11" s="27">
        <f ca="1">IF(OR($C11="",$C11="All"),"",HLOOKUP($A$11,INDIRECT("'" &amp; $A$5 &amp; "'!$A:$AN"),19,FALSE))</f>
        <v>4207410000000</v>
      </c>
      <c r="K11" s="27">
        <f t="shared" ca="1" si="5"/>
        <v>202530000000</v>
      </c>
      <c r="L11" s="27">
        <f t="shared" ca="1" si="6"/>
        <v>-202530000000</v>
      </c>
      <c r="M11" s="16">
        <f t="shared" ca="1" si="3"/>
        <v>-655.75290803248845</v>
      </c>
    </row>
    <row r="12" spans="1:14" x14ac:dyDescent="0.25">
      <c r="B12" s="8"/>
      <c r="C12" s="2" t="str">
        <f ca="1">IF(ISBLANK(INDIRECT("'" &amp; $A$5 &amp; "'!B20")),"",RIGHT(INDIRECT("'" &amp; $A$5 &amp; "'!B20"),LEN(INDIRECT("'" &amp; $A$5 &amp; "'!B20"))-20))</f>
        <v>Cement Clinker Substitution</v>
      </c>
      <c r="D12" s="15">
        <f ca="1">IF($C12="","",HLOOKUP($A$11,INDIRECT("'" &amp; $A$5 &amp; "'!$A:$AN"),20,FALSE))</f>
        <v>21389</v>
      </c>
      <c r="E12" s="15">
        <f t="shared" ca="1" si="4"/>
        <v>173.90000000000146</v>
      </c>
      <c r="F12" s="15">
        <f t="shared" ca="1" si="7"/>
        <v>173.90000000000146</v>
      </c>
      <c r="G12" s="25">
        <f t="shared" ca="1" si="1"/>
        <v>196.66497415066573</v>
      </c>
      <c r="H12" s="25">
        <f t="shared" ca="1" si="2"/>
        <v>5.9595446712322948</v>
      </c>
      <c r="I12" s="26"/>
      <c r="J12" s="27">
        <f ca="1">IF(OR($C12="",$C12="All"),"",HLOOKUP($A$11,INDIRECT("'" &amp; $A$5 &amp; "'!$A:$AN"),21,FALSE))</f>
        <v>4003830000000</v>
      </c>
      <c r="K12" s="27">
        <f t="shared" ca="1" si="5"/>
        <v>-1050000000</v>
      </c>
      <c r="L12" s="27">
        <f t="shared" ca="1" si="6"/>
        <v>1050000000</v>
      </c>
      <c r="M12" s="16">
        <f t="shared" ca="1" si="3"/>
        <v>5.3390289986034389</v>
      </c>
    </row>
    <row r="13" spans="1:14" ht="15.75" thickBot="1" x14ac:dyDescent="0.3">
      <c r="A13" s="18" t="s">
        <v>27</v>
      </c>
      <c r="B13" s="8"/>
      <c r="C13" s="2" t="str">
        <f ca="1">IF(ISBLANK(INDIRECT("'" &amp; $A$5 &amp; "'!B22")),"",RIGHT(INDIRECT("'" &amp; $A$5 &amp; "'!B22"),LEN(INDIRECT("'" &amp; $A$5 &amp; "'!B22"))-20))</f>
        <v>Industry Energy Efficiency Standards</v>
      </c>
      <c r="D13" s="15">
        <f ca="1">IF($C13="","",HLOOKUP($A$11,INDIRECT("'" &amp; $A$5 &amp; "'!$A:$AN"),22,FALSE))</f>
        <v>22011.4</v>
      </c>
      <c r="E13" s="15">
        <f t="shared" ca="1" si="4"/>
        <v>796.30000000000291</v>
      </c>
      <c r="F13" s="15">
        <f t="shared" ca="1" si="7"/>
        <v>796.30000000000291</v>
      </c>
      <c r="G13" s="25">
        <f t="shared" ca="1" si="1"/>
        <v>900.54237444608623</v>
      </c>
      <c r="H13" s="25">
        <f t="shared" ca="1" si="2"/>
        <v>27.289162862002613</v>
      </c>
      <c r="I13" s="26"/>
      <c r="J13" s="27">
        <f ca="1">IF(OR($C13="",$C13="All"),"",HLOOKUP($A$11,INDIRECT("'" &amp; $A$5 &amp; "'!$A:$AN"),23,FALSE))</f>
        <v>4149040000000</v>
      </c>
      <c r="K13" s="27">
        <f t="shared" ca="1" si="5"/>
        <v>144160000000</v>
      </c>
      <c r="L13" s="27">
        <f t="shared" ca="1" si="6"/>
        <v>-144160000000</v>
      </c>
      <c r="M13" s="16">
        <f t="shared" ca="1" si="3"/>
        <v>-160.08130665552659</v>
      </c>
    </row>
    <row r="14" spans="1:14" ht="15.75" thickBot="1" x14ac:dyDescent="0.3">
      <c r="A14" s="42">
        <v>3.0000000000000001E-3</v>
      </c>
      <c r="B14" s="8"/>
      <c r="C14" s="2" t="str">
        <f ca="1">IF(ISBLANK(INDIRECT("'" &amp; $A$5 &amp; "'!B24")),"",RIGHT(INDIRECT("'" &amp; $A$5 &amp; "'!B24"),LEN(INDIRECT("'" &amp; $A$5 &amp; "'!B24"))-20))</f>
        <v>Methane Capture</v>
      </c>
      <c r="D14" s="15">
        <f ca="1">IF($C14="","",HLOOKUP($A$11,INDIRECT("'" &amp; $A$5 &amp; "'!$A:$AN"),24,FALSE))</f>
        <v>21736.400000000001</v>
      </c>
      <c r="E14" s="15">
        <f t="shared" ca="1" si="4"/>
        <v>521.30000000000291</v>
      </c>
      <c r="F14" s="15">
        <f t="shared" ca="1" si="7"/>
        <v>521.30000000000291</v>
      </c>
      <c r="G14" s="25">
        <f t="shared" ca="1" si="1"/>
        <v>589.54255908419645</v>
      </c>
      <c r="H14" s="25">
        <f t="shared" ca="1" si="2"/>
        <v>17.864926032854438</v>
      </c>
      <c r="I14" s="26"/>
      <c r="J14" s="27">
        <f ca="1">IF(OR($C14="",$C14="All"),"",HLOOKUP($A$11,INDIRECT("'" &amp; $A$5 &amp; "'!$A:$AN"),25,FALSE))</f>
        <v>3961690000000</v>
      </c>
      <c r="K14" s="27">
        <f t="shared" ca="1" si="5"/>
        <v>-43190000000</v>
      </c>
      <c r="L14" s="27">
        <f t="shared" ca="1" si="6"/>
        <v>43190000000</v>
      </c>
      <c r="M14" s="16">
        <f t="shared" ca="1" si="3"/>
        <v>73.260190183880781</v>
      </c>
    </row>
    <row r="15" spans="1:14" x14ac:dyDescent="0.25">
      <c r="B15" s="8"/>
      <c r="C15" s="2" t="str">
        <f ca="1">IF(ISBLANK(INDIRECT("'" &amp; $A$5 &amp; "'!B26")),"",RIGHT(INDIRECT("'" &amp; $A$5 &amp; "'!B26"),LEN(INDIRECT("'" &amp; $A$5 &amp; "'!B26"))-20))</f>
        <v>Reduce F-gases</v>
      </c>
      <c r="D15" s="15">
        <f ca="1">IF($C15="","",HLOOKUP($A$11,INDIRECT("'" &amp; $A$5 &amp; "'!$A:$AN"),26,FALSE))</f>
        <v>21416.3</v>
      </c>
      <c r="E15" s="15">
        <f t="shared" ca="1" si="4"/>
        <v>201.20000000000073</v>
      </c>
      <c r="F15" s="15">
        <f t="shared" ca="1" si="7"/>
        <v>201.20000000000073</v>
      </c>
      <c r="G15" s="25">
        <f t="shared" ca="1" si="1"/>
        <v>227.53877400295434</v>
      </c>
      <c r="H15" s="25">
        <f t="shared" ca="1" si="2"/>
        <v>6.8951143637258889</v>
      </c>
      <c r="I15" s="26"/>
      <c r="J15" s="27">
        <f ca="1">IF(OR($C15="",$C15="All"),"",HLOOKUP($A$11,INDIRECT("'" &amp; $A$5 &amp; "'!$A:$AN"),27,FALSE))</f>
        <v>4007310000000</v>
      </c>
      <c r="K15" s="27">
        <f t="shared" ca="1" si="5"/>
        <v>2430000000</v>
      </c>
      <c r="L15" s="27">
        <f t="shared" ca="1" si="6"/>
        <v>-2430000000</v>
      </c>
      <c r="M15" s="16">
        <f t="shared" ca="1" si="3"/>
        <v>-10.679498519089538</v>
      </c>
    </row>
    <row r="16" spans="1:14" x14ac:dyDescent="0.25">
      <c r="A16" s="18" t="s">
        <v>15</v>
      </c>
      <c r="B16" s="8"/>
      <c r="C16" s="2" t="str">
        <f ca="1">IF(ISBLANK(INDIRECT("'" &amp; $A$5 &amp; "'!B28")),"",RIGHT(INDIRECT("'" &amp; $A$5 &amp; "'!B28"),LEN(INDIRECT("'" &amp; $A$5 &amp; "'!B28"))-20))</f>
        <v>Desalination Energy Efficiency</v>
      </c>
      <c r="D16" s="15">
        <f ca="1">IF($C16="","",HLOOKUP($A$11,INDIRECT("'" &amp; $A$5 &amp; "'!$A:$AN"),28,FALSE))</f>
        <v>21452</v>
      </c>
      <c r="E16" s="15">
        <f t="shared" ca="1" si="4"/>
        <v>236.90000000000146</v>
      </c>
      <c r="F16" s="15">
        <f t="shared" ca="1" si="7"/>
        <v>236.90000000000146</v>
      </c>
      <c r="G16" s="25">
        <f t="shared" ca="1" si="1"/>
        <v>267.91220457902591</v>
      </c>
      <c r="H16" s="25">
        <f t="shared" ca="1" si="2"/>
        <v>8.1185516539098757</v>
      </c>
      <c r="I16" s="26"/>
      <c r="J16" s="27">
        <f ca="1">IF(OR($C16="",$C16="All"),"",HLOOKUP($A$11,INDIRECT("'" &amp; $A$5 &amp; "'!$A:$AN"),29,FALSE))</f>
        <v>4030160000000</v>
      </c>
      <c r="K16" s="27">
        <f t="shared" ca="1" si="5"/>
        <v>25280000000</v>
      </c>
      <c r="L16" s="27">
        <f t="shared" ca="1" si="6"/>
        <v>-25280000000</v>
      </c>
      <c r="M16" s="16">
        <f t="shared" ca="1" si="3"/>
        <v>-94.359269820211466</v>
      </c>
    </row>
    <row r="17" spans="1:13" x14ac:dyDescent="0.25">
      <c r="A17" s="13">
        <f>A11-A8+1</f>
        <v>33</v>
      </c>
      <c r="B17" s="8"/>
      <c r="C17" s="2" t="str">
        <f ca="1">IF(ISBLANK(INDIRECT("'" &amp; $A$5 &amp; "'!B30")),"",RIGHT(INDIRECT("'" &amp; $A$5 &amp; "'!B30"),LEN(INDIRECT("'" &amp; $A$5 &amp; "'!B30"))-20))</f>
        <v>Fuel Price Deregulation</v>
      </c>
      <c r="D17" s="15">
        <f ca="1">IF($C17="","",HLOOKUP($A$11,INDIRECT("'" &amp; $A$5 &amp; "'!$A:$AN"),30,FALSE))</f>
        <v>23111.200000000001</v>
      </c>
      <c r="E17" s="15">
        <f t="shared" ca="1" si="4"/>
        <v>1896.1000000000022</v>
      </c>
      <c r="F17" s="15">
        <f t="shared" ca="1" si="7"/>
        <v>1896.1000000000022</v>
      </c>
      <c r="G17" s="25">
        <f t="shared" ca="1" si="1"/>
        <v>2144.3154542097445</v>
      </c>
      <c r="H17" s="25">
        <f t="shared" ca="1" si="2"/>
        <v>64.979256188174077</v>
      </c>
      <c r="I17" s="26"/>
      <c r="J17" s="27">
        <f ca="1">IF(OR($C17="",$C17="All"),"",HLOOKUP($A$11,INDIRECT("'" &amp; $A$5 &amp; "'!$A:$AN"),31,FALSE))</f>
        <v>377419000000</v>
      </c>
      <c r="K17" s="27">
        <f t="shared" ca="1" si="5"/>
        <v>-3627461000000</v>
      </c>
      <c r="L17" s="27">
        <f t="shared" ca="1" si="6"/>
        <v>3627461000000</v>
      </c>
      <c r="M17" s="16">
        <f t="shared" ca="1" si="3"/>
        <v>1691.6638794345895</v>
      </c>
    </row>
    <row r="18" spans="1:13" x14ac:dyDescent="0.25">
      <c r="C18" s="2" t="str">
        <f ca="1">IF(ISBLANK(INDIRECT("'" &amp; $A$5 &amp; "'!B32")),"",RIGHT(INDIRECT("'" &amp; $A$5 &amp; "'!B32"),LEN(INDIRECT("'" &amp; $A$5 &amp; "'!B32"))-20))</f>
        <v>All</v>
      </c>
      <c r="D18" s="15">
        <f ca="1">IF($C18="","",HLOOKUP($A$11,INDIRECT("'" &amp; $A$5 &amp; "'!$A:$AN"),32,FALSE))</f>
        <v>29790.1</v>
      </c>
      <c r="E18" s="15" t="str">
        <f t="shared" ca="1" si="4"/>
        <v/>
      </c>
      <c r="F18" s="15" t="str">
        <f t="shared" ca="1" si="7"/>
        <v/>
      </c>
      <c r="G18" s="25" t="str">
        <f t="shared" ca="1" si="1"/>
        <v/>
      </c>
      <c r="H18" s="25" t="str">
        <f t="shared" ca="1" si="2"/>
        <v/>
      </c>
      <c r="I18" s="22"/>
      <c r="J18" s="27" t="str">
        <f ca="1">IF(OR($C18="",$C18="All"),"",HLOOKUP($A$11,INDIRECT("'" &amp; $A$5 &amp; "'!$A:$AN"),33,FALSE))</f>
        <v/>
      </c>
      <c r="K18" s="27" t="str">
        <f t="shared" ca="1" si="5"/>
        <v/>
      </c>
      <c r="L18" s="27" t="str">
        <f t="shared" ca="1" si="6"/>
        <v/>
      </c>
      <c r="M18" s="16" t="str">
        <f t="shared" ca="1" si="3"/>
        <v/>
      </c>
    </row>
    <row r="19" spans="1:13" x14ac:dyDescent="0.25">
      <c r="C19" s="2" t="str">
        <f ca="1">IF(ISBLANK(INDIRECT("'" &amp; $A$5 &amp; "'!B34")),"",RIGHT(INDIRECT("'" &amp; $A$5 &amp; "'!B34"),LEN(INDIRECT("'" &amp; $A$5 &amp; "'!B34"))-20))</f>
        <v/>
      </c>
      <c r="D19" s="15" t="str">
        <f ca="1">IF($C19="","",HLOOKUP($A$11,INDIRECT("'" &amp; $A$5 &amp; "'!$A:$AN"),34,FALSE))</f>
        <v/>
      </c>
      <c r="E19" s="15" t="str">
        <f t="shared" ca="1" si="4"/>
        <v/>
      </c>
      <c r="F19" s="15" t="str">
        <f t="shared" ca="1" si="7"/>
        <v/>
      </c>
      <c r="G19" s="25" t="str">
        <f t="shared" ca="1" si="1"/>
        <v/>
      </c>
      <c r="H19" s="25" t="str">
        <f t="shared" ca="1" si="2"/>
        <v/>
      </c>
      <c r="I19" s="22"/>
      <c r="J19" s="27" t="str">
        <f ca="1">IF(OR($C19="",$C19="All"),"",HLOOKUP($A$11,INDIRECT("'" &amp; $A$5 &amp; "'!$A:$AN"),35,FALSE))</f>
        <v/>
      </c>
      <c r="K19" s="27" t="str">
        <f t="shared" ca="1" si="5"/>
        <v/>
      </c>
      <c r="L19" s="27" t="str">
        <f t="shared" ca="1" si="6"/>
        <v/>
      </c>
      <c r="M19" s="16" t="str">
        <f ca="1">IF(G19="","",IF(G19="exclude","exclude",L19/(G19*10^6)))</f>
        <v/>
      </c>
    </row>
    <row r="20" spans="1:13" x14ac:dyDescent="0.25">
      <c r="C20" s="2" t="str">
        <f ca="1">IF(ISBLANK(INDIRECT("'" &amp; $A$5 &amp; "'!B36")),"",RIGHT(INDIRECT("'" &amp; $A$5 &amp; "'!B36"),LEN(INDIRECT("'" &amp; $A$5 &amp; "'!B36"))-20))</f>
        <v/>
      </c>
      <c r="D20" s="15" t="str">
        <f ca="1">IF($C20="","",HLOOKUP($A$11,INDIRECT("'" &amp; $A$5 &amp; "'!$A:$AN"),36,FALSE))</f>
        <v/>
      </c>
      <c r="E20" s="15" t="str">
        <f t="shared" ca="1" si="4"/>
        <v/>
      </c>
      <c r="F20" s="15" t="str">
        <f t="shared" ca="1" si="7"/>
        <v/>
      </c>
      <c r="G20" s="25" t="str">
        <f t="shared" ca="1" si="1"/>
        <v/>
      </c>
      <c r="H20" s="25" t="str">
        <f t="shared" ca="1" si="2"/>
        <v/>
      </c>
      <c r="I20" s="22"/>
      <c r="J20" s="27" t="str">
        <f ca="1">IF(OR($C20="",$C20="All"),"",HLOOKUP($A$11,INDIRECT("'" &amp; $A$5 &amp; "'!$A:$AN"),37,FALSE))</f>
        <v/>
      </c>
      <c r="K20" s="27" t="str">
        <f t="shared" ca="1" si="5"/>
        <v/>
      </c>
      <c r="L20" s="27" t="str">
        <f t="shared" ca="1" si="6"/>
        <v/>
      </c>
      <c r="M20" s="16" t="str">
        <f t="shared" ref="M20:M27" ca="1" si="8">IF(G20="","",IF(G20="exclude","exclude",L20/(G20*10^6)))</f>
        <v/>
      </c>
    </row>
    <row r="21" spans="1:13" x14ac:dyDescent="0.25">
      <c r="C21" s="2" t="str">
        <f ca="1">IF(ISBLANK(INDIRECT("'" &amp; $A$5 &amp; "'!B38")),"",RIGHT(INDIRECT("'" &amp; $A$5 &amp; "'!B38"),LEN(INDIRECT("'" &amp; $A$5 &amp; "'!B38"))-20))</f>
        <v/>
      </c>
      <c r="D21" s="15" t="str">
        <f ca="1">IF($C21="","",HLOOKUP($A$11,INDIRECT("'" &amp; $A$5 &amp; "'!$A:$AN"),38,FALSE))</f>
        <v/>
      </c>
      <c r="E21" s="15" t="str">
        <f t="shared" ca="1" si="4"/>
        <v/>
      </c>
      <c r="F21" s="15" t="str">
        <f t="shared" ca="1" si="7"/>
        <v/>
      </c>
      <c r="G21" s="25" t="str">
        <f t="shared" ca="1" si="1"/>
        <v/>
      </c>
      <c r="H21" s="25" t="str">
        <f t="shared" ca="1" si="2"/>
        <v/>
      </c>
      <c r="I21" s="22"/>
      <c r="J21" s="27" t="str">
        <f ca="1">IF(OR($C21="",$C21="All"),"",HLOOKUP($A$11,INDIRECT("'" &amp; $A$5 &amp; "'!$A:$AN"),39,FALSE))</f>
        <v/>
      </c>
      <c r="K21" s="27" t="str">
        <f t="shared" ca="1" si="5"/>
        <v/>
      </c>
      <c r="L21" s="27" t="str">
        <f t="shared" ca="1" si="6"/>
        <v/>
      </c>
      <c r="M21" s="16" t="str">
        <f t="shared" ca="1" si="8"/>
        <v/>
      </c>
    </row>
    <row r="22" spans="1:13" x14ac:dyDescent="0.25">
      <c r="C22" s="2" t="str">
        <f ca="1">IF(ISBLANK(INDIRECT("'" &amp; $A$5 &amp; "'!B40")),"",RIGHT(INDIRECT("'" &amp; $A$5 &amp; "'!B40"),LEN(INDIRECT("'" &amp; $A$5 &amp; "'!B40"))-20))</f>
        <v/>
      </c>
      <c r="D22" s="15" t="str">
        <f ca="1">IF($C22="","",HLOOKUP($A$11,INDIRECT("'" &amp; $A$5 &amp; "'!$A:$AN"),40,FALSE))</f>
        <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2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A114"/>
  <sheetViews>
    <sheetView workbookViewId="0"/>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26</v>
      </c>
      <c r="B1" s="49" t="s">
        <v>30</v>
      </c>
      <c r="C1" s="50" t="s">
        <v>29</v>
      </c>
      <c r="D1" s="32" t="s">
        <v>33</v>
      </c>
      <c r="E1" s="37"/>
      <c r="F1" s="37"/>
      <c r="G1" s="37"/>
      <c r="H1" s="37"/>
      <c r="I1" s="37"/>
      <c r="J1" s="37"/>
    </row>
    <row r="2" spans="1:10" x14ac:dyDescent="0.25">
      <c r="A2" s="28" t="str">
        <f ca="1">Calculations!C6</f>
        <v>Transportation Demand Management</v>
      </c>
      <c r="B2" s="44">
        <f ca="1">Calculations!H6</f>
        <v>6.9876432344120953</v>
      </c>
      <c r="C2" s="34">
        <f ca="1">Calculations!M6</f>
        <v>-1294.883198046256</v>
      </c>
    </row>
    <row r="3" spans="1:10" x14ac:dyDescent="0.25">
      <c r="A3" s="28" t="str">
        <f ca="1">Calculations!C11</f>
        <v>Increase Transmission</v>
      </c>
      <c r="B3" s="44">
        <f ca="1">Calculations!H11</f>
        <v>9.3591239201468603</v>
      </c>
      <c r="C3" s="34">
        <f ca="1">Calculations!M11</f>
        <v>-655.75290803248845</v>
      </c>
    </row>
    <row r="4" spans="1:10" x14ac:dyDescent="0.25">
      <c r="A4" s="28" t="str">
        <f ca="1">Calculations!C7</f>
        <v>Building Energy Efficiency Standards</v>
      </c>
      <c r="B4" s="44">
        <f ca="1">Calculations!H7</f>
        <v>14.948553108634329</v>
      </c>
      <c r="C4" s="34">
        <f ca="1">Calculations!M7</f>
        <v>-572.00225322591291</v>
      </c>
    </row>
    <row r="5" spans="1:10" x14ac:dyDescent="0.25">
      <c r="A5" s="28" t="str">
        <f ca="1">Calculations!C13</f>
        <v>Industry Energy Efficiency Standards</v>
      </c>
      <c r="B5" s="33">
        <f ca="1">Calculations!H13</f>
        <v>27.289162862002613</v>
      </c>
      <c r="C5" s="34">
        <f ca="1">Calculations!M13</f>
        <v>-160.08130665552659</v>
      </c>
    </row>
    <row r="6" spans="1:10" x14ac:dyDescent="0.25">
      <c r="A6" s="28" t="str">
        <f ca="1">Calculations!C16</f>
        <v>Desalination Energy Efficiency</v>
      </c>
      <c r="B6" s="44">
        <f ca="1">Calculations!H16</f>
        <v>8.1185516539098757</v>
      </c>
      <c r="C6" s="34">
        <f ca="1">Calculations!M16</f>
        <v>-94.359269820211466</v>
      </c>
    </row>
    <row r="7" spans="1:10" x14ac:dyDescent="0.25">
      <c r="A7" s="28" t="str">
        <f ca="1">Calculations!C15</f>
        <v>Reduce F-gases</v>
      </c>
      <c r="B7" s="44">
        <f ca="1">Calculations!H15</f>
        <v>6.8951143637258889</v>
      </c>
      <c r="C7" s="34">
        <f ca="1">Calculations!M15</f>
        <v>-10.679498519089538</v>
      </c>
    </row>
    <row r="8" spans="1:10" x14ac:dyDescent="0.25">
      <c r="A8" s="28" t="str">
        <f ca="1">Calculations!C12</f>
        <v>Cement Clinker Substitution</v>
      </c>
      <c r="B8" s="33">
        <f ca="1">Calculations!H12</f>
        <v>5.9595446712322948</v>
      </c>
      <c r="C8" s="34">
        <f ca="1">Calculations!M12</f>
        <v>5.3390289986034389</v>
      </c>
    </row>
    <row r="9" spans="1:10" x14ac:dyDescent="0.25">
      <c r="A9" s="28" t="str">
        <f ca="1">Calculations!C9</f>
        <v>Carbon-free Electricity Standard</v>
      </c>
      <c r="B9" s="44">
        <f ca="1">Calculations!H9</f>
        <v>68.868895752204324</v>
      </c>
      <c r="C9" s="34">
        <f ca="1">Calculations!M9</f>
        <v>18.806044455998997</v>
      </c>
    </row>
    <row r="10" spans="1:10" x14ac:dyDescent="0.25">
      <c r="A10" s="28" t="str">
        <f ca="1">Calculations!C14</f>
        <v>Methane Capture</v>
      </c>
      <c r="B10" s="33">
        <f ca="1">Calculations!H14</f>
        <v>17.864926032854438</v>
      </c>
      <c r="C10" s="34">
        <f ca="1">Calculations!M14</f>
        <v>73.260190183880781</v>
      </c>
    </row>
    <row r="11" spans="1:10" x14ac:dyDescent="0.25">
      <c r="A11" s="28" t="str">
        <f ca="1">Calculations!C5</f>
        <v>Vehicle Fuel Economy Standards</v>
      </c>
      <c r="B11" s="44">
        <f ca="1">Calculations!H5</f>
        <v>6.2679742401862351</v>
      </c>
      <c r="C11" s="34">
        <f ca="1">Calculations!M5</f>
        <v>200.68346481293349</v>
      </c>
    </row>
    <row r="12" spans="1:10" x14ac:dyDescent="0.25">
      <c r="A12" s="28" t="str">
        <f ca="1">Calculations!C10</f>
        <v>Early Retirement of Power Plants</v>
      </c>
      <c r="B12" s="44">
        <f ca="1">Calculations!H10</f>
        <v>11.209701333870504</v>
      </c>
      <c r="C12" s="34">
        <f ca="1">Calculations!M10</f>
        <v>276.9246326717776</v>
      </c>
    </row>
    <row r="13" spans="1:10" x14ac:dyDescent="0.25">
      <c r="A13" s="28" t="str">
        <f ca="1">Calculations!C8</f>
        <v>Increased Retrofitting</v>
      </c>
      <c r="B13" s="44">
        <f ca="1">Calculations!H8</f>
        <v>9.2700220446712045</v>
      </c>
      <c r="C13" s="34">
        <f ca="1">Calculations!M8</f>
        <v>447.67962578746983</v>
      </c>
    </row>
    <row r="14" spans="1:10" x14ac:dyDescent="0.25">
      <c r="A14" s="28" t="str">
        <f ca="1">Calculations!C17</f>
        <v>Fuel Price Deregulation</v>
      </c>
      <c r="B14" s="44">
        <f ca="1">Calculations!H17</f>
        <v>64.979256188174077</v>
      </c>
      <c r="C14" s="34">
        <f ca="1">Calculations!M17</f>
        <v>1691.6638794345895</v>
      </c>
    </row>
    <row r="15" spans="1:10" x14ac:dyDescent="0.25">
      <c r="A15" s="28" t="str">
        <f ca="1">Calculations!C4</f>
        <v>EV Sales Mandate</v>
      </c>
      <c r="B15" s="44">
        <f ca="1">Calculations!H4</f>
        <v>1.8300154424600954</v>
      </c>
      <c r="C15" s="34">
        <f ca="1">Calculations!M4</f>
        <v>2022.9999847129372</v>
      </c>
    </row>
    <row r="16" spans="1:10" x14ac:dyDescent="0.25">
      <c r="A16" s="28" t="str">
        <f ca="1">Calculations!C20</f>
        <v/>
      </c>
      <c r="B16" s="44" t="str">
        <f ca="1">Calculations!H20</f>
        <v/>
      </c>
      <c r="C16" s="34" t="str">
        <f ca="1">Calculations!M20</f>
        <v/>
      </c>
    </row>
    <row r="17" spans="1:3" x14ac:dyDescent="0.25">
      <c r="A17" s="28" t="str">
        <f ca="1">Calculations!C19</f>
        <v/>
      </c>
      <c r="B17" s="44" t="str">
        <f ca="1">Calculations!H19</f>
        <v/>
      </c>
      <c r="C17" s="34" t="str">
        <f ca="1">Calculations!M19</f>
        <v/>
      </c>
    </row>
    <row r="18" spans="1:3" x14ac:dyDescent="0.25">
      <c r="A18" s="28" t="str">
        <f ca="1">Calculations!C18</f>
        <v>All</v>
      </c>
      <c r="B18" s="44" t="str">
        <f ca="1">Calculations!H18</f>
        <v/>
      </c>
      <c r="C18" s="34" t="str">
        <f ca="1">Calculations!M18</f>
        <v/>
      </c>
    </row>
    <row r="19" spans="1:3" x14ac:dyDescent="0.25">
      <c r="A19" s="28" t="str">
        <f ca="1">Calculations!C22</f>
        <v/>
      </c>
      <c r="B19" s="44" t="str">
        <f ca="1">Calculations!H22</f>
        <v/>
      </c>
      <c r="C19" s="34" t="str">
        <f ca="1">Calculations!M22</f>
        <v/>
      </c>
    </row>
    <row r="20" spans="1:3" x14ac:dyDescent="0.25">
      <c r="A20" s="28" t="str">
        <f ca="1">Calculations!C21</f>
        <v/>
      </c>
      <c r="B20" s="44" t="str">
        <f ca="1">Calculations!H21</f>
        <v/>
      </c>
      <c r="C20" s="34" t="str">
        <f ca="1">Calculations!M21</f>
        <v/>
      </c>
    </row>
    <row r="21" spans="1:3" x14ac:dyDescent="0.25">
      <c r="A21" s="28" t="str">
        <f ca="1">Calculations!C24</f>
        <v/>
      </c>
      <c r="B21" s="44" t="str">
        <f ca="1">Calculations!H24</f>
        <v/>
      </c>
      <c r="C21" s="34" t="str">
        <f ca="1">Calculations!M24</f>
        <v/>
      </c>
    </row>
    <row r="22" spans="1:3" x14ac:dyDescent="0.25">
      <c r="A22" s="28" t="str">
        <f ca="1">Calculations!C23</f>
        <v/>
      </c>
      <c r="B22" s="44" t="str">
        <f ca="1">Calculations!H23</f>
        <v/>
      </c>
      <c r="C22" s="34" t="str">
        <f ca="1">Calculations!M23</f>
        <v/>
      </c>
    </row>
    <row r="23" spans="1:3" x14ac:dyDescent="0.25">
      <c r="A23" s="28" t="str">
        <f ca="1">Calculations!C3</f>
        <v>None</v>
      </c>
      <c r="B23" s="33" t="str">
        <f ca="1">Calculations!H3</f>
        <v/>
      </c>
      <c r="C23" s="35" t="str">
        <f ca="1">Calculations!M3</f>
        <v/>
      </c>
    </row>
    <row r="24" spans="1:3" x14ac:dyDescent="0.25">
      <c r="A24" s="28" t="str">
        <f ca="1">Calculations!C25</f>
        <v/>
      </c>
      <c r="B24" s="33" t="str">
        <f ca="1">Calculations!H25</f>
        <v/>
      </c>
      <c r="C24" s="35" t="str">
        <f ca="1">Calculations!M25</f>
        <v/>
      </c>
    </row>
    <row r="25" spans="1:3" x14ac:dyDescent="0.25">
      <c r="A25" s="28" t="str">
        <f ca="1">Calculations!C26</f>
        <v/>
      </c>
      <c r="B25" s="33" t="str">
        <f ca="1">Calculations!H26</f>
        <v/>
      </c>
      <c r="C25" s="35" t="str">
        <f ca="1">Calculations!M26</f>
        <v/>
      </c>
    </row>
    <row r="26" spans="1:3" ht="15.75" thickBot="1" x14ac:dyDescent="0.3">
      <c r="A26" s="29" t="str">
        <f ca="1">Calculations!C27</f>
        <v/>
      </c>
      <c r="B26" s="36" t="str">
        <f ca="1">Calculations!H27</f>
        <v/>
      </c>
      <c r="C26" s="48" t="str">
        <f ca="1">Calculations!M27</f>
        <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6" t="s">
        <v>31</v>
      </c>
      <c r="B38" s="51" t="s">
        <v>34</v>
      </c>
    </row>
    <row r="39" spans="1:27" ht="15.75" thickBot="1" x14ac:dyDescent="0.3">
      <c r="A39" s="47">
        <v>100</v>
      </c>
      <c r="B39" s="52" t="s">
        <v>35</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5" t="s">
        <v>32</v>
      </c>
      <c r="B41" s="38" t="str">
        <f ca="1">IF(ISNUMBER($B2),$A2,"")</f>
        <v>Transportation Demand Management</v>
      </c>
      <c r="C41" s="38" t="str">
        <f ca="1">IF(ISNUMBER($B3),$A3,"")</f>
        <v>Increase Transmission</v>
      </c>
      <c r="D41" s="38" t="str">
        <f ca="1">IF(ISNUMBER($B4),$A4,"")</f>
        <v>Building Energy Efficiency Standards</v>
      </c>
      <c r="E41" s="38" t="str">
        <f ca="1">IF(ISNUMBER($B5),$A5,"")</f>
        <v>Industry Energy Efficiency Standards</v>
      </c>
      <c r="F41" s="38" t="str">
        <f ca="1">IF(ISNUMBER($B6),$A6,"")</f>
        <v>Desalination Energy Efficiency</v>
      </c>
      <c r="G41" s="38" t="str">
        <f ca="1">IF(ISNUMBER($B7),$A7,"")</f>
        <v>Reduce F-gases</v>
      </c>
      <c r="H41" s="38" t="str">
        <f ca="1">IF(ISNUMBER($B8),$A8,"")</f>
        <v>Cement Clinker Substitution</v>
      </c>
      <c r="I41" s="38" t="str">
        <f ca="1">IF(ISNUMBER($B9),$A9,"")</f>
        <v>Carbon-free Electricity Standard</v>
      </c>
      <c r="J41" s="38" t="str">
        <f ca="1">IF(ISNUMBER($B10),$A10,"")</f>
        <v>Methane Capture</v>
      </c>
      <c r="K41" s="38" t="str">
        <f ca="1">IF(ISNUMBER($B11),$A11,"")</f>
        <v>Vehicle Fuel Economy Standards</v>
      </c>
      <c r="L41" s="38" t="str">
        <f ca="1">IF(ISNUMBER($B12),$A12,"")</f>
        <v>Early Retirement of Power Plants</v>
      </c>
      <c r="M41" s="38" t="str">
        <f ca="1">IF(ISNUMBER($B13),$A13,"")</f>
        <v>Increased Retrofitting</v>
      </c>
      <c r="N41" s="38" t="str">
        <f ca="1">IF(ISNUMBER($B14),$A14,"")</f>
        <v>Fuel Price Deregulation</v>
      </c>
      <c r="O41" s="38" t="str">
        <f ca="1">IF(ISNUMBER($B15),$A15,"")</f>
        <v>EV Sales Mandate</v>
      </c>
      <c r="P41" s="38" t="str">
        <f ca="1">IF(ISNUMBER($B16),$A16,"")</f>
        <v/>
      </c>
      <c r="Q41" s="38" t="str">
        <f ca="1">IF(ISNUMBER($B17),$A17,"")</f>
        <v/>
      </c>
      <c r="R41" s="38" t="str">
        <f ca="1">IF(ISNUMBER($B18),$A18,"")</f>
        <v/>
      </c>
      <c r="S41" s="38" t="str">
        <f ca="1">IF(ISNUMBER($B19),$A19,"")</f>
        <v/>
      </c>
      <c r="T41" s="38" t="str">
        <f ca="1">IF(ISNUMBER($B20),$A20,"")</f>
        <v/>
      </c>
      <c r="U41" s="38" t="str">
        <f ca="1">IF(ISNUMBER($B21),$A21,"")</f>
        <v/>
      </c>
      <c r="V41" s="38" t="str">
        <f ca="1">IF(ISNUMBER($B22),$A22,"")</f>
        <v/>
      </c>
      <c r="W41" s="38" t="str">
        <f ca="1">IF(ISNUMBER($B23),$A23,"")</f>
        <v/>
      </c>
      <c r="X41" s="38" t="str">
        <f ca="1">IF(ISNUMBER($B24),$A24,"")</f>
        <v/>
      </c>
      <c r="Y41" s="38" t="str">
        <f ca="1">IF(ISNUMBER($B25),$A25,"")</f>
        <v/>
      </c>
      <c r="Z41" s="38" t="str">
        <f ca="1">IF(ISNUMBER($B26),$A26,"")</f>
        <v/>
      </c>
      <c r="AA41" s="14"/>
    </row>
    <row r="42" spans="1:27" s="2" customFormat="1" x14ac:dyDescent="0.25">
      <c r="A42" s="43">
        <v>0</v>
      </c>
      <c r="B42" s="41"/>
      <c r="C42" s="38"/>
      <c r="D42" s="38"/>
      <c r="E42" s="38"/>
      <c r="F42" s="38"/>
      <c r="G42" s="38"/>
      <c r="H42" s="38"/>
      <c r="I42" s="38"/>
      <c r="J42" s="38"/>
      <c r="K42" s="38"/>
      <c r="L42" s="38"/>
      <c r="M42" s="38"/>
      <c r="N42" s="38"/>
      <c r="O42" s="38"/>
      <c r="P42" s="38"/>
      <c r="Q42" s="38"/>
      <c r="R42" s="38"/>
      <c r="S42" s="38"/>
      <c r="T42" s="38"/>
      <c r="U42" s="38"/>
      <c r="V42" s="38"/>
      <c r="W42" s="38"/>
      <c r="X42" s="38"/>
      <c r="Y42" s="38"/>
      <c r="Z42" s="38"/>
      <c r="AA42" s="14"/>
    </row>
    <row r="43" spans="1:27" s="2" customFormat="1" x14ac:dyDescent="0.25">
      <c r="A43" s="20">
        <f>A42</f>
        <v>0</v>
      </c>
      <c r="B43" s="39">
        <f ca="1">IF(ISNUMBER($C2),$C2,NA())</f>
        <v>-1294.883198046256</v>
      </c>
      <c r="C43"/>
      <c r="D43"/>
      <c r="E43"/>
      <c r="F43"/>
      <c r="G43"/>
      <c r="H43"/>
      <c r="I43"/>
      <c r="J43"/>
      <c r="K43"/>
      <c r="L43"/>
      <c r="M43"/>
      <c r="N43"/>
      <c r="O43"/>
      <c r="P43"/>
      <c r="Q43"/>
      <c r="R43"/>
      <c r="S43"/>
      <c r="T43"/>
      <c r="U43"/>
      <c r="V43"/>
      <c r="W43"/>
      <c r="X43"/>
      <c r="Y43"/>
      <c r="Z43"/>
      <c r="AA43" s="14"/>
    </row>
    <row r="44" spans="1:27" x14ac:dyDescent="0.25">
      <c r="A44" s="6">
        <f ca="1">IF(ISNUMBER(B2),B2*$A$39+A43,NA())</f>
        <v>698.76432344120951</v>
      </c>
      <c r="B44" s="39">
        <f ca="1">IF(ISNUMBER($C2),$C2,NA())</f>
        <v>-1294.883198046256</v>
      </c>
    </row>
    <row r="45" spans="1:27" x14ac:dyDescent="0.25">
      <c r="A45" s="20">
        <f ca="1">A44</f>
        <v>698.76432344120951</v>
      </c>
      <c r="C45" s="39">
        <f ca="1">IF(ISNUMBER($C3),$C3,NA())</f>
        <v>-655.75290803248845</v>
      </c>
    </row>
    <row r="46" spans="1:27" x14ac:dyDescent="0.25">
      <c r="A46" s="6">
        <f ca="1">IF(ISNUMBER(B3),B3*$A$39+A45,NA())</f>
        <v>1634.6767154558956</v>
      </c>
      <c r="C46" s="39">
        <f ca="1">IF(ISNUMBER($C3),$C3,NA())</f>
        <v>-655.75290803248845</v>
      </c>
    </row>
    <row r="47" spans="1:27" x14ac:dyDescent="0.25">
      <c r="A47" s="20">
        <f ca="1">A46</f>
        <v>1634.6767154558956</v>
      </c>
      <c r="D47" s="39">
        <f ca="1">IF(ISNUMBER($C4),$C4,NA())</f>
        <v>-572.00225322591291</v>
      </c>
    </row>
    <row r="48" spans="1:27" x14ac:dyDescent="0.25">
      <c r="A48" s="6">
        <f ca="1">IF(ISNUMBER(B4),B4*$A$39+A47,NA())</f>
        <v>3129.5320263193285</v>
      </c>
      <c r="D48" s="39">
        <f ca="1">IF(ISNUMBER($C4),$C4,NA())</f>
        <v>-572.00225322591291</v>
      </c>
    </row>
    <row r="49" spans="1:12" x14ac:dyDescent="0.25">
      <c r="A49" s="20">
        <f ca="1">A48</f>
        <v>3129.5320263193285</v>
      </c>
      <c r="E49" s="39">
        <f ca="1">IF(ISNUMBER($C5),$C5,NA())</f>
        <v>-160.08130665552659</v>
      </c>
    </row>
    <row r="50" spans="1:12" x14ac:dyDescent="0.25">
      <c r="A50" s="6">
        <f ca="1">IF(ISNUMBER(B5),B5*$A$39+A49,NA())</f>
        <v>5858.4483125195893</v>
      </c>
      <c r="E50" s="39">
        <f ca="1">IF(ISNUMBER($C5),$C5,NA())</f>
        <v>-160.08130665552659</v>
      </c>
    </row>
    <row r="51" spans="1:12" x14ac:dyDescent="0.25">
      <c r="A51" s="20">
        <f ca="1">A50</f>
        <v>5858.4483125195893</v>
      </c>
      <c r="F51" s="39">
        <f ca="1">IF(ISNUMBER($C6),$C6,NA())</f>
        <v>-94.359269820211466</v>
      </c>
    </row>
    <row r="52" spans="1:12" x14ac:dyDescent="0.25">
      <c r="A52" s="6">
        <f ca="1">IF(ISNUMBER(B6),B6*$A$39+A51,NA())</f>
        <v>6670.3034779105765</v>
      </c>
      <c r="F52" s="39">
        <f ca="1">IF(ISNUMBER($C6),$C6,NA())</f>
        <v>-94.359269820211466</v>
      </c>
    </row>
    <row r="53" spans="1:12" x14ac:dyDescent="0.25">
      <c r="A53" s="20">
        <f t="shared" ref="A53" ca="1" si="0">A52</f>
        <v>6670.3034779105765</v>
      </c>
      <c r="G53" s="39">
        <f ca="1">IF(ISNUMBER($C7),$C7,NA())</f>
        <v>-10.679498519089538</v>
      </c>
    </row>
    <row r="54" spans="1:12" x14ac:dyDescent="0.25">
      <c r="A54" s="6">
        <f ca="1">IF(ISNUMBER(B7),B7*$A$39+A53,NA())</f>
        <v>7359.8149142831653</v>
      </c>
      <c r="G54" s="39">
        <f ca="1">IF(ISNUMBER($C7),$C7,NA())</f>
        <v>-10.679498519089538</v>
      </c>
    </row>
    <row r="55" spans="1:12" x14ac:dyDescent="0.25">
      <c r="A55" s="20">
        <f t="shared" ref="A55:A93" ca="1" si="1">A54</f>
        <v>7359.8149142831653</v>
      </c>
      <c r="H55" s="39">
        <f ca="1">IF(ISNUMBER($C8),$C8,NA())</f>
        <v>5.3390289986034389</v>
      </c>
    </row>
    <row r="56" spans="1:12" x14ac:dyDescent="0.25">
      <c r="A56" s="6">
        <f ca="1">IF(ISNUMBER(B8),B8*$A$39+A55,NA())</f>
        <v>7955.769381406395</v>
      </c>
      <c r="H56" s="39">
        <f ca="1">IF(ISNUMBER($C8),$C8,NA())</f>
        <v>5.3390289986034389</v>
      </c>
    </row>
    <row r="57" spans="1:12" x14ac:dyDescent="0.25">
      <c r="A57" s="20">
        <f t="shared" ca="1" si="1"/>
        <v>7955.769381406395</v>
      </c>
      <c r="I57" s="39">
        <f ca="1">IF(ISNUMBER($C9),$C9,NA())</f>
        <v>18.806044455998997</v>
      </c>
    </row>
    <row r="58" spans="1:12" x14ac:dyDescent="0.25">
      <c r="A58" s="6">
        <f ca="1">IF(ISNUMBER(B9),B9*$A$39+A57,NA())</f>
        <v>14842.658956626827</v>
      </c>
      <c r="I58" s="39">
        <f ca="1">IF(ISNUMBER($C9),$C9,NA())</f>
        <v>18.806044455998997</v>
      </c>
    </row>
    <row r="59" spans="1:12" x14ac:dyDescent="0.25">
      <c r="A59" s="20">
        <f t="shared" ca="1" si="1"/>
        <v>14842.658956626827</v>
      </c>
      <c r="J59" s="39">
        <f ca="1">IF(ISNUMBER($C10),$C10,NA())</f>
        <v>73.260190183880781</v>
      </c>
    </row>
    <row r="60" spans="1:12" x14ac:dyDescent="0.25">
      <c r="A60" s="6">
        <f ca="1">IF(ISNUMBER(B10),B10*$A$39+A59,NA())</f>
        <v>16629.151559912272</v>
      </c>
      <c r="J60" s="39">
        <f ca="1">IF(ISNUMBER($C10),$C10,NA())</f>
        <v>73.260190183880781</v>
      </c>
    </row>
    <row r="61" spans="1:12" x14ac:dyDescent="0.25">
      <c r="A61" s="20">
        <f t="shared" ca="1" si="1"/>
        <v>16629.151559912272</v>
      </c>
      <c r="K61" s="39">
        <f ca="1">IF(ISNUMBER($C11),$C11,NA())</f>
        <v>200.68346481293349</v>
      </c>
    </row>
    <row r="62" spans="1:12" x14ac:dyDescent="0.25">
      <c r="A62" s="6">
        <f ca="1">IF(ISNUMBER(B11),B11*$A$39+A61,NA())</f>
        <v>17255.948983930895</v>
      </c>
      <c r="K62" s="39">
        <f ca="1">IF(ISNUMBER($C11),$C11,NA())</f>
        <v>200.68346481293349</v>
      </c>
    </row>
    <row r="63" spans="1:12" x14ac:dyDescent="0.25">
      <c r="A63" s="20">
        <f t="shared" ca="1" si="1"/>
        <v>17255.948983930895</v>
      </c>
      <c r="L63" s="39">
        <f ca="1">IF(ISNUMBER($C12),$C12,NA())</f>
        <v>276.9246326717776</v>
      </c>
    </row>
    <row r="64" spans="1:12" x14ac:dyDescent="0.25">
      <c r="A64" s="6">
        <f ca="1">IF(ISNUMBER(B12),B12*$A$39+A63,NA())</f>
        <v>18376.919117317946</v>
      </c>
      <c r="L64" s="39">
        <f ca="1">IF(ISNUMBER($C12),$C12,NA())</f>
        <v>276.9246326717776</v>
      </c>
    </row>
    <row r="65" spans="1:20" x14ac:dyDescent="0.25">
      <c r="A65" s="20">
        <f t="shared" ca="1" si="1"/>
        <v>18376.919117317946</v>
      </c>
      <c r="M65" s="39">
        <f ca="1">IF(ISNUMBER($C13),$C13,NA())</f>
        <v>447.67962578746983</v>
      </c>
    </row>
    <row r="66" spans="1:20" x14ac:dyDescent="0.25">
      <c r="A66" s="6">
        <f ca="1">IF(ISNUMBER(B13),B13*$A$39+A65,NA())</f>
        <v>19303.921321785067</v>
      </c>
      <c r="M66" s="39">
        <f ca="1">IF(ISNUMBER($C13),$C13,NA())</f>
        <v>447.67962578746983</v>
      </c>
    </row>
    <row r="67" spans="1:20" x14ac:dyDescent="0.25">
      <c r="A67" s="20">
        <f t="shared" ca="1" si="1"/>
        <v>19303.921321785067</v>
      </c>
      <c r="N67" s="39">
        <f ca="1">IF(ISNUMBER($C14),$C14,NA())</f>
        <v>1691.6638794345895</v>
      </c>
    </row>
    <row r="68" spans="1:20" x14ac:dyDescent="0.25">
      <c r="A68" s="6">
        <f ca="1">IF(ISNUMBER(B14),B14*$A$39+A67,NA())</f>
        <v>25801.846940602474</v>
      </c>
      <c r="N68" s="39">
        <f ca="1">IF(ISNUMBER($C14),$C14,NA())</f>
        <v>1691.6638794345895</v>
      </c>
    </row>
    <row r="69" spans="1:20" x14ac:dyDescent="0.25">
      <c r="A69" s="20">
        <f t="shared" ca="1" si="1"/>
        <v>25801.846940602474</v>
      </c>
      <c r="O69" s="39">
        <f ca="1">IF(ISNUMBER($C15),$C15,NA())</f>
        <v>2022.9999847129372</v>
      </c>
    </row>
    <row r="70" spans="1:20" x14ac:dyDescent="0.25">
      <c r="A70" s="6">
        <f ca="1">IF(ISNUMBER(B15),B15*$A$39+A69,NA())</f>
        <v>25984.848484848484</v>
      </c>
      <c r="O70" s="39">
        <f ca="1">IF(ISNUMBER($C15),$C15,NA())</f>
        <v>2022.9999847129372</v>
      </c>
    </row>
    <row r="71" spans="1:20" x14ac:dyDescent="0.25">
      <c r="A71" s="20">
        <f t="shared" ca="1" si="1"/>
        <v>25984.848484848484</v>
      </c>
      <c r="P71" s="39" t="e">
        <f ca="1">IF(ISNUMBER($C16),$C16,NA())</f>
        <v>#N/A</v>
      </c>
    </row>
    <row r="72" spans="1:20" x14ac:dyDescent="0.25">
      <c r="A72" s="6" t="e">
        <f ca="1">IF(ISNUMBER(B16),B16*$A$39+A71,NA())</f>
        <v>#N/A</v>
      </c>
      <c r="P72" s="39" t="e">
        <f ca="1">IF(ISNUMBER($C16),$C16,NA())</f>
        <v>#N/A</v>
      </c>
    </row>
    <row r="73" spans="1:20" x14ac:dyDescent="0.25">
      <c r="A73" s="20" t="e">
        <f t="shared" ca="1" si="1"/>
        <v>#N/A</v>
      </c>
      <c r="Q73" s="39" t="e">
        <f ca="1">IF(ISNUMBER($C17),$C17,NA())</f>
        <v>#N/A</v>
      </c>
    </row>
    <row r="74" spans="1:20" x14ac:dyDescent="0.25">
      <c r="A74" s="6" t="e">
        <f ca="1">IF(ISNUMBER(B17),B17*$A$39+A73,NA())</f>
        <v>#N/A</v>
      </c>
      <c r="Q74" s="39" t="e">
        <f ca="1">IF(ISNUMBER($C17),$C17,NA())</f>
        <v>#N/A</v>
      </c>
    </row>
    <row r="75" spans="1:20" x14ac:dyDescent="0.25">
      <c r="A75" s="20" t="e">
        <f t="shared" ca="1" si="1"/>
        <v>#N/A</v>
      </c>
      <c r="R75" s="40" t="e">
        <f ca="1">IF(ISNUMBER($C18),$C18,NA())</f>
        <v>#N/A</v>
      </c>
    </row>
    <row r="76" spans="1:20" x14ac:dyDescent="0.25">
      <c r="A76" s="6" t="e">
        <f ca="1">IF(ISNUMBER(B18),B18*$A$39+A75,NA())</f>
        <v>#N/A</v>
      </c>
      <c r="R76" s="40" t="e">
        <f ca="1">IF(ISNUMBER($C18),$C18,NA())</f>
        <v>#N/A</v>
      </c>
    </row>
    <row r="77" spans="1:20" x14ac:dyDescent="0.25">
      <c r="A77" s="20" t="e">
        <f t="shared" ca="1" si="1"/>
        <v>#N/A</v>
      </c>
      <c r="S77" s="40" t="e">
        <f ca="1">IF(ISNUMBER($C19),$C19,NA())</f>
        <v>#N/A</v>
      </c>
    </row>
    <row r="78" spans="1:20" x14ac:dyDescent="0.25">
      <c r="A78" s="6" t="e">
        <f ca="1">IF(ISNUMBER(B19),B19*$A$39+A77,NA())</f>
        <v>#N/A</v>
      </c>
      <c r="S78" s="40" t="e">
        <f ca="1">IF(ISNUMBER($C19),$C19,NA())</f>
        <v>#N/A</v>
      </c>
    </row>
    <row r="79" spans="1:20" x14ac:dyDescent="0.25">
      <c r="A79" s="20" t="e">
        <f t="shared" ca="1" si="1"/>
        <v>#N/A</v>
      </c>
      <c r="T79" s="40" t="e">
        <f ca="1">IF(ISNUMBER($C20),$C20,NA())</f>
        <v>#N/A</v>
      </c>
    </row>
    <row r="80" spans="1:20" x14ac:dyDescent="0.25">
      <c r="A80" s="6" t="e">
        <f ca="1">IF(ISNUMBER(B20),B20*$A$39+A79,NA())</f>
        <v>#N/A</v>
      </c>
      <c r="T80" s="40" t="e">
        <f ca="1">IF(ISNUMBER($C20),$C20,NA())</f>
        <v>#N/A</v>
      </c>
    </row>
    <row r="81" spans="1:26" x14ac:dyDescent="0.25">
      <c r="A81" s="20" t="e">
        <f t="shared" ca="1" si="1"/>
        <v>#N/A</v>
      </c>
      <c r="U81" s="40" t="e">
        <f ca="1">IF(ISNUMBER($C21),$C21,NA())</f>
        <v>#N/A</v>
      </c>
    </row>
    <row r="82" spans="1:26" x14ac:dyDescent="0.25">
      <c r="A82" s="6" t="e">
        <f ca="1">IF(ISNUMBER(B21),B21*$A$39+A81,NA())</f>
        <v>#N/A</v>
      </c>
      <c r="U82" s="40" t="e">
        <f ca="1">IF(ISNUMBER($C21),$C21,NA())</f>
        <v>#N/A</v>
      </c>
    </row>
    <row r="83" spans="1:26" x14ac:dyDescent="0.25">
      <c r="A83" s="20" t="e">
        <f t="shared" ca="1" si="1"/>
        <v>#N/A</v>
      </c>
      <c r="V83" s="39" t="e">
        <f ca="1">IF(ISNUMBER($C22),$C22,NA())</f>
        <v>#N/A</v>
      </c>
    </row>
    <row r="84" spans="1:26" x14ac:dyDescent="0.25">
      <c r="A84" s="6" t="e">
        <f ca="1">IF(ISNUMBER(B22),B22*$A$39+A83,NA())</f>
        <v>#N/A</v>
      </c>
      <c r="V84" s="39" t="e">
        <f ca="1">IF(ISNUMBER($C22),$C22,NA())</f>
        <v>#N/A</v>
      </c>
    </row>
    <row r="85" spans="1:26" x14ac:dyDescent="0.25">
      <c r="A85" s="20" t="e">
        <f t="shared" ca="1" si="1"/>
        <v>#N/A</v>
      </c>
      <c r="W85" s="39" t="e">
        <f ca="1">IF(ISNUMBER($C23),$C23,NA())</f>
        <v>#N/A</v>
      </c>
    </row>
    <row r="86" spans="1:26" x14ac:dyDescent="0.25">
      <c r="A86" s="6" t="e">
        <f ca="1">IF(ISNUMBER(B23),B23*$A$39+A85,NA())</f>
        <v>#N/A</v>
      </c>
      <c r="W86" s="39" t="e">
        <f ca="1">IF(ISNUMBER($C23),$C23,NA())</f>
        <v>#N/A</v>
      </c>
    </row>
    <row r="87" spans="1:26" x14ac:dyDescent="0.25">
      <c r="A87" s="20" t="e">
        <f t="shared" ca="1" si="1"/>
        <v>#N/A</v>
      </c>
      <c r="X87" s="39" t="e">
        <f ca="1">IF(ISNUMBER($C24),$C24,NA())</f>
        <v>#N/A</v>
      </c>
    </row>
    <row r="88" spans="1:26" x14ac:dyDescent="0.25">
      <c r="A88" s="6" t="e">
        <f ca="1">IF(ISNUMBER(B24),B24*$A$39+A87,NA())</f>
        <v>#N/A</v>
      </c>
      <c r="X88" s="39" t="e">
        <f ca="1">IF(ISNUMBER($C24),$C24,NA())</f>
        <v>#N/A</v>
      </c>
    </row>
    <row r="89" spans="1:26" x14ac:dyDescent="0.25">
      <c r="A89" s="20" t="e">
        <f t="shared" ca="1" si="1"/>
        <v>#N/A</v>
      </c>
      <c r="Y89" s="39" t="e">
        <f ca="1">IF(ISNUMBER($C25),$C25,NA())</f>
        <v>#N/A</v>
      </c>
    </row>
    <row r="90" spans="1:26" x14ac:dyDescent="0.25">
      <c r="A90" s="6" t="e">
        <f ca="1">IF(ISNUMBER(B25),B25*$A$39+A89,NA())</f>
        <v>#N/A</v>
      </c>
      <c r="Y90" s="39" t="e">
        <f ca="1">IF(ISNUMBER($C25),$C25,NA())</f>
        <v>#N/A</v>
      </c>
    </row>
    <row r="91" spans="1:26" x14ac:dyDescent="0.25">
      <c r="A91" s="20" t="e">
        <f t="shared" ca="1" si="1"/>
        <v>#N/A</v>
      </c>
      <c r="Z91" s="39" t="e">
        <f ca="1">IF(ISNUMBER($C26),$C26,NA())</f>
        <v>#N/A</v>
      </c>
    </row>
    <row r="92" spans="1:26" x14ac:dyDescent="0.25">
      <c r="A92" s="6" t="e">
        <f ca="1">IF(ISNUMBER(B26),B26*$A$39+A91,NA())</f>
        <v>#N/A</v>
      </c>
      <c r="Z92" s="39" t="e">
        <f ca="1">IF(ISNUMBER($C26),$C26,NA())</f>
        <v>#N/A</v>
      </c>
    </row>
    <row r="93" spans="1:26" x14ac:dyDescent="0.25">
      <c r="A93" s="20" t="e">
        <f t="shared" ca="1" si="1"/>
        <v>#N/A</v>
      </c>
    </row>
    <row r="94" spans="1:26" s="9" customFormat="1" x14ac:dyDescent="0.25"/>
    <row r="96" spans="1:26" x14ac:dyDescent="0.25">
      <c r="C96" s="38" t="str">
        <f ca="1">IF(ISNUMBER($B23),$A23,"")</f>
        <v/>
      </c>
    </row>
    <row r="97" spans="3:3" x14ac:dyDescent="0.25">
      <c r="C97" s="38" t="str">
        <f ca="1">IF(ISNUMBER($B24),$A24,"")</f>
        <v/>
      </c>
    </row>
    <row r="98" spans="3:3" x14ac:dyDescent="0.25">
      <c r="C98" s="38" t="str">
        <f ca="1">IF(ISNUMBER($B25),$A25,"")</f>
        <v/>
      </c>
    </row>
    <row r="99" spans="3:3" x14ac:dyDescent="0.25">
      <c r="C99" s="38" t="str">
        <f ca="1">IF(ISNUMBER($B26),$A26,"")</f>
        <v/>
      </c>
    </row>
    <row r="100" spans="3:3" x14ac:dyDescent="0.25">
      <c r="C100" s="38"/>
    </row>
    <row r="101" spans="3:3" x14ac:dyDescent="0.25">
      <c r="C101" s="38"/>
    </row>
    <row r="102" spans="3:3" x14ac:dyDescent="0.25">
      <c r="C102" s="38"/>
    </row>
    <row r="103" spans="3:3" x14ac:dyDescent="0.25">
      <c r="C103" s="38"/>
    </row>
    <row r="104" spans="3:3" x14ac:dyDescent="0.25">
      <c r="C104" s="38"/>
    </row>
    <row r="105" spans="3:3" x14ac:dyDescent="0.25">
      <c r="C105" s="38"/>
    </row>
    <row r="106" spans="3:3" x14ac:dyDescent="0.25">
      <c r="C106" s="38"/>
    </row>
    <row r="107" spans="3:3" x14ac:dyDescent="0.25">
      <c r="C107" s="38"/>
    </row>
    <row r="108" spans="3:3" x14ac:dyDescent="0.25">
      <c r="C108" s="38"/>
    </row>
    <row r="109" spans="3:3" x14ac:dyDescent="0.25">
      <c r="C109" s="38"/>
    </row>
    <row r="110" spans="3:3" x14ac:dyDescent="0.25">
      <c r="C110" s="38"/>
    </row>
    <row r="111" spans="3:3" x14ac:dyDescent="0.25">
      <c r="C111" s="38"/>
    </row>
    <row r="112" spans="3:3" x14ac:dyDescent="0.25">
      <c r="C112" s="38"/>
    </row>
    <row r="113" spans="3:3" x14ac:dyDescent="0.25">
      <c r="C113" s="38"/>
    </row>
    <row r="114" spans="3:3" x14ac:dyDescent="0.25">
      <c r="C114" s="38"/>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43"/>
  <sheetViews>
    <sheetView workbookViewId="0"/>
  </sheetViews>
  <sheetFormatPr defaultRowHeight="15" x14ac:dyDescent="0.25"/>
  <sheetData>
    <row r="1" spans="1:36" x14ac:dyDescent="0.25">
      <c r="A1" s="57" t="s">
        <v>0</v>
      </c>
      <c r="B1" s="57" t="s">
        <v>1</v>
      </c>
      <c r="C1" s="57" t="s">
        <v>2</v>
      </c>
      <c r="D1" s="57">
        <v>2018</v>
      </c>
      <c r="E1" s="57">
        <v>2019</v>
      </c>
      <c r="F1" s="57">
        <v>2020</v>
      </c>
      <c r="G1" s="57">
        <v>2021</v>
      </c>
      <c r="H1" s="57">
        <v>2022</v>
      </c>
      <c r="I1" s="57">
        <v>2023</v>
      </c>
      <c r="J1" s="57">
        <v>2024</v>
      </c>
      <c r="K1" s="57">
        <v>2025</v>
      </c>
      <c r="L1" s="57">
        <v>2026</v>
      </c>
      <c r="M1" s="57">
        <v>2027</v>
      </c>
      <c r="N1" s="57">
        <v>2028</v>
      </c>
      <c r="O1" s="57">
        <v>2029</v>
      </c>
      <c r="P1" s="57">
        <v>2030</v>
      </c>
      <c r="Q1" s="57">
        <v>2031</v>
      </c>
      <c r="R1" s="57">
        <v>2032</v>
      </c>
      <c r="S1" s="57">
        <v>2033</v>
      </c>
      <c r="T1" s="57">
        <v>2034</v>
      </c>
      <c r="U1" s="57">
        <v>2035</v>
      </c>
      <c r="V1" s="57">
        <v>2036</v>
      </c>
      <c r="W1" s="57">
        <v>2037</v>
      </c>
      <c r="X1" s="57">
        <v>2038</v>
      </c>
      <c r="Y1" s="57">
        <v>2039</v>
      </c>
      <c r="Z1" s="57">
        <v>2040</v>
      </c>
      <c r="AA1" s="57">
        <v>2041</v>
      </c>
      <c r="AB1" s="57">
        <v>2042</v>
      </c>
      <c r="AC1" s="57">
        <v>2043</v>
      </c>
      <c r="AD1" s="57">
        <v>2044</v>
      </c>
      <c r="AE1" s="57">
        <v>2045</v>
      </c>
      <c r="AF1" s="57">
        <v>2046</v>
      </c>
      <c r="AG1" s="57">
        <v>2047</v>
      </c>
      <c r="AH1" s="57">
        <v>2048</v>
      </c>
      <c r="AI1" s="57">
        <v>2049</v>
      </c>
      <c r="AJ1" s="57">
        <v>2050</v>
      </c>
    </row>
    <row r="2" spans="1:36" x14ac:dyDescent="0.25">
      <c r="A2" s="57" t="s">
        <v>3</v>
      </c>
      <c r="B2" s="57" t="s">
        <v>1</v>
      </c>
      <c r="C2" s="57" t="s">
        <v>2</v>
      </c>
      <c r="D2" s="57">
        <v>669.76900000000001</v>
      </c>
      <c r="E2" s="57">
        <v>1360.61</v>
      </c>
      <c r="F2" s="57">
        <v>2058.6799999999998</v>
      </c>
      <c r="G2" s="57">
        <v>2762.14</v>
      </c>
      <c r="H2" s="57">
        <v>3470.61</v>
      </c>
      <c r="I2" s="57">
        <v>4189.84</v>
      </c>
      <c r="J2" s="57">
        <v>4913.43</v>
      </c>
      <c r="K2" s="57">
        <v>5640.79</v>
      </c>
      <c r="L2" s="57">
        <v>6370.85</v>
      </c>
      <c r="M2" s="57">
        <v>7094.11</v>
      </c>
      <c r="N2" s="57">
        <v>7801.77</v>
      </c>
      <c r="O2" s="57">
        <v>8495.15</v>
      </c>
      <c r="P2" s="57">
        <v>9176.08</v>
      </c>
      <c r="Q2" s="57">
        <v>9847.26</v>
      </c>
      <c r="R2" s="57">
        <v>10508.1</v>
      </c>
      <c r="S2" s="57">
        <v>11158.5</v>
      </c>
      <c r="T2" s="57">
        <v>11798.2</v>
      </c>
      <c r="U2" s="57">
        <v>12431.8</v>
      </c>
      <c r="V2" s="57">
        <v>13059.3</v>
      </c>
      <c r="W2" s="57">
        <v>13681</v>
      </c>
      <c r="X2" s="57">
        <v>14296.7</v>
      </c>
      <c r="Y2" s="57">
        <v>14906.6</v>
      </c>
      <c r="Z2" s="57">
        <v>15510.3</v>
      </c>
      <c r="AA2" s="57">
        <v>16107.5</v>
      </c>
      <c r="AB2" s="57">
        <v>16697.900000000001</v>
      </c>
      <c r="AC2" s="57">
        <v>17281.2</v>
      </c>
      <c r="AD2" s="57">
        <v>17857</v>
      </c>
      <c r="AE2" s="57">
        <v>18427.7</v>
      </c>
      <c r="AF2" s="57">
        <v>18993.900000000001</v>
      </c>
      <c r="AG2" s="57">
        <v>19555.599999999999</v>
      </c>
      <c r="AH2" s="57">
        <v>20113.3</v>
      </c>
      <c r="AI2" s="57">
        <v>20666.400000000001</v>
      </c>
      <c r="AJ2" s="57">
        <v>21215.1</v>
      </c>
    </row>
    <row r="3" spans="1:36" x14ac:dyDescent="0.25">
      <c r="A3" s="57" t="s">
        <v>69</v>
      </c>
      <c r="B3" s="57" t="s">
        <v>1</v>
      </c>
      <c r="C3" s="57" t="s">
        <v>2</v>
      </c>
      <c r="D3" s="57">
        <v>0</v>
      </c>
      <c r="E3" s="57">
        <v>0</v>
      </c>
      <c r="F3" s="58">
        <v>33884300000</v>
      </c>
      <c r="G3" s="58">
        <v>85602200000</v>
      </c>
      <c r="H3" s="58">
        <v>153242000000</v>
      </c>
      <c r="I3" s="58">
        <v>234318000000</v>
      </c>
      <c r="J3" s="58">
        <v>327639000000</v>
      </c>
      <c r="K3" s="58">
        <v>431778000000</v>
      </c>
      <c r="L3" s="58">
        <v>547011000000</v>
      </c>
      <c r="M3" s="58">
        <v>672656000000</v>
      </c>
      <c r="N3" s="58">
        <v>804902000000</v>
      </c>
      <c r="O3" s="58">
        <v>941866000000</v>
      </c>
      <c r="P3" s="58">
        <v>1082910000000</v>
      </c>
      <c r="Q3" s="58">
        <v>1226280000000</v>
      </c>
      <c r="R3" s="58">
        <v>1370790000000</v>
      </c>
      <c r="S3" s="58">
        <v>1516030000000</v>
      </c>
      <c r="T3" s="58">
        <v>1662050000000</v>
      </c>
      <c r="U3" s="58">
        <v>1809440000000</v>
      </c>
      <c r="V3" s="58">
        <v>1957490000000</v>
      </c>
      <c r="W3" s="58">
        <v>2105950000000</v>
      </c>
      <c r="X3" s="58">
        <v>2254460000000</v>
      </c>
      <c r="Y3" s="58">
        <v>2403120000000</v>
      </c>
      <c r="Z3" s="58">
        <v>2551860000000</v>
      </c>
      <c r="AA3" s="58">
        <v>2700610000000</v>
      </c>
      <c r="AB3" s="58">
        <v>2849100000000</v>
      </c>
      <c r="AC3" s="58">
        <v>2997680000000</v>
      </c>
      <c r="AD3" s="58">
        <v>3145930000000</v>
      </c>
      <c r="AE3" s="58">
        <v>3293320000000</v>
      </c>
      <c r="AF3" s="58">
        <v>3439320000000</v>
      </c>
      <c r="AG3" s="58">
        <v>3576080000000</v>
      </c>
      <c r="AH3" s="58">
        <v>3713130000000</v>
      </c>
      <c r="AI3" s="58">
        <v>3855980000000</v>
      </c>
      <c r="AJ3" s="58">
        <v>4004880000000</v>
      </c>
    </row>
    <row r="4" spans="1:36" x14ac:dyDescent="0.25">
      <c r="A4" s="57" t="s">
        <v>3</v>
      </c>
      <c r="B4" s="57" t="s">
        <v>75</v>
      </c>
      <c r="C4" s="57" t="s">
        <v>76</v>
      </c>
      <c r="D4" s="57">
        <v>669.76900000000001</v>
      </c>
      <c r="E4" s="57">
        <v>1360.61</v>
      </c>
      <c r="F4" s="57">
        <v>2058.69</v>
      </c>
      <c r="G4" s="57">
        <v>2762.12</v>
      </c>
      <c r="H4" s="57">
        <v>3470.6</v>
      </c>
      <c r="I4" s="57">
        <v>4189.75</v>
      </c>
      <c r="J4" s="57">
        <v>4913.42</v>
      </c>
      <c r="K4" s="57">
        <v>5640.73</v>
      </c>
      <c r="L4" s="57">
        <v>6371.19</v>
      </c>
      <c r="M4" s="57">
        <v>7094.82</v>
      </c>
      <c r="N4" s="57">
        <v>7802.83</v>
      </c>
      <c r="O4" s="57">
        <v>8496.6</v>
      </c>
      <c r="P4" s="57">
        <v>9177.69</v>
      </c>
      <c r="Q4" s="57">
        <v>9849.08</v>
      </c>
      <c r="R4" s="57">
        <v>10510.1</v>
      </c>
      <c r="S4" s="57">
        <v>11160.7</v>
      </c>
      <c r="T4" s="57">
        <v>11800.7</v>
      </c>
      <c r="U4" s="57">
        <v>12434.6</v>
      </c>
      <c r="V4" s="57">
        <v>13062.8</v>
      </c>
      <c r="W4" s="57">
        <v>13685.3</v>
      </c>
      <c r="X4" s="57">
        <v>14302.2</v>
      </c>
      <c r="Y4" s="57">
        <v>14913.2</v>
      </c>
      <c r="Z4" s="57">
        <v>15518.1</v>
      </c>
      <c r="AA4" s="57">
        <v>16116.5</v>
      </c>
      <c r="AB4" s="57">
        <v>16708.5</v>
      </c>
      <c r="AC4" s="57">
        <v>17293.400000000001</v>
      </c>
      <c r="AD4" s="57">
        <v>17873.7</v>
      </c>
      <c r="AE4" s="57">
        <v>18449.8</v>
      </c>
      <c r="AF4" s="57">
        <v>19021.7</v>
      </c>
      <c r="AG4" s="57">
        <v>19589.5</v>
      </c>
      <c r="AH4" s="57">
        <v>20153.5</v>
      </c>
      <c r="AI4" s="57">
        <v>20713.2</v>
      </c>
      <c r="AJ4" s="57">
        <v>21268.5</v>
      </c>
    </row>
    <row r="5" spans="1:36" x14ac:dyDescent="0.25">
      <c r="A5" s="57" t="s">
        <v>69</v>
      </c>
      <c r="B5" s="57" t="s">
        <v>75</v>
      </c>
      <c r="C5" s="57" t="s">
        <v>76</v>
      </c>
      <c r="D5" s="57">
        <v>0</v>
      </c>
      <c r="E5" s="57">
        <v>0</v>
      </c>
      <c r="F5" s="58">
        <v>32357200000</v>
      </c>
      <c r="G5" s="58">
        <v>81118600000</v>
      </c>
      <c r="H5" s="58">
        <v>144643000000</v>
      </c>
      <c r="I5" s="58">
        <v>220662000000</v>
      </c>
      <c r="J5" s="58">
        <v>308199000000</v>
      </c>
      <c r="K5" s="58">
        <v>405954000000</v>
      </c>
      <c r="L5" s="58">
        <v>514314000000</v>
      </c>
      <c r="M5" s="58">
        <v>632913000000</v>
      </c>
      <c r="N5" s="58">
        <v>758202000000</v>
      </c>
      <c r="O5" s="58">
        <v>888488000000</v>
      </c>
      <c r="P5" s="58">
        <v>1023180000000</v>
      </c>
      <c r="Q5" s="58">
        <v>1160530000000</v>
      </c>
      <c r="R5" s="58">
        <v>1299490000000</v>
      </c>
      <c r="S5" s="58">
        <v>1439730000000</v>
      </c>
      <c r="T5" s="58">
        <v>1581170000000</v>
      </c>
      <c r="U5" s="58">
        <v>1724170000000</v>
      </c>
      <c r="V5" s="58">
        <v>1868120000000</v>
      </c>
      <c r="W5" s="58">
        <v>2012840000000</v>
      </c>
      <c r="X5" s="58">
        <v>2157930000000</v>
      </c>
      <c r="Y5" s="58">
        <v>2303460000000</v>
      </c>
      <c r="Z5" s="58">
        <v>2449330000000</v>
      </c>
      <c r="AA5" s="58">
        <v>2595420000000</v>
      </c>
      <c r="AB5" s="58">
        <v>2741510000000</v>
      </c>
      <c r="AC5" s="58">
        <v>2887940000000</v>
      </c>
      <c r="AD5" s="58">
        <v>3033990000000</v>
      </c>
      <c r="AE5" s="58">
        <v>3178650000000</v>
      </c>
      <c r="AF5" s="58">
        <v>3321970000000</v>
      </c>
      <c r="AG5" s="58">
        <v>3456730000000</v>
      </c>
      <c r="AH5" s="58">
        <v>3592370000000</v>
      </c>
      <c r="AI5" s="58">
        <v>3734300000000</v>
      </c>
      <c r="AJ5" s="58">
        <v>3882710000000</v>
      </c>
    </row>
    <row r="6" spans="1:36" x14ac:dyDescent="0.25">
      <c r="A6" s="57" t="s">
        <v>3</v>
      </c>
      <c r="B6" s="57" t="s">
        <v>4</v>
      </c>
      <c r="C6" s="57" t="s">
        <v>77</v>
      </c>
      <c r="D6" s="57">
        <v>669.76900000000001</v>
      </c>
      <c r="E6" s="57">
        <v>1360.61</v>
      </c>
      <c r="F6" s="57">
        <v>2058.7199999999998</v>
      </c>
      <c r="G6" s="57">
        <v>2762.29</v>
      </c>
      <c r="H6" s="57">
        <v>3471.01</v>
      </c>
      <c r="I6" s="57">
        <v>4190.66</v>
      </c>
      <c r="J6" s="57">
        <v>4914.8900000000003</v>
      </c>
      <c r="K6" s="57">
        <v>5643.17</v>
      </c>
      <c r="L6" s="57">
        <v>6374.47</v>
      </c>
      <c r="M6" s="57">
        <v>7099.37</v>
      </c>
      <c r="N6" s="57">
        <v>7809.1</v>
      </c>
      <c r="O6" s="57">
        <v>8505.02</v>
      </c>
      <c r="P6" s="57">
        <v>9189</v>
      </c>
      <c r="Q6" s="57">
        <v>9863.76</v>
      </c>
      <c r="R6" s="57">
        <v>10528.7</v>
      </c>
      <c r="S6" s="57">
        <v>11183.8</v>
      </c>
      <c r="T6" s="57">
        <v>11828.8</v>
      </c>
      <c r="U6" s="57">
        <v>12468.1</v>
      </c>
      <c r="V6" s="57">
        <v>13102</v>
      </c>
      <c r="W6" s="57">
        <v>13730.5</v>
      </c>
      <c r="X6" s="57">
        <v>14353.7</v>
      </c>
      <c r="Y6" s="57">
        <v>14971.7</v>
      </c>
      <c r="Z6" s="57">
        <v>15583.8</v>
      </c>
      <c r="AA6" s="57">
        <v>16190.1</v>
      </c>
      <c r="AB6" s="57">
        <v>16790.099999999999</v>
      </c>
      <c r="AC6" s="57">
        <v>17383.3</v>
      </c>
      <c r="AD6" s="57">
        <v>17969.3</v>
      </c>
      <c r="AE6" s="57">
        <v>18550.7</v>
      </c>
      <c r="AF6" s="57">
        <v>19128</v>
      </c>
      <c r="AG6" s="57">
        <v>19701.3</v>
      </c>
      <c r="AH6" s="57">
        <v>20271</v>
      </c>
      <c r="AI6" s="57">
        <v>20836.5</v>
      </c>
      <c r="AJ6" s="57">
        <v>21398</v>
      </c>
    </row>
    <row r="7" spans="1:36" x14ac:dyDescent="0.25">
      <c r="A7" s="57" t="s">
        <v>69</v>
      </c>
      <c r="B7" s="57" t="s">
        <v>4</v>
      </c>
      <c r="C7" s="57" t="s">
        <v>77</v>
      </c>
      <c r="D7" s="57">
        <v>0</v>
      </c>
      <c r="E7" s="57">
        <v>0</v>
      </c>
      <c r="F7" s="58">
        <v>33743300000</v>
      </c>
      <c r="G7" s="58">
        <v>85168300000</v>
      </c>
      <c r="H7" s="58">
        <v>152379000000</v>
      </c>
      <c r="I7" s="58">
        <v>232889000000</v>
      </c>
      <c r="J7" s="58">
        <v>325511000000</v>
      </c>
      <c r="K7" s="58">
        <v>428826000000</v>
      </c>
      <c r="L7" s="58">
        <v>543117000000</v>
      </c>
      <c r="M7" s="58">
        <v>667723000000</v>
      </c>
      <c r="N7" s="58">
        <v>798847000000</v>
      </c>
      <c r="O7" s="58">
        <v>934612000000</v>
      </c>
      <c r="P7" s="58">
        <v>1074390000000</v>
      </c>
      <c r="Q7" s="58">
        <v>1216440000000</v>
      </c>
      <c r="R7" s="58">
        <v>1359590000000</v>
      </c>
      <c r="S7" s="58">
        <v>1503440000000</v>
      </c>
      <c r="T7" s="58">
        <v>1648030000000</v>
      </c>
      <c r="U7" s="58">
        <v>1793960000000</v>
      </c>
      <c r="V7" s="58">
        <v>1940530000000</v>
      </c>
      <c r="W7" s="58">
        <v>2087480000000</v>
      </c>
      <c r="X7" s="58">
        <v>2234460000000</v>
      </c>
      <c r="Y7" s="58">
        <v>2381550000000</v>
      </c>
      <c r="Z7" s="58">
        <v>2528690000000</v>
      </c>
      <c r="AA7" s="58">
        <v>2675800000000</v>
      </c>
      <c r="AB7" s="58">
        <v>2822610000000</v>
      </c>
      <c r="AC7" s="58">
        <v>2969420000000</v>
      </c>
      <c r="AD7" s="58">
        <v>3115890000000</v>
      </c>
      <c r="AE7" s="58">
        <v>3261570000000</v>
      </c>
      <c r="AF7" s="58">
        <v>3405840000000</v>
      </c>
      <c r="AG7" s="58">
        <v>3540740000000</v>
      </c>
      <c r="AH7" s="58">
        <v>3675820000000</v>
      </c>
      <c r="AI7" s="58">
        <v>3816610000000</v>
      </c>
      <c r="AJ7" s="58">
        <v>3963370000000</v>
      </c>
    </row>
    <row r="8" spans="1:36" x14ac:dyDescent="0.25">
      <c r="A8" s="57" t="s">
        <v>3</v>
      </c>
      <c r="B8" s="57" t="s">
        <v>5</v>
      </c>
      <c r="C8" s="57" t="s">
        <v>67</v>
      </c>
      <c r="D8" s="57">
        <v>669.76900000000001</v>
      </c>
      <c r="E8" s="57">
        <v>1360.61</v>
      </c>
      <c r="F8" s="57">
        <v>2059.15</v>
      </c>
      <c r="G8" s="57">
        <v>2763.53</v>
      </c>
      <c r="H8" s="57">
        <v>3473.39</v>
      </c>
      <c r="I8" s="57">
        <v>4194.4399999999996</v>
      </c>
      <c r="J8" s="57">
        <v>4920.3</v>
      </c>
      <c r="K8" s="57">
        <v>5650.36</v>
      </c>
      <c r="L8" s="57">
        <v>6383.44</v>
      </c>
      <c r="M8" s="57">
        <v>7110.27</v>
      </c>
      <c r="N8" s="57">
        <v>7821.83</v>
      </c>
      <c r="O8" s="57">
        <v>8519.56</v>
      </c>
      <c r="P8" s="57">
        <v>9205.23</v>
      </c>
      <c r="Q8" s="57">
        <v>9881.52</v>
      </c>
      <c r="R8" s="57">
        <v>10547.9</v>
      </c>
      <c r="S8" s="57">
        <v>11204.2</v>
      </c>
      <c r="T8" s="57">
        <v>11850.1</v>
      </c>
      <c r="U8" s="57">
        <v>12490.3</v>
      </c>
      <c r="V8" s="57">
        <v>13125</v>
      </c>
      <c r="W8" s="57">
        <v>13754.3</v>
      </c>
      <c r="X8" s="57">
        <v>14378</v>
      </c>
      <c r="Y8" s="57">
        <v>14996.4</v>
      </c>
      <c r="Z8" s="57">
        <v>15609</v>
      </c>
      <c r="AA8" s="57">
        <v>16215.6</v>
      </c>
      <c r="AB8" s="57">
        <v>16815.900000000001</v>
      </c>
      <c r="AC8" s="57">
        <v>17409.7</v>
      </c>
      <c r="AD8" s="57">
        <v>17995.2</v>
      </c>
      <c r="AE8" s="57">
        <v>18576</v>
      </c>
      <c r="AF8" s="57">
        <v>19152.400000000001</v>
      </c>
      <c r="AG8" s="57">
        <v>19724.900000000001</v>
      </c>
      <c r="AH8" s="57">
        <v>20293.7</v>
      </c>
      <c r="AI8" s="57">
        <v>20858.400000000001</v>
      </c>
      <c r="AJ8" s="57">
        <v>21419</v>
      </c>
    </row>
    <row r="9" spans="1:36" x14ac:dyDescent="0.25">
      <c r="A9" s="57" t="s">
        <v>69</v>
      </c>
      <c r="B9" s="57" t="s">
        <v>5</v>
      </c>
      <c r="C9" s="57" t="s">
        <v>67</v>
      </c>
      <c r="D9" s="57">
        <v>0</v>
      </c>
      <c r="E9" s="57">
        <v>0</v>
      </c>
      <c r="F9" s="58">
        <v>34510300000</v>
      </c>
      <c r="G9" s="58">
        <v>87057600000</v>
      </c>
      <c r="H9" s="58">
        <v>156032000000</v>
      </c>
      <c r="I9" s="58">
        <v>239184000000</v>
      </c>
      <c r="J9" s="58">
        <v>334906000000</v>
      </c>
      <c r="K9" s="58">
        <v>442223000000</v>
      </c>
      <c r="L9" s="58">
        <v>561185000000</v>
      </c>
      <c r="M9" s="58">
        <v>691205000000</v>
      </c>
      <c r="N9" s="58">
        <v>828405000000</v>
      </c>
      <c r="O9" s="58">
        <v>971021000000</v>
      </c>
      <c r="P9" s="58">
        <v>1118230000000</v>
      </c>
      <c r="Q9" s="58">
        <v>1268530000000</v>
      </c>
      <c r="R9" s="58">
        <v>1420570000000</v>
      </c>
      <c r="S9" s="58">
        <v>1574200000000</v>
      </c>
      <c r="T9" s="58">
        <v>1729220000000</v>
      </c>
      <c r="U9" s="58">
        <v>1886050000000</v>
      </c>
      <c r="V9" s="58">
        <v>2044290000000</v>
      </c>
      <c r="W9" s="58">
        <v>2203670000000</v>
      </c>
      <c r="X9" s="58">
        <v>2363940000000</v>
      </c>
      <c r="Y9" s="58">
        <v>2525010000000</v>
      </c>
      <c r="Z9" s="58">
        <v>2686840000000</v>
      </c>
      <c r="AA9" s="58">
        <v>2849280000000</v>
      </c>
      <c r="AB9" s="58">
        <v>3012200000000</v>
      </c>
      <c r="AC9" s="58">
        <v>3175610000000</v>
      </c>
      <c r="AD9" s="58">
        <v>3339240000000</v>
      </c>
      <c r="AE9" s="58">
        <v>3503050000000</v>
      </c>
      <c r="AF9" s="58">
        <v>3666000000000</v>
      </c>
      <c r="AG9" s="58">
        <v>3820160000000</v>
      </c>
      <c r="AH9" s="58">
        <v>3975000000000</v>
      </c>
      <c r="AI9" s="58">
        <v>4136100000000</v>
      </c>
      <c r="AJ9" s="58">
        <v>4303470000000</v>
      </c>
    </row>
    <row r="10" spans="1:36" x14ac:dyDescent="0.25">
      <c r="A10" s="57" t="s">
        <v>3</v>
      </c>
      <c r="B10" s="57" t="s">
        <v>6</v>
      </c>
      <c r="C10" s="57" t="s">
        <v>78</v>
      </c>
      <c r="D10" s="57">
        <v>669.76900000000001</v>
      </c>
      <c r="E10" s="57">
        <v>1360.61</v>
      </c>
      <c r="F10" s="57">
        <v>2058.87</v>
      </c>
      <c r="G10" s="57">
        <v>2762.73</v>
      </c>
      <c r="H10" s="57">
        <v>3471.94</v>
      </c>
      <c r="I10" s="57">
        <v>4192.45</v>
      </c>
      <c r="J10" s="57">
        <v>4917.79</v>
      </c>
      <c r="K10" s="57">
        <v>5647.51</v>
      </c>
      <c r="L10" s="57">
        <v>6381.11</v>
      </c>
      <c r="M10" s="57">
        <v>7109.03</v>
      </c>
      <c r="N10" s="57">
        <v>7822.47</v>
      </c>
      <c r="O10" s="57">
        <v>8522.6</v>
      </c>
      <c r="P10" s="57">
        <v>9211.2999999999993</v>
      </c>
      <c r="Q10" s="57">
        <v>9891.39</v>
      </c>
      <c r="R10" s="57">
        <v>10562.5</v>
      </c>
      <c r="S10" s="57">
        <v>11224.7</v>
      </c>
      <c r="T10" s="57">
        <v>11877.6</v>
      </c>
      <c r="U10" s="57">
        <v>12525.9</v>
      </c>
      <c r="V10" s="57">
        <v>13170</v>
      </c>
      <c r="W10" s="57">
        <v>13810</v>
      </c>
      <c r="X10" s="57">
        <v>14445.9</v>
      </c>
      <c r="Y10" s="57">
        <v>15077.1</v>
      </c>
      <c r="Z10" s="57">
        <v>15703.5</v>
      </c>
      <c r="AA10" s="57">
        <v>16325</v>
      </c>
      <c r="AB10" s="57">
        <v>16941.2</v>
      </c>
      <c r="AC10" s="57">
        <v>17551.900000000001</v>
      </c>
      <c r="AD10" s="57">
        <v>18157</v>
      </c>
      <c r="AE10" s="57">
        <v>18756</v>
      </c>
      <c r="AF10" s="57">
        <v>19348.5</v>
      </c>
      <c r="AG10" s="57">
        <v>19934.599999999999</v>
      </c>
      <c r="AH10" s="57">
        <v>20515</v>
      </c>
      <c r="AI10" s="57">
        <v>21085.7</v>
      </c>
      <c r="AJ10" s="57">
        <v>21651.3</v>
      </c>
    </row>
    <row r="11" spans="1:36" x14ac:dyDescent="0.25">
      <c r="A11" s="57" t="s">
        <v>69</v>
      </c>
      <c r="B11" s="57" t="s">
        <v>6</v>
      </c>
      <c r="C11" s="57" t="s">
        <v>78</v>
      </c>
      <c r="D11" s="57">
        <v>0</v>
      </c>
      <c r="E11" s="57">
        <v>0</v>
      </c>
      <c r="F11" s="58">
        <v>33892000000</v>
      </c>
      <c r="G11" s="58">
        <v>85696800000</v>
      </c>
      <c r="H11" s="58">
        <v>153644000000</v>
      </c>
      <c r="I11" s="58">
        <v>235409000000</v>
      </c>
      <c r="J11" s="58">
        <v>329777000000</v>
      </c>
      <c r="K11" s="58">
        <v>435414000000</v>
      </c>
      <c r="L11" s="58">
        <v>552908000000</v>
      </c>
      <c r="M11" s="58">
        <v>681468000000</v>
      </c>
      <c r="N11" s="58">
        <v>817164000000</v>
      </c>
      <c r="O11" s="58">
        <v>958025000000</v>
      </c>
      <c r="P11" s="58">
        <v>1103550000000</v>
      </c>
      <c r="Q11" s="58">
        <v>1252180000000</v>
      </c>
      <c r="R11" s="58">
        <v>1402840000000</v>
      </c>
      <c r="S11" s="58">
        <v>1555100000000</v>
      </c>
      <c r="T11" s="58">
        <v>1708900000000</v>
      </c>
      <c r="U11" s="58">
        <v>1864780000000</v>
      </c>
      <c r="V11" s="58">
        <v>2022070000000</v>
      </c>
      <c r="W11" s="58">
        <v>2180710000000</v>
      </c>
      <c r="X11" s="58">
        <v>2340350000000</v>
      </c>
      <c r="Y11" s="58">
        <v>2500890000000</v>
      </c>
      <c r="Z11" s="58">
        <v>2662160000000</v>
      </c>
      <c r="AA11" s="58">
        <v>2824090000000</v>
      </c>
      <c r="AB11" s="58">
        <v>2986330000000</v>
      </c>
      <c r="AC11" s="58">
        <v>3149160000000</v>
      </c>
      <c r="AD11" s="58">
        <v>3312210000000</v>
      </c>
      <c r="AE11" s="58">
        <v>3475280000000</v>
      </c>
      <c r="AF11" s="58">
        <v>3638520000000</v>
      </c>
      <c r="AG11" s="58">
        <v>3794270000000</v>
      </c>
      <c r="AH11" s="58">
        <v>3951680000000</v>
      </c>
      <c r="AI11" s="58">
        <v>4115750000000</v>
      </c>
      <c r="AJ11" s="58">
        <v>4287050000000</v>
      </c>
    </row>
    <row r="12" spans="1:36" x14ac:dyDescent="0.25">
      <c r="A12" s="57" t="s">
        <v>3</v>
      </c>
      <c r="B12" s="57" t="s">
        <v>71</v>
      </c>
      <c r="C12" s="57" t="s">
        <v>72</v>
      </c>
      <c r="D12" s="57">
        <v>669.76900000000001</v>
      </c>
      <c r="E12" s="57">
        <v>1360.61</v>
      </c>
      <c r="F12" s="57">
        <v>2059.61</v>
      </c>
      <c r="G12" s="57">
        <v>2764.82</v>
      </c>
      <c r="H12" s="57">
        <v>3475.64</v>
      </c>
      <c r="I12" s="57">
        <v>4197.91</v>
      </c>
      <c r="J12" s="57">
        <v>4925.13</v>
      </c>
      <c r="K12" s="57">
        <v>5656.67</v>
      </c>
      <c r="L12" s="57">
        <v>6392.03</v>
      </c>
      <c r="M12" s="57">
        <v>7121.19</v>
      </c>
      <c r="N12" s="57">
        <v>7835.81</v>
      </c>
      <c r="O12" s="57">
        <v>8536.9500000000007</v>
      </c>
      <c r="P12" s="57">
        <v>9226.15</v>
      </c>
      <c r="Q12" s="57">
        <v>9906.17</v>
      </c>
      <c r="R12" s="57">
        <v>10576.4</v>
      </c>
      <c r="S12" s="57">
        <v>11236.7</v>
      </c>
      <c r="T12" s="57">
        <v>11886.7</v>
      </c>
      <c r="U12" s="57">
        <v>12531.2</v>
      </c>
      <c r="V12" s="57">
        <v>13170.5</v>
      </c>
      <c r="W12" s="57">
        <v>13804.3</v>
      </c>
      <c r="X12" s="57">
        <v>14432.6</v>
      </c>
      <c r="Y12" s="57">
        <v>15055.3</v>
      </c>
      <c r="Z12" s="57">
        <v>15672.2</v>
      </c>
      <c r="AA12" s="57">
        <v>16283.1</v>
      </c>
      <c r="AB12" s="57">
        <v>16887.5</v>
      </c>
      <c r="AC12" s="57">
        <v>17485.3</v>
      </c>
      <c r="AD12" s="57">
        <v>18076.099999999999</v>
      </c>
      <c r="AE12" s="57">
        <v>18660</v>
      </c>
      <c r="AF12" s="57">
        <v>19235.099999999999</v>
      </c>
      <c r="AG12" s="57">
        <v>19804.7</v>
      </c>
      <c r="AH12" s="57">
        <v>20369.7</v>
      </c>
      <c r="AI12" s="57">
        <v>20929.900000000001</v>
      </c>
      <c r="AJ12" s="57">
        <v>21485.599999999999</v>
      </c>
    </row>
    <row r="13" spans="1:36" x14ac:dyDescent="0.25">
      <c r="A13" s="57" t="s">
        <v>69</v>
      </c>
      <c r="B13" s="57" t="s">
        <v>71</v>
      </c>
      <c r="C13" s="57" t="s">
        <v>72</v>
      </c>
      <c r="D13" s="57">
        <v>0</v>
      </c>
      <c r="E13" s="57">
        <v>0</v>
      </c>
      <c r="F13" s="58">
        <v>16888500000</v>
      </c>
      <c r="G13" s="58">
        <v>52673700000</v>
      </c>
      <c r="H13" s="58">
        <v>105590000000</v>
      </c>
      <c r="I13" s="58">
        <v>173235000000</v>
      </c>
      <c r="J13" s="58">
        <v>254221000000</v>
      </c>
      <c r="K13" s="58">
        <v>346877000000</v>
      </c>
      <c r="L13" s="58">
        <v>451981000000</v>
      </c>
      <c r="M13" s="58">
        <v>568576000000</v>
      </c>
      <c r="N13" s="58">
        <v>692345000000</v>
      </c>
      <c r="O13" s="58">
        <v>821265000000</v>
      </c>
      <c r="P13" s="58">
        <v>954808000000</v>
      </c>
      <c r="Q13" s="58">
        <v>1091470000000</v>
      </c>
      <c r="R13" s="58">
        <v>1230040000000</v>
      </c>
      <c r="S13" s="58">
        <v>1370050000000</v>
      </c>
      <c r="T13" s="58">
        <v>1511440000000</v>
      </c>
      <c r="U13" s="58">
        <v>1654550000000</v>
      </c>
      <c r="V13" s="58">
        <v>1798760000000</v>
      </c>
      <c r="W13" s="58">
        <v>1943960000000</v>
      </c>
      <c r="X13" s="58">
        <v>2089840000000</v>
      </c>
      <c r="Y13" s="58">
        <v>2236360000000</v>
      </c>
      <c r="Z13" s="58">
        <v>2383300000000</v>
      </c>
      <c r="AA13" s="58">
        <v>2530560000000</v>
      </c>
      <c r="AB13" s="58">
        <v>2677880000000</v>
      </c>
      <c r="AC13" s="58">
        <v>2825570000000</v>
      </c>
      <c r="AD13" s="58">
        <v>2973240000000</v>
      </c>
      <c r="AE13" s="58">
        <v>3120760000000</v>
      </c>
      <c r="AF13" s="58">
        <v>3268160000000</v>
      </c>
      <c r="AG13" s="58">
        <v>3415050000000</v>
      </c>
      <c r="AH13" s="58">
        <v>3561630000000</v>
      </c>
      <c r="AI13" s="58">
        <v>3712400000000</v>
      </c>
      <c r="AJ13" s="58">
        <v>3867930000000</v>
      </c>
    </row>
    <row r="14" spans="1:36" x14ac:dyDescent="0.25">
      <c r="A14" s="57" t="s">
        <v>3</v>
      </c>
      <c r="B14" s="57" t="s">
        <v>79</v>
      </c>
      <c r="C14" s="57" t="s">
        <v>80</v>
      </c>
      <c r="D14" s="57">
        <v>669.76900000000001</v>
      </c>
      <c r="E14" s="57">
        <v>1360.61</v>
      </c>
      <c r="F14" s="57">
        <v>2062.4699999999998</v>
      </c>
      <c r="G14" s="57">
        <v>2773.43</v>
      </c>
      <c r="H14" s="57">
        <v>3494.72</v>
      </c>
      <c r="I14" s="57">
        <v>4231.93</v>
      </c>
      <c r="J14" s="57">
        <v>4978.18</v>
      </c>
      <c r="K14" s="57">
        <v>5732.76</v>
      </c>
      <c r="L14" s="57">
        <v>6493.83</v>
      </c>
      <c r="M14" s="57">
        <v>7259.11</v>
      </c>
      <c r="N14" s="57">
        <v>8017.63</v>
      </c>
      <c r="O14" s="57">
        <v>8766.06</v>
      </c>
      <c r="P14" s="57">
        <v>9503.16</v>
      </c>
      <c r="Q14" s="57">
        <v>10231.6</v>
      </c>
      <c r="R14" s="57">
        <v>10953.3</v>
      </c>
      <c r="S14" s="57">
        <v>11668.3</v>
      </c>
      <c r="T14" s="57">
        <v>12377</v>
      </c>
      <c r="U14" s="57">
        <v>13084</v>
      </c>
      <c r="V14" s="57">
        <v>13789.5</v>
      </c>
      <c r="W14" s="57">
        <v>14493.5</v>
      </c>
      <c r="X14" s="57">
        <v>15195.5</v>
      </c>
      <c r="Y14" s="57">
        <v>15894.8</v>
      </c>
      <c r="Z14" s="57">
        <v>16590.400000000001</v>
      </c>
      <c r="AA14" s="57">
        <v>17281.900000000001</v>
      </c>
      <c r="AB14" s="57">
        <v>17968</v>
      </c>
      <c r="AC14" s="57">
        <v>18648.3</v>
      </c>
      <c r="AD14" s="57">
        <v>19322.5</v>
      </c>
      <c r="AE14" s="57">
        <v>19990.099999999999</v>
      </c>
      <c r="AF14" s="57">
        <v>20650.599999999999</v>
      </c>
      <c r="AG14" s="57">
        <v>21304.6</v>
      </c>
      <c r="AH14" s="57">
        <v>21952</v>
      </c>
      <c r="AI14" s="57">
        <v>22592.2</v>
      </c>
      <c r="AJ14" s="57">
        <v>23224.7</v>
      </c>
    </row>
    <row r="15" spans="1:36" x14ac:dyDescent="0.25">
      <c r="A15" s="57" t="s">
        <v>69</v>
      </c>
      <c r="B15" s="57" t="s">
        <v>79</v>
      </c>
      <c r="C15" s="57" t="s">
        <v>80</v>
      </c>
      <c r="D15" s="57">
        <v>0</v>
      </c>
      <c r="E15" s="57">
        <v>0</v>
      </c>
      <c r="F15" s="58">
        <v>33925200000</v>
      </c>
      <c r="G15" s="58">
        <v>83708200000</v>
      </c>
      <c r="H15" s="58">
        <v>146005000000</v>
      </c>
      <c r="I15" s="58">
        <v>219474000000</v>
      </c>
      <c r="J15" s="58">
        <v>304036000000</v>
      </c>
      <c r="K15" s="58">
        <v>398907000000</v>
      </c>
      <c r="L15" s="58">
        <v>504824000000</v>
      </c>
      <c r="M15" s="58">
        <v>621313000000</v>
      </c>
      <c r="N15" s="58">
        <v>745051000000</v>
      </c>
      <c r="O15" s="58">
        <v>874018000000</v>
      </c>
      <c r="P15" s="58">
        <v>1007330000000</v>
      </c>
      <c r="Q15" s="58">
        <v>1144170000000</v>
      </c>
      <c r="R15" s="58">
        <v>1283930000000</v>
      </c>
      <c r="S15" s="58">
        <v>1425620000000</v>
      </c>
      <c r="T15" s="58">
        <v>1568710000000</v>
      </c>
      <c r="U15" s="58">
        <v>1713360000000</v>
      </c>
      <c r="V15" s="58">
        <v>1858850000000</v>
      </c>
      <c r="W15" s="58">
        <v>2005090000000</v>
      </c>
      <c r="X15" s="58">
        <v>2152130000000</v>
      </c>
      <c r="Y15" s="58">
        <v>2300180000000</v>
      </c>
      <c r="Z15" s="58">
        <v>2449140000000</v>
      </c>
      <c r="AA15" s="58">
        <v>2598910000000</v>
      </c>
      <c r="AB15" s="58">
        <v>2749310000000</v>
      </c>
      <c r="AC15" s="58">
        <v>2900730000000</v>
      </c>
      <c r="AD15" s="58">
        <v>3052790000000</v>
      </c>
      <c r="AE15" s="58">
        <v>3205090000000</v>
      </c>
      <c r="AF15" s="58">
        <v>3357510000000</v>
      </c>
      <c r="AG15" s="58">
        <v>3502360000000</v>
      </c>
      <c r="AH15" s="58">
        <v>3648840000000</v>
      </c>
      <c r="AI15" s="58">
        <v>3802070000000</v>
      </c>
      <c r="AJ15" s="58">
        <v>3962140000000</v>
      </c>
    </row>
    <row r="16" spans="1:36" x14ac:dyDescent="0.25">
      <c r="A16" s="57" t="s">
        <v>3</v>
      </c>
      <c r="B16" s="57" t="s">
        <v>81</v>
      </c>
      <c r="C16" s="57" t="s">
        <v>82</v>
      </c>
      <c r="D16" s="57">
        <v>669.76900000000001</v>
      </c>
      <c r="E16" s="57">
        <v>1360.61</v>
      </c>
      <c r="F16" s="57">
        <v>2058.83</v>
      </c>
      <c r="G16" s="57">
        <v>2762.72</v>
      </c>
      <c r="H16" s="57">
        <v>3471.99</v>
      </c>
      <c r="I16" s="57">
        <v>4192.4399999999996</v>
      </c>
      <c r="J16" s="57">
        <v>4917.54</v>
      </c>
      <c r="K16" s="57">
        <v>5647.18</v>
      </c>
      <c r="L16" s="57">
        <v>6378.96</v>
      </c>
      <c r="M16" s="57">
        <v>7110.96</v>
      </c>
      <c r="N16" s="57">
        <v>7833.58</v>
      </c>
      <c r="O16" s="57">
        <v>8545.33</v>
      </c>
      <c r="P16" s="57">
        <v>9244.5400000000009</v>
      </c>
      <c r="Q16" s="57">
        <v>9937.5</v>
      </c>
      <c r="R16" s="57">
        <v>10613.6</v>
      </c>
      <c r="S16" s="57">
        <v>11275.4</v>
      </c>
      <c r="T16" s="57">
        <v>11922.9</v>
      </c>
      <c r="U16" s="57">
        <v>12563</v>
      </c>
      <c r="V16" s="57">
        <v>13197.9</v>
      </c>
      <c r="W16" s="57">
        <v>13828.1</v>
      </c>
      <c r="X16" s="57">
        <v>14453.8</v>
      </c>
      <c r="Y16" s="57">
        <v>15074.8</v>
      </c>
      <c r="Z16" s="57">
        <v>15690.8</v>
      </c>
      <c r="AA16" s="57">
        <v>16301.7</v>
      </c>
      <c r="AB16" s="57">
        <v>16906.900000000001</v>
      </c>
      <c r="AC16" s="57">
        <v>17506.5</v>
      </c>
      <c r="AD16" s="57">
        <v>18100.3</v>
      </c>
      <c r="AE16" s="57">
        <v>18688.2</v>
      </c>
      <c r="AF16" s="57">
        <v>19269.7</v>
      </c>
      <c r="AG16" s="57">
        <v>19845.7</v>
      </c>
      <c r="AH16" s="57">
        <v>20416.5</v>
      </c>
      <c r="AI16" s="57">
        <v>20982</v>
      </c>
      <c r="AJ16" s="57">
        <v>21542.2</v>
      </c>
    </row>
    <row r="17" spans="1:36" x14ac:dyDescent="0.25">
      <c r="A17" s="57" t="s">
        <v>69</v>
      </c>
      <c r="B17" s="57" t="s">
        <v>81</v>
      </c>
      <c r="C17" s="57" t="s">
        <v>82</v>
      </c>
      <c r="D17" s="57">
        <v>0</v>
      </c>
      <c r="E17" s="57">
        <v>0</v>
      </c>
      <c r="F17" s="58">
        <v>33474500000</v>
      </c>
      <c r="G17" s="58">
        <v>84185800000</v>
      </c>
      <c r="H17" s="58">
        <v>150247000000</v>
      </c>
      <c r="I17" s="58">
        <v>229167000000</v>
      </c>
      <c r="J17" s="58">
        <v>319845000000</v>
      </c>
      <c r="K17" s="58">
        <v>420723000000</v>
      </c>
      <c r="L17" s="58">
        <v>530700000000</v>
      </c>
      <c r="M17" s="58">
        <v>648993000000</v>
      </c>
      <c r="N17" s="58">
        <v>773442000000</v>
      </c>
      <c r="O17" s="58">
        <v>902675000000</v>
      </c>
      <c r="P17" s="58">
        <v>1036320000000</v>
      </c>
      <c r="Q17" s="58">
        <v>1174080000000</v>
      </c>
      <c r="R17" s="58">
        <v>1314590000000</v>
      </c>
      <c r="S17" s="58">
        <v>1457260000000</v>
      </c>
      <c r="T17" s="58">
        <v>1601940000000</v>
      </c>
      <c r="U17" s="58">
        <v>1748310000000</v>
      </c>
      <c r="V17" s="58">
        <v>1895170000000</v>
      </c>
      <c r="W17" s="58">
        <v>2041730000000</v>
      </c>
      <c r="X17" s="58">
        <v>2187490000000</v>
      </c>
      <c r="Y17" s="58">
        <v>2332790000000</v>
      </c>
      <c r="Z17" s="58">
        <v>2477770000000</v>
      </c>
      <c r="AA17" s="58">
        <v>2622490000000</v>
      </c>
      <c r="AB17" s="58">
        <v>2766700000000</v>
      </c>
      <c r="AC17" s="58">
        <v>2910770000000</v>
      </c>
      <c r="AD17" s="58">
        <v>3054400000000</v>
      </c>
      <c r="AE17" s="58">
        <v>3197460000000</v>
      </c>
      <c r="AF17" s="58">
        <v>3340200000000</v>
      </c>
      <c r="AG17" s="58">
        <v>3475000000000</v>
      </c>
      <c r="AH17" s="58">
        <v>3611010000000</v>
      </c>
      <c r="AI17" s="58">
        <v>3753480000000</v>
      </c>
      <c r="AJ17" s="58">
        <v>3902440000000</v>
      </c>
    </row>
    <row r="18" spans="1:36" x14ac:dyDescent="0.25">
      <c r="A18" s="57" t="s">
        <v>3</v>
      </c>
      <c r="B18" s="57" t="s">
        <v>83</v>
      </c>
      <c r="C18" s="57" t="s">
        <v>84</v>
      </c>
      <c r="D18" s="57">
        <v>669.76900000000001</v>
      </c>
      <c r="E18" s="57">
        <v>1360.61</v>
      </c>
      <c r="F18" s="57">
        <v>2058.6799999999998</v>
      </c>
      <c r="G18" s="57">
        <v>2762.14</v>
      </c>
      <c r="H18" s="57">
        <v>3470.63</v>
      </c>
      <c r="I18" s="57">
        <v>4189.88</v>
      </c>
      <c r="J18" s="57">
        <v>4913.53</v>
      </c>
      <c r="K18" s="57">
        <v>5640.99</v>
      </c>
      <c r="L18" s="57">
        <v>6371.33</v>
      </c>
      <c r="M18" s="57">
        <v>7094.95</v>
      </c>
      <c r="N18" s="57">
        <v>7803.18</v>
      </c>
      <c r="O18" s="57">
        <v>8497.93</v>
      </c>
      <c r="P18" s="57">
        <v>9180.7800000000007</v>
      </c>
      <c r="Q18" s="57">
        <v>9854.7000000000007</v>
      </c>
      <c r="R18" s="57">
        <v>10519.1</v>
      </c>
      <c r="S18" s="57">
        <v>11174.2</v>
      </c>
      <c r="T18" s="57">
        <v>11819.9</v>
      </c>
      <c r="U18" s="57">
        <v>12460.9</v>
      </c>
      <c r="V18" s="57">
        <v>13097.8</v>
      </c>
      <c r="W18" s="57">
        <v>13730.9</v>
      </c>
      <c r="X18" s="57">
        <v>14360.7</v>
      </c>
      <c r="Y18" s="57">
        <v>14985.9</v>
      </c>
      <c r="Z18" s="57">
        <v>15605.5</v>
      </c>
      <c r="AA18" s="57">
        <v>16219.6</v>
      </c>
      <c r="AB18" s="57">
        <v>16827.3</v>
      </c>
      <c r="AC18" s="57">
        <v>17428.400000000001</v>
      </c>
      <c r="AD18" s="57">
        <v>18022.900000000001</v>
      </c>
      <c r="AE18" s="57">
        <v>18610.599999999999</v>
      </c>
      <c r="AF18" s="57">
        <v>19195.7</v>
      </c>
      <c r="AG18" s="57">
        <v>19776</v>
      </c>
      <c r="AH18" s="57">
        <v>20353.599999999999</v>
      </c>
      <c r="AI18" s="57">
        <v>20926.400000000001</v>
      </c>
      <c r="AJ18" s="57">
        <v>21488.2</v>
      </c>
    </row>
    <row r="19" spans="1:36" x14ac:dyDescent="0.25">
      <c r="A19" s="57" t="s">
        <v>69</v>
      </c>
      <c r="B19" s="57" t="s">
        <v>83</v>
      </c>
      <c r="C19" s="57" t="s">
        <v>84</v>
      </c>
      <c r="D19" s="57">
        <v>0</v>
      </c>
      <c r="E19" s="57">
        <v>0</v>
      </c>
      <c r="F19" s="58">
        <v>33880400000</v>
      </c>
      <c r="G19" s="58">
        <v>85592000000</v>
      </c>
      <c r="H19" s="58">
        <v>153227000000</v>
      </c>
      <c r="I19" s="58">
        <v>234303000000</v>
      </c>
      <c r="J19" s="58">
        <v>327642000000</v>
      </c>
      <c r="K19" s="58">
        <v>431831000000</v>
      </c>
      <c r="L19" s="58">
        <v>547223000000</v>
      </c>
      <c r="M19" s="58">
        <v>673105000000</v>
      </c>
      <c r="N19" s="58">
        <v>805655000000</v>
      </c>
      <c r="O19" s="58">
        <v>942899000000</v>
      </c>
      <c r="P19" s="58">
        <v>1084240000000</v>
      </c>
      <c r="Q19" s="58">
        <v>1228000000000</v>
      </c>
      <c r="R19" s="58">
        <v>1373120000000</v>
      </c>
      <c r="S19" s="58">
        <v>1519350000000</v>
      </c>
      <c r="T19" s="58">
        <v>1666760000000</v>
      </c>
      <c r="U19" s="58">
        <v>1815770000000</v>
      </c>
      <c r="V19" s="58">
        <v>1965800000000</v>
      </c>
      <c r="W19" s="58">
        <v>2116940000000</v>
      </c>
      <c r="X19" s="58">
        <v>2269150000000</v>
      </c>
      <c r="Y19" s="58">
        <v>2422440000000</v>
      </c>
      <c r="Z19" s="58">
        <v>2576650000000</v>
      </c>
      <c r="AA19" s="58">
        <v>2732160000000</v>
      </c>
      <c r="AB19" s="58">
        <v>2889210000000</v>
      </c>
      <c r="AC19" s="58">
        <v>3048240000000</v>
      </c>
      <c r="AD19" s="58">
        <v>3208980000000</v>
      </c>
      <c r="AE19" s="58">
        <v>3371380000000</v>
      </c>
      <c r="AF19" s="58">
        <v>3535830000000</v>
      </c>
      <c r="AG19" s="58">
        <v>3694420000000</v>
      </c>
      <c r="AH19" s="58">
        <v>3856830000000</v>
      </c>
      <c r="AI19" s="58">
        <v>4028290000000</v>
      </c>
      <c r="AJ19" s="58">
        <v>4207410000000</v>
      </c>
    </row>
    <row r="20" spans="1:36" x14ac:dyDescent="0.25">
      <c r="A20" s="57" t="s">
        <v>3</v>
      </c>
      <c r="B20" s="57" t="s">
        <v>73</v>
      </c>
      <c r="C20" s="57" t="s">
        <v>74</v>
      </c>
      <c r="D20" s="57">
        <v>669.76900000000001</v>
      </c>
      <c r="E20" s="57">
        <v>1360.61</v>
      </c>
      <c r="F20" s="57">
        <v>2058.9499999999998</v>
      </c>
      <c r="G20" s="57">
        <v>2762.94</v>
      </c>
      <c r="H20" s="57">
        <v>3472.26</v>
      </c>
      <c r="I20" s="57">
        <v>4192.6499999999996</v>
      </c>
      <c r="J20" s="57">
        <v>4917.7299999999996</v>
      </c>
      <c r="K20" s="57">
        <v>5646.93</v>
      </c>
      <c r="L20" s="57">
        <v>6379.21</v>
      </c>
      <c r="M20" s="57">
        <v>7105.07</v>
      </c>
      <c r="N20" s="57">
        <v>7815.65</v>
      </c>
      <c r="O20" s="57">
        <v>8512.27</v>
      </c>
      <c r="P20" s="57">
        <v>9196.76</v>
      </c>
      <c r="Q20" s="57">
        <v>9871.83</v>
      </c>
      <c r="R20" s="57">
        <v>10536.9</v>
      </c>
      <c r="S20" s="57">
        <v>11191.8</v>
      </c>
      <c r="T20" s="57">
        <v>11836.4</v>
      </c>
      <c r="U20" s="57">
        <v>12475.2</v>
      </c>
      <c r="V20" s="57">
        <v>13108.4</v>
      </c>
      <c r="W20" s="57">
        <v>13736.1</v>
      </c>
      <c r="X20" s="57">
        <v>14358.3</v>
      </c>
      <c r="Y20" s="57">
        <v>14975.1</v>
      </c>
      <c r="Z20" s="57">
        <v>15586</v>
      </c>
      <c r="AA20" s="57">
        <v>16190.9</v>
      </c>
      <c r="AB20" s="57">
        <v>16789.5</v>
      </c>
      <c r="AC20" s="57">
        <v>17381.400000000001</v>
      </c>
      <c r="AD20" s="57">
        <v>17966.3</v>
      </c>
      <c r="AE20" s="57">
        <v>18546.599999999999</v>
      </c>
      <c r="AF20" s="57">
        <v>19122.8</v>
      </c>
      <c r="AG20" s="57">
        <v>19695</v>
      </c>
      <c r="AH20" s="57">
        <v>20263.7</v>
      </c>
      <c r="AI20" s="57">
        <v>20828.400000000001</v>
      </c>
      <c r="AJ20" s="57">
        <v>21389</v>
      </c>
    </row>
    <row r="21" spans="1:36" x14ac:dyDescent="0.25">
      <c r="A21" s="57" t="s">
        <v>69</v>
      </c>
      <c r="B21" s="57" t="s">
        <v>73</v>
      </c>
      <c r="C21" s="57" t="s">
        <v>74</v>
      </c>
      <c r="D21" s="57">
        <v>0</v>
      </c>
      <c r="E21" s="57">
        <v>0</v>
      </c>
      <c r="F21" s="58">
        <v>33881600000</v>
      </c>
      <c r="G21" s="58">
        <v>85593900000</v>
      </c>
      <c r="H21" s="58">
        <v>153225000000</v>
      </c>
      <c r="I21" s="58">
        <v>234289000000</v>
      </c>
      <c r="J21" s="58">
        <v>327596000000</v>
      </c>
      <c r="K21" s="58">
        <v>431717000000</v>
      </c>
      <c r="L21" s="58">
        <v>546930000000</v>
      </c>
      <c r="M21" s="58">
        <v>672552000000</v>
      </c>
      <c r="N21" s="58">
        <v>804772000000</v>
      </c>
      <c r="O21" s="58">
        <v>941709000000</v>
      </c>
      <c r="P21" s="58">
        <v>1082730000000</v>
      </c>
      <c r="Q21" s="58">
        <v>1226060000000</v>
      </c>
      <c r="R21" s="58">
        <v>1370540000000</v>
      </c>
      <c r="S21" s="58">
        <v>1515750000000</v>
      </c>
      <c r="T21" s="58">
        <v>1661730000000</v>
      </c>
      <c r="U21" s="58">
        <v>1809090000000</v>
      </c>
      <c r="V21" s="58">
        <v>1957100000000</v>
      </c>
      <c r="W21" s="58">
        <v>2105520000000</v>
      </c>
      <c r="X21" s="58">
        <v>2253990000000</v>
      </c>
      <c r="Y21" s="58">
        <v>2402600000000</v>
      </c>
      <c r="Z21" s="58">
        <v>2551300000000</v>
      </c>
      <c r="AA21" s="58">
        <v>2700000000000</v>
      </c>
      <c r="AB21" s="58">
        <v>2848450000000</v>
      </c>
      <c r="AC21" s="58">
        <v>2996990000000</v>
      </c>
      <c r="AD21" s="58">
        <v>3145190000000</v>
      </c>
      <c r="AE21" s="58">
        <v>3292520000000</v>
      </c>
      <c r="AF21" s="58">
        <v>3438480000000</v>
      </c>
      <c r="AG21" s="58">
        <v>3575190000000</v>
      </c>
      <c r="AH21" s="58">
        <v>3712190000000</v>
      </c>
      <c r="AI21" s="58">
        <v>3854980000000</v>
      </c>
      <c r="AJ21" s="58">
        <v>4003830000000</v>
      </c>
    </row>
    <row r="22" spans="1:36" x14ac:dyDescent="0.25">
      <c r="A22" s="57" t="s">
        <v>3</v>
      </c>
      <c r="B22" s="57" t="s">
        <v>85</v>
      </c>
      <c r="C22" s="57" t="s">
        <v>86</v>
      </c>
      <c r="D22" s="57">
        <v>669.76900000000001</v>
      </c>
      <c r="E22" s="57">
        <v>1360.61</v>
      </c>
      <c r="F22" s="57">
        <v>2059.96</v>
      </c>
      <c r="G22" s="57">
        <v>2765.9</v>
      </c>
      <c r="H22" s="57">
        <v>3478.15</v>
      </c>
      <c r="I22" s="57">
        <v>4202.6000000000004</v>
      </c>
      <c r="J22" s="57">
        <v>4932.92</v>
      </c>
      <c r="K22" s="57">
        <v>5668.67</v>
      </c>
      <c r="L22" s="57">
        <v>6409.12</v>
      </c>
      <c r="M22" s="57">
        <v>7144.67</v>
      </c>
      <c r="N22" s="57">
        <v>7866.08</v>
      </c>
      <c r="O22" s="57">
        <v>8574.9699999999993</v>
      </c>
      <c r="P22" s="57">
        <v>9272.81</v>
      </c>
      <c r="Q22" s="57">
        <v>9962.33</v>
      </c>
      <c r="R22" s="57">
        <v>10643</v>
      </c>
      <c r="S22" s="57">
        <v>11314.8</v>
      </c>
      <c r="T22" s="57">
        <v>11977.3</v>
      </c>
      <c r="U22" s="57">
        <v>12635.5</v>
      </c>
      <c r="V22" s="57">
        <v>13289.9</v>
      </c>
      <c r="W22" s="57">
        <v>13940.2</v>
      </c>
      <c r="X22" s="57">
        <v>14586.4</v>
      </c>
      <c r="Y22" s="57">
        <v>15228.7</v>
      </c>
      <c r="Z22" s="57">
        <v>15866.7</v>
      </c>
      <c r="AA22" s="57">
        <v>16500.5</v>
      </c>
      <c r="AB22" s="57">
        <v>17129.400000000001</v>
      </c>
      <c r="AC22" s="57">
        <v>17753.3</v>
      </c>
      <c r="AD22" s="57">
        <v>18372.3</v>
      </c>
      <c r="AE22" s="57">
        <v>18985.2</v>
      </c>
      <c r="AF22" s="57">
        <v>19594.8</v>
      </c>
      <c r="AG22" s="57">
        <v>20202.099999999999</v>
      </c>
      <c r="AH22" s="57">
        <v>20807.599999999999</v>
      </c>
      <c r="AI22" s="57">
        <v>21410.7</v>
      </c>
      <c r="AJ22" s="57">
        <v>22011.4</v>
      </c>
    </row>
    <row r="23" spans="1:36" x14ac:dyDescent="0.25">
      <c r="A23" s="57" t="s">
        <v>69</v>
      </c>
      <c r="B23" s="57" t="s">
        <v>85</v>
      </c>
      <c r="C23" s="57" t="s">
        <v>86</v>
      </c>
      <c r="D23" s="57">
        <v>0</v>
      </c>
      <c r="E23" s="57">
        <v>0</v>
      </c>
      <c r="F23" s="58">
        <v>33638300000</v>
      </c>
      <c r="G23" s="58">
        <v>85264400000</v>
      </c>
      <c r="H23" s="58">
        <v>153072000000</v>
      </c>
      <c r="I23" s="58">
        <v>234633000000</v>
      </c>
      <c r="J23" s="58">
        <v>328666000000</v>
      </c>
      <c r="K23" s="58">
        <v>433747000000</v>
      </c>
      <c r="L23" s="58">
        <v>550292000000</v>
      </c>
      <c r="M23" s="58">
        <v>677648000000</v>
      </c>
      <c r="N23" s="58">
        <v>812045000000</v>
      </c>
      <c r="O23" s="58">
        <v>951365000000</v>
      </c>
      <c r="P23" s="58">
        <v>1095060000000</v>
      </c>
      <c r="Q23" s="58">
        <v>1241510000000</v>
      </c>
      <c r="R23" s="58">
        <v>1389460000000</v>
      </c>
      <c r="S23" s="58">
        <v>1538550000000</v>
      </c>
      <c r="T23" s="58">
        <v>1688710000000</v>
      </c>
      <c r="U23" s="58">
        <v>1840370000000</v>
      </c>
      <c r="V23" s="58">
        <v>1992960000000</v>
      </c>
      <c r="W23" s="58">
        <v>2146310000000</v>
      </c>
      <c r="X23" s="58">
        <v>2300150000000</v>
      </c>
      <c r="Y23" s="58">
        <v>2454560000000</v>
      </c>
      <c r="Z23" s="58">
        <v>2609420000000</v>
      </c>
      <c r="AA23" s="58">
        <v>2764620000000</v>
      </c>
      <c r="AB23" s="58">
        <v>2919880000000</v>
      </c>
      <c r="AC23" s="58">
        <v>3075510000000</v>
      </c>
      <c r="AD23" s="58">
        <v>3231250000000</v>
      </c>
      <c r="AE23" s="58">
        <v>3386880000000</v>
      </c>
      <c r="AF23" s="58">
        <v>3542330000000</v>
      </c>
      <c r="AG23" s="58">
        <v>3689220000000</v>
      </c>
      <c r="AH23" s="58">
        <v>3836480000000</v>
      </c>
      <c r="AI23" s="58">
        <v>3989660000000</v>
      </c>
      <c r="AJ23" s="58">
        <v>4149040000000</v>
      </c>
    </row>
    <row r="24" spans="1:36" x14ac:dyDescent="0.25">
      <c r="A24" s="57" t="s">
        <v>3</v>
      </c>
      <c r="B24" s="57" t="s">
        <v>87</v>
      </c>
      <c r="C24" s="57" t="s">
        <v>88</v>
      </c>
      <c r="D24" s="57">
        <v>669.76900000000001</v>
      </c>
      <c r="E24" s="57">
        <v>1360.61</v>
      </c>
      <c r="F24" s="57">
        <v>2059.5300000000002</v>
      </c>
      <c r="G24" s="57">
        <v>2764.7</v>
      </c>
      <c r="H24" s="57">
        <v>3475.8</v>
      </c>
      <c r="I24" s="57">
        <v>4198.59</v>
      </c>
      <c r="J24" s="57">
        <v>4926.7299999999996</v>
      </c>
      <c r="K24" s="57">
        <v>5659.63</v>
      </c>
      <c r="L24" s="57">
        <v>6396.27</v>
      </c>
      <c r="M24" s="57">
        <v>7127.18</v>
      </c>
      <c r="N24" s="57">
        <v>7843.59</v>
      </c>
      <c r="O24" s="57">
        <v>8546.85</v>
      </c>
      <c r="P24" s="57">
        <v>9238.83</v>
      </c>
      <c r="Q24" s="57">
        <v>9922.1200000000008</v>
      </c>
      <c r="R24" s="57">
        <v>10596.1</v>
      </c>
      <c r="S24" s="57">
        <v>11260.8</v>
      </c>
      <c r="T24" s="57">
        <v>11915.9</v>
      </c>
      <c r="U24" s="57">
        <v>12566</v>
      </c>
      <c r="V24" s="57">
        <v>13211.1</v>
      </c>
      <c r="W24" s="57">
        <v>13851.4</v>
      </c>
      <c r="X24" s="57">
        <v>14487.1</v>
      </c>
      <c r="Y24" s="57">
        <v>15118</v>
      </c>
      <c r="Z24" s="57">
        <v>15743.8</v>
      </c>
      <c r="AA24" s="57">
        <v>16364.3</v>
      </c>
      <c r="AB24" s="57">
        <v>16979.3</v>
      </c>
      <c r="AC24" s="57">
        <v>17588.3</v>
      </c>
      <c r="AD24" s="57">
        <v>18191</v>
      </c>
      <c r="AE24" s="57">
        <v>18789.900000000001</v>
      </c>
      <c r="AF24" s="57">
        <v>19385.400000000001</v>
      </c>
      <c r="AG24" s="57">
        <v>19977.7</v>
      </c>
      <c r="AH24" s="57">
        <v>20567.2</v>
      </c>
      <c r="AI24" s="57">
        <v>21153.4</v>
      </c>
      <c r="AJ24" s="57">
        <v>21736.400000000001</v>
      </c>
    </row>
    <row r="25" spans="1:36" x14ac:dyDescent="0.25">
      <c r="A25" s="57" t="s">
        <v>69</v>
      </c>
      <c r="B25" s="57" t="s">
        <v>87</v>
      </c>
      <c r="C25" s="57" t="s">
        <v>88</v>
      </c>
      <c r="D25" s="57">
        <v>0</v>
      </c>
      <c r="E25" s="57">
        <v>0</v>
      </c>
      <c r="F25" s="58">
        <v>33953000000</v>
      </c>
      <c r="G25" s="58">
        <v>85800900000</v>
      </c>
      <c r="H25" s="58">
        <v>153610000000</v>
      </c>
      <c r="I25" s="58">
        <v>234891000000</v>
      </c>
      <c r="J25" s="58">
        <v>328450000000</v>
      </c>
      <c r="K25" s="58">
        <v>432860000000</v>
      </c>
      <c r="L25" s="58">
        <v>548393000000</v>
      </c>
      <c r="M25" s="58">
        <v>674359000000</v>
      </c>
      <c r="N25" s="58">
        <v>806940000000</v>
      </c>
      <c r="O25" s="58">
        <v>944248000000</v>
      </c>
      <c r="P25" s="58">
        <v>1085640000000</v>
      </c>
      <c r="Q25" s="58">
        <v>1229330000000</v>
      </c>
      <c r="R25" s="58">
        <v>1374130000000</v>
      </c>
      <c r="S25" s="58">
        <v>1519570000000</v>
      </c>
      <c r="T25" s="58">
        <v>1665690000000</v>
      </c>
      <c r="U25" s="58">
        <v>1813060000000</v>
      </c>
      <c r="V25" s="58">
        <v>1960980000000</v>
      </c>
      <c r="W25" s="58">
        <v>2109170000000</v>
      </c>
      <c r="X25" s="58">
        <v>2257200000000</v>
      </c>
      <c r="Y25" s="58">
        <v>2405150000000</v>
      </c>
      <c r="Z25" s="58">
        <v>2553000000000</v>
      </c>
      <c r="AA25" s="58">
        <v>2700660000000</v>
      </c>
      <c r="AB25" s="58">
        <v>2847890000000</v>
      </c>
      <c r="AC25" s="58">
        <v>2994950000000</v>
      </c>
      <c r="AD25" s="58">
        <v>3141420000000</v>
      </c>
      <c r="AE25" s="58">
        <v>3286710000000</v>
      </c>
      <c r="AF25" s="58">
        <v>3430330000000</v>
      </c>
      <c r="AG25" s="58">
        <v>3564400000000</v>
      </c>
      <c r="AH25" s="58">
        <v>3697480000000</v>
      </c>
      <c r="AI25" s="58">
        <v>3829900000000</v>
      </c>
      <c r="AJ25" s="58">
        <v>3961690000000</v>
      </c>
    </row>
    <row r="26" spans="1:36" x14ac:dyDescent="0.25">
      <c r="A26" s="57" t="s">
        <v>3</v>
      </c>
      <c r="B26" s="57" t="s">
        <v>7</v>
      </c>
      <c r="C26" s="57" t="s">
        <v>68</v>
      </c>
      <c r="D26" s="57">
        <v>669.76900000000001</v>
      </c>
      <c r="E26" s="57">
        <v>1360.61</v>
      </c>
      <c r="F26" s="57">
        <v>2058.83</v>
      </c>
      <c r="G26" s="57">
        <v>2762.61</v>
      </c>
      <c r="H26" s="57">
        <v>3471.65</v>
      </c>
      <c r="I26" s="57">
        <v>4191.72</v>
      </c>
      <c r="J26" s="57">
        <v>4916.49</v>
      </c>
      <c r="K26" s="57">
        <v>5645.41</v>
      </c>
      <c r="L26" s="57">
        <v>6377.45</v>
      </c>
      <c r="M26" s="57">
        <v>7103.16</v>
      </c>
      <c r="N26" s="57">
        <v>7813.79</v>
      </c>
      <c r="O26" s="57">
        <v>8510.7099999999991</v>
      </c>
      <c r="P26" s="57">
        <v>9195.7999999999993</v>
      </c>
      <c r="Q26" s="57">
        <v>9871.57</v>
      </c>
      <c r="R26" s="57">
        <v>10537.4</v>
      </c>
      <c r="S26" s="57">
        <v>11193.4</v>
      </c>
      <c r="T26" s="57">
        <v>11839</v>
      </c>
      <c r="U26" s="57">
        <v>12479</v>
      </c>
      <c r="V26" s="57">
        <v>13113.4</v>
      </c>
      <c r="W26" s="57">
        <v>13742.4</v>
      </c>
      <c r="X26" s="57">
        <v>14366</v>
      </c>
      <c r="Y26" s="57">
        <v>14984.2</v>
      </c>
      <c r="Z26" s="57">
        <v>15596.5</v>
      </c>
      <c r="AA26" s="57">
        <v>16202.9</v>
      </c>
      <c r="AB26" s="57">
        <v>16803</v>
      </c>
      <c r="AC26" s="57">
        <v>17396.5</v>
      </c>
      <c r="AD26" s="57">
        <v>17983</v>
      </c>
      <c r="AE26" s="57">
        <v>18564.900000000001</v>
      </c>
      <c r="AF26" s="57">
        <v>19142.8</v>
      </c>
      <c r="AG26" s="57">
        <v>19716.8</v>
      </c>
      <c r="AH26" s="57">
        <v>20287.3</v>
      </c>
      <c r="AI26" s="57">
        <v>20853.7</v>
      </c>
      <c r="AJ26" s="57">
        <v>21416.3</v>
      </c>
    </row>
    <row r="27" spans="1:36" x14ac:dyDescent="0.25">
      <c r="A27" s="57" t="s">
        <v>69</v>
      </c>
      <c r="B27" s="57" t="s">
        <v>7</v>
      </c>
      <c r="C27" s="57" t="s">
        <v>68</v>
      </c>
      <c r="D27" s="57">
        <v>0</v>
      </c>
      <c r="E27" s="57">
        <v>0</v>
      </c>
      <c r="F27" s="58">
        <v>33896600000</v>
      </c>
      <c r="G27" s="58">
        <v>85643800000</v>
      </c>
      <c r="H27" s="58">
        <v>153330000000</v>
      </c>
      <c r="I27" s="58">
        <v>234465000000</v>
      </c>
      <c r="J27" s="58">
        <v>327858000000</v>
      </c>
      <c r="K27" s="58">
        <v>432082000000</v>
      </c>
      <c r="L27" s="58">
        <v>547412000000</v>
      </c>
      <c r="M27" s="58">
        <v>673165000000</v>
      </c>
      <c r="N27" s="58">
        <v>805530000000</v>
      </c>
      <c r="O27" s="58">
        <v>942623000000</v>
      </c>
      <c r="P27" s="58">
        <v>1083810000000</v>
      </c>
      <c r="Q27" s="58">
        <v>1227310000000</v>
      </c>
      <c r="R27" s="58">
        <v>1371950000000</v>
      </c>
      <c r="S27" s="58">
        <v>1517320000000</v>
      </c>
      <c r="T27" s="58">
        <v>1663470000000</v>
      </c>
      <c r="U27" s="58">
        <v>1810980000000</v>
      </c>
      <c r="V27" s="58">
        <v>1959150000000</v>
      </c>
      <c r="W27" s="58">
        <v>2107730000000</v>
      </c>
      <c r="X27" s="58">
        <v>2256350000000</v>
      </c>
      <c r="Y27" s="58">
        <v>2405100000000</v>
      </c>
      <c r="Z27" s="58">
        <v>2553940000000</v>
      </c>
      <c r="AA27" s="58">
        <v>2702780000000</v>
      </c>
      <c r="AB27" s="58">
        <v>2851350000000</v>
      </c>
      <c r="AC27" s="58">
        <v>3000010000000</v>
      </c>
      <c r="AD27" s="58">
        <v>3148330000000</v>
      </c>
      <c r="AE27" s="58">
        <v>3295760000000</v>
      </c>
      <c r="AF27" s="58">
        <v>3441810000000</v>
      </c>
      <c r="AG27" s="58">
        <v>3578600000000</v>
      </c>
      <c r="AH27" s="58">
        <v>3715660000000</v>
      </c>
      <c r="AI27" s="58">
        <v>3858480000000</v>
      </c>
      <c r="AJ27" s="58">
        <v>4007310000000</v>
      </c>
    </row>
    <row r="28" spans="1:36" x14ac:dyDescent="0.25">
      <c r="A28" s="57" t="s">
        <v>3</v>
      </c>
      <c r="B28" s="57" t="s">
        <v>89</v>
      </c>
      <c r="C28" s="57" t="s">
        <v>90</v>
      </c>
      <c r="D28" s="57">
        <v>669.76900000000001</v>
      </c>
      <c r="E28" s="57">
        <v>1360.61</v>
      </c>
      <c r="F28" s="57">
        <v>2058.9899999999998</v>
      </c>
      <c r="G28" s="57">
        <v>2763.05</v>
      </c>
      <c r="H28" s="57">
        <v>3472.48</v>
      </c>
      <c r="I28" s="57">
        <v>4193.1499999999996</v>
      </c>
      <c r="J28" s="57">
        <v>4918.6000000000004</v>
      </c>
      <c r="K28" s="57">
        <v>5648.25</v>
      </c>
      <c r="L28" s="57">
        <v>6380.91</v>
      </c>
      <c r="M28" s="57">
        <v>7107.35</v>
      </c>
      <c r="N28" s="57">
        <v>7818.67</v>
      </c>
      <c r="O28" s="57">
        <v>8516.2999999999993</v>
      </c>
      <c r="P28" s="57">
        <v>9201.94</v>
      </c>
      <c r="Q28" s="57">
        <v>9878.2800000000007</v>
      </c>
      <c r="R28" s="57">
        <v>10544.8</v>
      </c>
      <c r="S28" s="57">
        <v>11201.3</v>
      </c>
      <c r="T28" s="57">
        <v>11847.5</v>
      </c>
      <c r="U28" s="57">
        <v>12488.1</v>
      </c>
      <c r="V28" s="57">
        <v>13123.5</v>
      </c>
      <c r="W28" s="57">
        <v>13753.4</v>
      </c>
      <c r="X28" s="57">
        <v>14378.1</v>
      </c>
      <c r="Y28" s="57">
        <v>14997.5</v>
      </c>
      <c r="Z28" s="57">
        <v>15611.4</v>
      </c>
      <c r="AA28" s="57">
        <v>16219.3</v>
      </c>
      <c r="AB28" s="57">
        <v>16821.099999999999</v>
      </c>
      <c r="AC28" s="57">
        <v>17416.7</v>
      </c>
      <c r="AD28" s="57">
        <v>18004.900000000001</v>
      </c>
      <c r="AE28" s="57">
        <v>18588.8</v>
      </c>
      <c r="AF28" s="57">
        <v>19168.7</v>
      </c>
      <c r="AG28" s="57">
        <v>19744.900000000001</v>
      </c>
      <c r="AH28" s="57">
        <v>20317.7</v>
      </c>
      <c r="AI28" s="57">
        <v>20886.7</v>
      </c>
      <c r="AJ28" s="57">
        <v>21452</v>
      </c>
    </row>
    <row r="29" spans="1:36" x14ac:dyDescent="0.25">
      <c r="A29" s="57" t="s">
        <v>69</v>
      </c>
      <c r="B29" s="57" t="s">
        <v>89</v>
      </c>
      <c r="C29" s="57" t="s">
        <v>90</v>
      </c>
      <c r="D29" s="57">
        <v>0</v>
      </c>
      <c r="E29" s="57">
        <v>0</v>
      </c>
      <c r="F29" s="58">
        <v>33811700000</v>
      </c>
      <c r="G29" s="58">
        <v>85482800000</v>
      </c>
      <c r="H29" s="58">
        <v>153106000000</v>
      </c>
      <c r="I29" s="58">
        <v>234166000000</v>
      </c>
      <c r="J29" s="58">
        <v>327542000000</v>
      </c>
      <c r="K29" s="58">
        <v>431781000000</v>
      </c>
      <c r="L29" s="58">
        <v>547161000000</v>
      </c>
      <c r="M29" s="58">
        <v>673091000000</v>
      </c>
      <c r="N29" s="58">
        <v>805696000000</v>
      </c>
      <c r="O29" s="58">
        <v>943082000000</v>
      </c>
      <c r="P29" s="58">
        <v>1084650000000</v>
      </c>
      <c r="Q29" s="58">
        <v>1228550000000</v>
      </c>
      <c r="R29" s="58">
        <v>1373620000000</v>
      </c>
      <c r="S29" s="58">
        <v>1519580000000</v>
      </c>
      <c r="T29" s="58">
        <v>1666400000000</v>
      </c>
      <c r="U29" s="58">
        <v>1814500000000</v>
      </c>
      <c r="V29" s="58">
        <v>1963300000000</v>
      </c>
      <c r="W29" s="58">
        <v>2112660000000</v>
      </c>
      <c r="X29" s="58">
        <v>2262160000000</v>
      </c>
      <c r="Y29" s="58">
        <v>2411750000000</v>
      </c>
      <c r="Z29" s="58">
        <v>2561500000000</v>
      </c>
      <c r="AA29" s="58">
        <v>2711410000000</v>
      </c>
      <c r="AB29" s="58">
        <v>2861130000000</v>
      </c>
      <c r="AC29" s="58">
        <v>3011000000000</v>
      </c>
      <c r="AD29" s="58">
        <v>3160660000000</v>
      </c>
      <c r="AE29" s="58">
        <v>3309680000000</v>
      </c>
      <c r="AF29" s="58">
        <v>3457430000000</v>
      </c>
      <c r="AG29" s="58">
        <v>3595910000000</v>
      </c>
      <c r="AH29" s="58">
        <v>3734710000000</v>
      </c>
      <c r="AI29" s="58">
        <v>3879370000000</v>
      </c>
      <c r="AJ29" s="58">
        <v>4030160000000</v>
      </c>
    </row>
    <row r="30" spans="1:36" x14ac:dyDescent="0.25">
      <c r="A30" s="57" t="s">
        <v>3</v>
      </c>
      <c r="B30" s="57" t="s">
        <v>91</v>
      </c>
      <c r="C30" s="57" t="s">
        <v>92</v>
      </c>
      <c r="D30" s="57">
        <v>669.76900000000001</v>
      </c>
      <c r="E30" s="57">
        <v>1360.61</v>
      </c>
      <c r="F30" s="57">
        <v>2061.08</v>
      </c>
      <c r="G30" s="57">
        <v>2772.35</v>
      </c>
      <c r="H30" s="57">
        <v>3492.8</v>
      </c>
      <c r="I30" s="57">
        <v>4228.0600000000004</v>
      </c>
      <c r="J30" s="57">
        <v>4971.37</v>
      </c>
      <c r="K30" s="57">
        <v>5721.97</v>
      </c>
      <c r="L30" s="57">
        <v>6477.97</v>
      </c>
      <c r="M30" s="57">
        <v>7237.77</v>
      </c>
      <c r="N30" s="57">
        <v>7992.21</v>
      </c>
      <c r="O30" s="57">
        <v>8739.85</v>
      </c>
      <c r="P30" s="57">
        <v>9479.77</v>
      </c>
      <c r="Q30" s="57">
        <v>10214.5</v>
      </c>
      <c r="R30" s="57">
        <v>10942.4</v>
      </c>
      <c r="S30" s="57">
        <v>11663.1</v>
      </c>
      <c r="T30" s="57">
        <v>12374</v>
      </c>
      <c r="U30" s="57">
        <v>13079.6</v>
      </c>
      <c r="V30" s="57">
        <v>13780.8</v>
      </c>
      <c r="W30" s="57">
        <v>14477.2</v>
      </c>
      <c r="X30" s="57">
        <v>15168.9</v>
      </c>
      <c r="Y30" s="57">
        <v>15855.8</v>
      </c>
      <c r="Z30" s="57">
        <v>16538.8</v>
      </c>
      <c r="AA30" s="57">
        <v>17217.900000000001</v>
      </c>
      <c r="AB30" s="57">
        <v>17892.8</v>
      </c>
      <c r="AC30" s="57">
        <v>18563.7</v>
      </c>
      <c r="AD30" s="57">
        <v>19230.5</v>
      </c>
      <c r="AE30" s="57">
        <v>19892.7</v>
      </c>
      <c r="AF30" s="57">
        <v>20549.3</v>
      </c>
      <c r="AG30" s="57">
        <v>21200.1</v>
      </c>
      <c r="AH30" s="57">
        <v>21844.6</v>
      </c>
      <c r="AI30" s="57">
        <v>22481.7</v>
      </c>
      <c r="AJ30" s="57">
        <v>23111.200000000001</v>
      </c>
    </row>
    <row r="31" spans="1:36" x14ac:dyDescent="0.25">
      <c r="A31" s="57" t="s">
        <v>69</v>
      </c>
      <c r="B31" s="57" t="s">
        <v>91</v>
      </c>
      <c r="C31" s="57" t="s">
        <v>92</v>
      </c>
      <c r="D31" s="57">
        <v>0</v>
      </c>
      <c r="E31" s="57">
        <v>0</v>
      </c>
      <c r="F31" s="58">
        <v>18734100000</v>
      </c>
      <c r="G31" s="58">
        <v>40179300000</v>
      </c>
      <c r="H31" s="58">
        <v>64233800000</v>
      </c>
      <c r="I31" s="58">
        <v>89171400000</v>
      </c>
      <c r="J31" s="58">
        <v>114731000000</v>
      </c>
      <c r="K31" s="58">
        <v>140203000000</v>
      </c>
      <c r="L31" s="58">
        <v>165816000000</v>
      </c>
      <c r="M31" s="58">
        <v>191008000000</v>
      </c>
      <c r="N31" s="58">
        <v>214837000000</v>
      </c>
      <c r="O31" s="58">
        <v>236459000000</v>
      </c>
      <c r="P31" s="58">
        <v>256243000000</v>
      </c>
      <c r="Q31" s="58">
        <v>274348000000</v>
      </c>
      <c r="R31" s="58">
        <v>290815000000</v>
      </c>
      <c r="S31" s="58">
        <v>305855000000</v>
      </c>
      <c r="T31" s="58">
        <v>319814000000</v>
      </c>
      <c r="U31" s="58">
        <v>332319000000</v>
      </c>
      <c r="V31" s="58">
        <v>342829000000</v>
      </c>
      <c r="W31" s="58">
        <v>351666000000</v>
      </c>
      <c r="X31" s="58">
        <v>358996000000</v>
      </c>
      <c r="Y31" s="58">
        <v>364980000000</v>
      </c>
      <c r="Z31" s="58">
        <v>369782000000</v>
      </c>
      <c r="AA31" s="58">
        <v>373720000000</v>
      </c>
      <c r="AB31" s="58">
        <v>376677000000</v>
      </c>
      <c r="AC31" s="58">
        <v>379018000000</v>
      </c>
      <c r="AD31" s="58">
        <v>380694000000</v>
      </c>
      <c r="AE31" s="58">
        <v>381682000000</v>
      </c>
      <c r="AF31" s="58">
        <v>382247000000</v>
      </c>
      <c r="AG31" s="58">
        <v>374874000000</v>
      </c>
      <c r="AH31" s="58">
        <v>368893000000</v>
      </c>
      <c r="AI31" s="58">
        <v>369601000000</v>
      </c>
      <c r="AJ31" s="58">
        <v>377419000000</v>
      </c>
    </row>
    <row r="32" spans="1:36" x14ac:dyDescent="0.25">
      <c r="A32" s="57" t="s">
        <v>3</v>
      </c>
      <c r="B32" s="57" t="s">
        <v>13</v>
      </c>
      <c r="C32" s="57" t="s">
        <v>14</v>
      </c>
      <c r="D32" s="57">
        <v>669.76900000000001</v>
      </c>
      <c r="E32" s="57">
        <v>1360.61</v>
      </c>
      <c r="F32" s="57">
        <v>2069.36</v>
      </c>
      <c r="G32" s="57">
        <v>2797.72</v>
      </c>
      <c r="H32" s="57">
        <v>3545.91</v>
      </c>
      <c r="I32" s="57">
        <v>4319.72</v>
      </c>
      <c r="J32" s="57">
        <v>5112.7299999999996</v>
      </c>
      <c r="K32" s="57">
        <v>5925.59</v>
      </c>
      <c r="L32" s="57">
        <v>6757.5</v>
      </c>
      <c r="M32" s="57">
        <v>7606.44</v>
      </c>
      <c r="N32" s="57">
        <v>8462.7999999999993</v>
      </c>
      <c r="O32" s="57">
        <v>9325.56</v>
      </c>
      <c r="P32" s="57">
        <v>10193.9</v>
      </c>
      <c r="Q32" s="57">
        <v>11069.9</v>
      </c>
      <c r="R32" s="57">
        <v>11952.6</v>
      </c>
      <c r="S32" s="57">
        <v>12842.1</v>
      </c>
      <c r="T32" s="57">
        <v>13738.5</v>
      </c>
      <c r="U32" s="57">
        <v>14647.1</v>
      </c>
      <c r="V32" s="57">
        <v>15568.8</v>
      </c>
      <c r="W32" s="57">
        <v>16503.3</v>
      </c>
      <c r="X32" s="57">
        <v>17450.900000000001</v>
      </c>
      <c r="Y32" s="57">
        <v>18411.400000000001</v>
      </c>
      <c r="Z32" s="57">
        <v>19384.8</v>
      </c>
      <c r="AA32" s="57">
        <v>20370.900000000001</v>
      </c>
      <c r="AB32" s="57">
        <v>21369.5</v>
      </c>
      <c r="AC32" s="57">
        <v>22380.6</v>
      </c>
      <c r="AD32" s="57">
        <v>23404</v>
      </c>
      <c r="AE32" s="57">
        <v>24439.7</v>
      </c>
      <c r="AF32" s="57">
        <v>25487.200000000001</v>
      </c>
      <c r="AG32" s="57">
        <v>26545.9</v>
      </c>
      <c r="AH32" s="57">
        <v>27616.1</v>
      </c>
      <c r="AI32" s="57">
        <v>28697.4</v>
      </c>
      <c r="AJ32" s="57">
        <v>29790.1</v>
      </c>
    </row>
    <row r="33" spans="1:36" x14ac:dyDescent="0.25">
      <c r="A33" s="57" t="s">
        <v>69</v>
      </c>
      <c r="B33" s="57" t="s">
        <v>13</v>
      </c>
      <c r="C33" s="57" t="s">
        <v>14</v>
      </c>
      <c r="D33" s="57">
        <v>0</v>
      </c>
      <c r="E33" s="57">
        <v>0</v>
      </c>
      <c r="F33" s="57">
        <v>0</v>
      </c>
      <c r="G33" s="57">
        <v>0</v>
      </c>
      <c r="H33" s="57">
        <v>0</v>
      </c>
      <c r="I33" s="57">
        <v>0</v>
      </c>
      <c r="J33" s="57">
        <v>0</v>
      </c>
      <c r="K33" s="57">
        <v>0</v>
      </c>
      <c r="L33" s="57">
        <v>0</v>
      </c>
      <c r="M33" s="57">
        <v>0</v>
      </c>
      <c r="N33" s="57">
        <v>0</v>
      </c>
      <c r="O33" s="57">
        <v>0</v>
      </c>
      <c r="P33" s="57">
        <v>0</v>
      </c>
      <c r="Q33" s="57">
        <v>0</v>
      </c>
      <c r="R33" s="57">
        <v>0</v>
      </c>
      <c r="S33" s="57">
        <v>0</v>
      </c>
      <c r="T33" s="57">
        <v>0</v>
      </c>
      <c r="U33" s="57">
        <v>0</v>
      </c>
      <c r="V33" s="57">
        <v>0</v>
      </c>
      <c r="W33" s="57">
        <v>0</v>
      </c>
      <c r="X33" s="57">
        <v>0</v>
      </c>
      <c r="Y33" s="57">
        <v>0</v>
      </c>
      <c r="Z33" s="57">
        <v>0</v>
      </c>
      <c r="AA33" s="57">
        <v>0</v>
      </c>
      <c r="AB33" s="57">
        <v>0</v>
      </c>
      <c r="AC33" s="57">
        <v>0</v>
      </c>
      <c r="AD33" s="57">
        <v>0</v>
      </c>
      <c r="AE33" s="57">
        <v>0</v>
      </c>
      <c r="AF33" s="57">
        <v>0</v>
      </c>
      <c r="AG33" s="57">
        <v>0</v>
      </c>
      <c r="AH33" s="57">
        <v>0</v>
      </c>
      <c r="AI33" s="57">
        <v>0</v>
      </c>
      <c r="AJ33" s="57">
        <v>0</v>
      </c>
    </row>
    <row r="34" spans="1:36"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row>
    <row r="35" spans="1:36" x14ac:dyDescent="0.25">
      <c r="A35" s="55"/>
      <c r="B35" s="55"/>
      <c r="C35" s="55"/>
      <c r="D35" s="55"/>
      <c r="E35" s="55"/>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row>
    <row r="36" spans="1:36"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row>
    <row r="37" spans="1:36" x14ac:dyDescent="0.25">
      <c r="A37" s="55"/>
      <c r="B37" s="55"/>
      <c r="C37" s="55"/>
      <c r="D37" s="55"/>
      <c r="E37" s="55"/>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row>
    <row r="38" spans="1:36"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row>
    <row r="39" spans="1:36" x14ac:dyDescent="0.25">
      <c r="A39" s="55"/>
      <c r="B39" s="55"/>
      <c r="C39" s="55"/>
      <c r="D39" s="55"/>
      <c r="E39" s="55"/>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row>
    <row r="40" spans="1:36"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row>
    <row r="41" spans="1:36" x14ac:dyDescent="0.25">
      <c r="A41" s="55"/>
      <c r="B41" s="55"/>
      <c r="C41" s="55"/>
      <c r="D41" s="55"/>
      <c r="E41" s="55"/>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row>
    <row r="42" spans="1:36"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row>
    <row r="43" spans="1:36"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2.0.0-saudiarabia-Example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Jeffrey Rissman</cp:lastModifiedBy>
  <dcterms:created xsi:type="dcterms:W3CDTF">2017-03-20T18:51:30Z</dcterms:created>
  <dcterms:modified xsi:type="dcterms:W3CDTF">2019-09-20T21:44:52Z</dcterms:modified>
</cp:coreProperties>
</file>