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han\Dropbox (Energy Innovation)\eps-1.5.0-saudiarabia-wipA\InputData-saudiarabia-wipJ\elec\BHRbEF\"/>
    </mc:Choice>
  </mc:AlternateContent>
  <bookViews>
    <workbookView xWindow="0" yWindow="0" windowWidth="28800" windowHeight="13035"/>
  </bookViews>
  <sheets>
    <sheet name="About" sheetId="1" r:id="rId1"/>
    <sheet name="Energy Conversions" sheetId="8" r:id="rId2"/>
    <sheet name="KSA Heat Rates" sheetId="7" r:id="rId3"/>
    <sheet name="Start Year Capacity Data" sheetId="11" r:id="rId4"/>
    <sheet name="Calculations" sheetId="12" r:id="rId5"/>
    <sheet name="BHRbEF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2" l="1"/>
  <c r="C4" i="12"/>
  <c r="C5" i="12"/>
  <c r="C6" i="12"/>
  <c r="C7" i="12"/>
  <c r="C8" i="12"/>
  <c r="C9" i="12"/>
  <c r="C10" i="12"/>
  <c r="C11" i="12"/>
  <c r="C12" i="12"/>
  <c r="C13" i="12"/>
  <c r="C2" i="12"/>
  <c r="D25" i="12" l="1"/>
  <c r="E26" i="7" l="1"/>
  <c r="C26" i="7"/>
  <c r="D26" i="7"/>
  <c r="B26" i="7"/>
  <c r="E27" i="7"/>
  <c r="D27" i="7"/>
  <c r="C27" i="7"/>
  <c r="B27" i="7"/>
  <c r="C24" i="7"/>
  <c r="D24" i="7"/>
  <c r="E24" i="7"/>
  <c r="B24" i="7"/>
  <c r="E25" i="7"/>
  <c r="B25" i="7"/>
  <c r="C25" i="7" s="1"/>
  <c r="D25" i="7" s="1"/>
  <c r="C22" i="7"/>
  <c r="D22" i="7"/>
  <c r="E22" i="7"/>
  <c r="B22" i="7"/>
  <c r="E23" i="7"/>
  <c r="D23" i="7"/>
  <c r="C23" i="7"/>
  <c r="B23" i="7"/>
  <c r="B4" i="3" l="1"/>
  <c r="C12" i="3"/>
  <c r="A3" i="3"/>
  <c r="A4" i="3"/>
  <c r="A5" i="3"/>
  <c r="A6" i="3"/>
  <c r="A7" i="3"/>
  <c r="A8" i="3"/>
  <c r="A10" i="3"/>
  <c r="A11" i="3"/>
  <c r="A12" i="3"/>
  <c r="A13" i="3"/>
  <c r="A14" i="3"/>
  <c r="B30" i="12"/>
  <c r="B14" i="3" s="1"/>
  <c r="C30" i="12"/>
  <c r="C14" i="3" s="1"/>
  <c r="D30" i="12"/>
  <c r="D14" i="3" s="1"/>
  <c r="D26" i="12"/>
  <c r="D10" i="3" s="1"/>
  <c r="C26" i="12"/>
  <c r="C10" i="3" s="1"/>
  <c r="B26" i="12"/>
  <c r="B10" i="3" s="1"/>
  <c r="D24" i="12"/>
  <c r="D8" i="3" s="1"/>
  <c r="C24" i="12"/>
  <c r="C8" i="3" s="1"/>
  <c r="B24" i="12"/>
  <c r="B8" i="3" s="1"/>
  <c r="D23" i="12"/>
  <c r="D7" i="3" s="1"/>
  <c r="C23" i="12"/>
  <c r="C7" i="3" s="1"/>
  <c r="B23" i="12"/>
  <c r="B7" i="3" s="1"/>
  <c r="D22" i="12"/>
  <c r="D6" i="3" s="1"/>
  <c r="C22" i="12"/>
  <c r="C6" i="3" s="1"/>
  <c r="B22" i="12"/>
  <c r="B6" i="3" s="1"/>
  <c r="D21" i="12"/>
  <c r="D5" i="3" s="1"/>
  <c r="C21" i="12"/>
  <c r="C5" i="3" s="1"/>
  <c r="B21" i="12"/>
  <c r="B5" i="3" s="1"/>
  <c r="C20" i="12"/>
  <c r="C4" i="3" s="1"/>
  <c r="C25" i="12" l="1" a="1"/>
  <c r="C25" i="12" s="1"/>
  <c r="C16" i="3" s="1"/>
  <c r="B25" i="12" a="1"/>
  <c r="B25" i="12" s="1"/>
  <c r="B16" i="3" s="1"/>
  <c r="D16" i="3"/>
  <c r="B7" i="8"/>
  <c r="F29" i="7" s="1"/>
  <c r="D20" i="12" s="1"/>
  <c r="D4" i="3" s="1"/>
  <c r="B5" i="8"/>
  <c r="B3" i="8"/>
  <c r="F7" i="12" s="1"/>
  <c r="G30" i="7"/>
  <c r="F12" i="12"/>
  <c r="D28" i="12"/>
  <c r="D12" i="3" s="1"/>
  <c r="F11" i="12"/>
  <c r="D19" i="12"/>
  <c r="D3" i="3" s="1"/>
  <c r="F13" i="12"/>
  <c r="F3" i="12"/>
  <c r="F2" i="12"/>
  <c r="D18" i="12"/>
  <c r="D15" i="3" s="1"/>
  <c r="F4" i="12"/>
  <c r="F10" i="12" l="1"/>
  <c r="F9" i="12" l="1"/>
  <c r="F6" i="12"/>
  <c r="D13" i="3"/>
  <c r="D27" i="12"/>
  <c r="D11" i="3" s="1"/>
  <c r="B13" i="3" l="1"/>
  <c r="B27" i="12" a="1"/>
  <c r="B27" i="12" s="1"/>
  <c r="B11" i="3" s="1"/>
  <c r="C19" i="12" a="1"/>
  <c r="C19" i="12" s="1"/>
  <c r="C3" i="3" s="1"/>
  <c r="C27" i="12" a="1"/>
  <c r="C27" i="12" s="1"/>
  <c r="C11" i="3" s="1"/>
  <c r="B19" i="12" a="1"/>
  <c r="B19" i="12" s="1"/>
  <c r="B3" i="3" s="1"/>
  <c r="C18" i="12" a="1"/>
  <c r="C18" i="12" s="1"/>
  <c r="C15" i="3" s="1"/>
  <c r="C13" i="3"/>
  <c r="B28" i="12" a="1"/>
  <c r="B28" i="12" s="1"/>
  <c r="B12" i="3" s="1"/>
  <c r="B18" i="12" a="1"/>
  <c r="B18" i="12" s="1"/>
  <c r="B15" i="3" s="1"/>
</calcChain>
</file>

<file path=xl/sharedStrings.xml><?xml version="1.0" encoding="utf-8"?>
<sst xmlns="http://schemas.openxmlformats.org/spreadsheetml/2006/main" count="290" uniqueCount="130">
  <si>
    <t>BAU Heat Rate by Electricity Fuel</t>
  </si>
  <si>
    <t>Source:</t>
  </si>
  <si>
    <t>Energy Information Administration</t>
  </si>
  <si>
    <t>Tables 8.2</t>
  </si>
  <si>
    <t>Nuclear</t>
  </si>
  <si>
    <t>preexisting</t>
  </si>
  <si>
    <t>preexisting nonretiring (not used in U.S. dataset)</t>
  </si>
  <si>
    <t>newly built</t>
  </si>
  <si>
    <t>natural gas nonpeaker</t>
  </si>
  <si>
    <t>hydro</t>
  </si>
  <si>
    <t>solar PV</t>
  </si>
  <si>
    <t>solar thermal</t>
  </si>
  <si>
    <t>geothermal</t>
  </si>
  <si>
    <t>natural gas peaker</t>
  </si>
  <si>
    <t>Notes:</t>
  </si>
  <si>
    <t>Lazard</t>
  </si>
  <si>
    <t>https://www.lazard.com/media/2390/lazards-levelized-cost-of-energy-analysis-90.pdf</t>
  </si>
  <si>
    <t xml:space="preserve">p.16-18 "Levelized Cost of Energy - Key Assumptions </t>
  </si>
  <si>
    <t>ST</t>
  </si>
  <si>
    <t>offshore wind</t>
  </si>
  <si>
    <t>GT</t>
  </si>
  <si>
    <t>Lazard's Levelized Cost of Energy Analysis - Version 12</t>
  </si>
  <si>
    <t>Plant type</t>
  </si>
  <si>
    <t>Arablight (BBL/GWh)</t>
  </si>
  <si>
    <t>HFO (ton/GWh)</t>
  </si>
  <si>
    <t>Diesel (ton/GWh)</t>
  </si>
  <si>
    <t>Methane (MMBTU/GWh)</t>
  </si>
  <si>
    <t>U-235 (kg/GWh)</t>
  </si>
  <si>
    <t>Coal (ton/GWh)</t>
  </si>
  <si>
    <t>Steam turbine (old vintage)</t>
  </si>
  <si>
    <t>-</t>
  </si>
  <si>
    <t>Steam turbine (new construction)</t>
  </si>
  <si>
    <t>Gas turbine (old vintage)</t>
  </si>
  <si>
    <t>Gas turbine (new construction)</t>
  </si>
  <si>
    <t>Combined cycle (old vintage)</t>
  </si>
  <si>
    <t>Combined cycle (new construction)</t>
  </si>
  <si>
    <t>Combined cycle (converted from gas turbine)</t>
  </si>
  <si>
    <t>Coal-fired steam</t>
  </si>
  <si>
    <t>MMBtu/BBL Crude</t>
  </si>
  <si>
    <t>https://www.platts.com/IM.Platts.Content/MethodologyReferences/ConversionTables/Images/CCSS1015_Energy_Industry_Conversions_LRG.pdf</t>
  </si>
  <si>
    <t>crude</t>
  </si>
  <si>
    <t>onshore wind</t>
  </si>
  <si>
    <t>heavy fuel oil</t>
  </si>
  <si>
    <t>Btu/MTCE</t>
  </si>
  <si>
    <t>Diesel</t>
  </si>
  <si>
    <t>HFO</t>
  </si>
  <si>
    <t>Gas</t>
  </si>
  <si>
    <t>CC</t>
  </si>
  <si>
    <t>Crude</t>
  </si>
  <si>
    <t>Sum of Unit naming capacity (m\w)</t>
  </si>
  <si>
    <t>Arablight (btu/MWh)</t>
  </si>
  <si>
    <t>HFO (btu/MWh)</t>
  </si>
  <si>
    <t>Coal (btu/MWh)</t>
  </si>
  <si>
    <t>Btu/lb HFO</t>
  </si>
  <si>
    <t>Btu/ton HFO</t>
  </si>
  <si>
    <t>Ratio of HFO to Diesel heat content</t>
  </si>
  <si>
    <t>https://www.eia.gov/outlooks/aeo/pdf/appg.pdf</t>
  </si>
  <si>
    <t>GJ/kg Uranium</t>
  </si>
  <si>
    <t>http://www.world-nuclear.org/information-library/facts-and-figures/heat-values-of-various-fuels.aspx</t>
  </si>
  <si>
    <t>Btu/kg Uranium</t>
  </si>
  <si>
    <t>Diesel (btu/MWh)</t>
  </si>
  <si>
    <t>Methane (btu/MWh)</t>
  </si>
  <si>
    <t>U-235 (btu/MWh)</t>
  </si>
  <si>
    <t>preexisting nonretiring</t>
  </si>
  <si>
    <t>KAPSARC</t>
  </si>
  <si>
    <t>KAPSARC Energy Model</t>
  </si>
  <si>
    <t>http://apps.kapsarc.org/model/KAPSARC%20Energy%20Model%20-%20Saudi%20Arabia</t>
  </si>
  <si>
    <t>HFO Energy Content by Weight</t>
  </si>
  <si>
    <t>Platts</t>
  </si>
  <si>
    <t>n.d.</t>
  </si>
  <si>
    <t>Energy Indstry Conversions</t>
  </si>
  <si>
    <t>Ratio of HFO to Diesel Energy Content</t>
  </si>
  <si>
    <t>Appendix G: Conversion Factors</t>
  </si>
  <si>
    <t>We use Lazard's heat rate for newly built biomass plants.</t>
  </si>
  <si>
    <t>Biomass Heat Rate</t>
  </si>
  <si>
    <t>Fuel</t>
  </si>
  <si>
    <t>Plant Type</t>
  </si>
  <si>
    <t>GW</t>
  </si>
  <si>
    <t>Peaker</t>
  </si>
  <si>
    <t>Assignment to EPS Power Plant Types and Quality Tiers</t>
  </si>
  <si>
    <t>Fraction of plants that are peakers</t>
  </si>
  <si>
    <t>nuclear</t>
  </si>
  <si>
    <t>diesel</t>
  </si>
  <si>
    <t>Notes</t>
  </si>
  <si>
    <t>natural gas nonpeaker, preexisting nonretiring = natural gas CCGT</t>
  </si>
  <si>
    <t>Natural gas peaker, preexisting retiring = natural gas GT</t>
  </si>
  <si>
    <t>Heat Rates by Unit Type, Vintage, and Fuel</t>
  </si>
  <si>
    <t>Standardized Heat Rates by Unit Type, Vintage, and Fuel (btu/MWh)</t>
  </si>
  <si>
    <t>EPS Power Plant Type</t>
  </si>
  <si>
    <t>EPS Quality Tier</t>
  </si>
  <si>
    <t>preexisting retiring</t>
  </si>
  <si>
    <t>Heat Rate</t>
  </si>
  <si>
    <t>&lt;no data for HFO, so using diesel</t>
  </si>
  <si>
    <t>Capacity Data for Plant Types and Fuel Types</t>
  </si>
  <si>
    <t>see Start Year Electricity Generation Capacity.xlsx in elec/SYC</t>
  </si>
  <si>
    <t>CCGT</t>
  </si>
  <si>
    <t>GTtoCC</t>
  </si>
  <si>
    <t>gas</t>
  </si>
  <si>
    <t>oil</t>
  </si>
  <si>
    <t>MMBtu/MWh</t>
  </si>
  <si>
    <t>Heat Rates for New Units by Unit and Fuel Type</t>
  </si>
  <si>
    <t>Heat Rates for New Plants</t>
  </si>
  <si>
    <t>Heat Rate Scaling Between Old and New Plant Types and Rates for Coal and Nuclear</t>
  </si>
  <si>
    <t>Rioux et al.</t>
  </si>
  <si>
    <t>Restructuring Saudi Arabia's Power Generation Sector: Model-Based Insights</t>
  </si>
  <si>
    <t>https://www.kapsarc.org/file-download.php?i=6970</t>
  </si>
  <si>
    <t>Table 5</t>
  </si>
  <si>
    <t>We use a published report from KAPSARC on new unit heat rates and then adjust for old units</t>
  </si>
  <si>
    <t>based on the ratio of old to new unit heat rates from the KEM model.</t>
  </si>
  <si>
    <t>lignite</t>
  </si>
  <si>
    <t>ECRA Capacity Allocation</t>
  </si>
  <si>
    <t>ECRACompaniesLookupEN</t>
  </si>
  <si>
    <t>(Multiple Items)</t>
  </si>
  <si>
    <t>Unit type</t>
  </si>
  <si>
    <t>Primary Fuel</t>
  </si>
  <si>
    <t>power plant type</t>
  </si>
  <si>
    <t>quality tier</t>
  </si>
  <si>
    <t>Natural gas nonpeaker, preexisting retiring = natural gas</t>
  </si>
  <si>
    <t>heavy fuel oil, preexisting retiring = HFO GT</t>
  </si>
  <si>
    <t>heavy fuel oil, preexisting nonretiring = HFO ST</t>
  </si>
  <si>
    <t>diesel, preexisting retiring = diesel GT</t>
  </si>
  <si>
    <t>diesel, preexisting nonretiring = diesel ST</t>
  </si>
  <si>
    <t>crude, preexisting retiring = crude GT</t>
  </si>
  <si>
    <t>crude, preexisting nonretiring = crude CC + crude ST</t>
  </si>
  <si>
    <t>hfo</t>
  </si>
  <si>
    <t>crude oil</t>
  </si>
  <si>
    <t>heavy or residual fuel oil</t>
  </si>
  <si>
    <t>municipal solid waste</t>
  </si>
  <si>
    <t>hard coal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</si>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</sst>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ont="1"/>
    <xf numFmtId="0" fontId="0" fillId="0" borderId="0" xfId="0" pivotButton="1"/>
    <xf numFmtId="0" fontId="2" fillId="0" borderId="0" xfId="1" applyAlignment="1"/>
    <xf numFmtId="0" fontId="3" fillId="0" borderId="0" xfId="0" applyFont="1"/>
    <xf numFmtId="11" fontId="0" fillId="0" borderId="0" xfId="0" applyNumberFormat="1"/>
    <xf numFmtId="0" fontId="4" fillId="0" borderId="0" xfId="0" applyFont="1"/>
    <xf numFmtId="1" fontId="0" fillId="2" borderId="0" xfId="0" applyNumberFormat="1" applyFill="1"/>
    <xf numFmtId="0" fontId="0" fillId="2" borderId="0" xfId="0" applyFill="1"/>
    <xf numFmtId="0" fontId="0" fillId="3" borderId="0" xfId="0" applyFill="1"/>
    <xf numFmtId="11" fontId="0" fillId="2" borderId="0" xfId="0" applyNumberFormat="1" applyFill="1"/>
    <xf numFmtId="0" fontId="2" fillId="0" borderId="0" xfId="1" applyAlignment="1">
      <alignment vertical="center"/>
    </xf>
    <xf numFmtId="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outlooks/aeo/pdf/appg.pdf" TargetMode="External"/><Relationship Id="rId2" Type="http://schemas.openxmlformats.org/officeDocument/2006/relationships/hyperlink" Target="https://www.platts.com/IM.Platts.Content/MethodologyReferences/ConversionTables/Images/CCSS1015_Energy_Industry_Conversions_LRG.pdf" TargetMode="External"/><Relationship Id="rId1" Type="http://schemas.openxmlformats.org/officeDocument/2006/relationships/hyperlink" Target="http://apps.kapsarc.org/model/KAPSARC%20Energy%20Model%20-%20Saudi%20Arabia" TargetMode="External"/><Relationship Id="rId5" Type="http://schemas.openxmlformats.org/officeDocument/2006/relationships/hyperlink" Target="https://www.kapsarc.org/file-download.php?i=6970" TargetMode="External"/><Relationship Id="rId4" Type="http://schemas.openxmlformats.org/officeDocument/2006/relationships/hyperlink" Target="https://www.lazard.com/media/2390/lazards-levelized-cost-of-energy-analysis-90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orld-nuclear.org/information-library/facts-and-figures/heat-values-of-various-fuels.aspx" TargetMode="External"/><Relationship Id="rId2" Type="http://schemas.openxmlformats.org/officeDocument/2006/relationships/hyperlink" Target="https://www.eia.gov/outlooks/aeo/pdf/appg.pdf" TargetMode="External"/><Relationship Id="rId1" Type="http://schemas.openxmlformats.org/officeDocument/2006/relationships/hyperlink" Target="https://www.platts.com/IM.Platts.Content/MethodologyReferences/ConversionTables/Images/CCSS1015_Energy_Industry_Conversions_LR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7" workbookViewId="0">
      <selection activeCell="A44" sqref="A44"/>
    </sheetView>
  </sheetViews>
  <sheetFormatPr defaultRowHeight="15" x14ac:dyDescent="0.25"/>
  <cols>
    <col min="2" max="2" width="63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102</v>
      </c>
    </row>
    <row r="4" spans="1:2" x14ac:dyDescent="0.25">
      <c r="B4" t="s">
        <v>64</v>
      </c>
    </row>
    <row r="5" spans="1:2" x14ac:dyDescent="0.25">
      <c r="B5" s="3">
        <v>2019</v>
      </c>
    </row>
    <row r="6" spans="1:2" x14ac:dyDescent="0.25">
      <c r="B6" t="s">
        <v>65</v>
      </c>
    </row>
    <row r="7" spans="1:2" x14ac:dyDescent="0.25">
      <c r="B7" s="4" t="s">
        <v>66</v>
      </c>
    </row>
    <row r="8" spans="1:2" x14ac:dyDescent="0.25">
      <c r="B8" t="s">
        <v>3</v>
      </c>
    </row>
    <row r="10" spans="1:2" x14ac:dyDescent="0.25">
      <c r="B10" s="2" t="s">
        <v>67</v>
      </c>
    </row>
    <row r="11" spans="1:2" x14ac:dyDescent="0.25">
      <c r="B11" t="s">
        <v>68</v>
      </c>
    </row>
    <row r="12" spans="1:2" x14ac:dyDescent="0.25">
      <c r="B12" s="3" t="s">
        <v>69</v>
      </c>
    </row>
    <row r="13" spans="1:2" x14ac:dyDescent="0.25">
      <c r="B13" t="s">
        <v>70</v>
      </c>
    </row>
    <row r="14" spans="1:2" x14ac:dyDescent="0.25">
      <c r="B14" s="4" t="s">
        <v>39</v>
      </c>
    </row>
    <row r="15" spans="1:2" x14ac:dyDescent="0.25">
      <c r="B15" s="4"/>
    </row>
    <row r="16" spans="1:2" x14ac:dyDescent="0.25">
      <c r="B16" s="2" t="s">
        <v>71</v>
      </c>
    </row>
    <row r="17" spans="2:2" x14ac:dyDescent="0.25">
      <c r="B17" t="s">
        <v>2</v>
      </c>
    </row>
    <row r="18" spans="2:2" x14ac:dyDescent="0.25">
      <c r="B18" s="3">
        <v>2019</v>
      </c>
    </row>
    <row r="19" spans="2:2" x14ac:dyDescent="0.25">
      <c r="B19" t="s">
        <v>72</v>
      </c>
    </row>
    <row r="20" spans="2:2" x14ac:dyDescent="0.25">
      <c r="B20" s="4" t="s">
        <v>56</v>
      </c>
    </row>
    <row r="22" spans="2:2" x14ac:dyDescent="0.25">
      <c r="B22" s="2" t="s">
        <v>93</v>
      </c>
    </row>
    <row r="23" spans="2:2" x14ac:dyDescent="0.25">
      <c r="B23" t="s">
        <v>94</v>
      </c>
    </row>
    <row r="25" spans="2:2" x14ac:dyDescent="0.25">
      <c r="B25" s="2" t="s">
        <v>74</v>
      </c>
    </row>
    <row r="26" spans="2:2" x14ac:dyDescent="0.25">
      <c r="B26" t="s">
        <v>15</v>
      </c>
    </row>
    <row r="27" spans="2:2" x14ac:dyDescent="0.25">
      <c r="B27" s="3">
        <v>2015</v>
      </c>
    </row>
    <row r="28" spans="2:2" x14ac:dyDescent="0.25">
      <c r="B28" t="s">
        <v>21</v>
      </c>
    </row>
    <row r="29" spans="2:2" x14ac:dyDescent="0.25">
      <c r="B29" s="9" t="s">
        <v>16</v>
      </c>
    </row>
    <row r="30" spans="2:2" x14ac:dyDescent="0.25">
      <c r="B30" t="s">
        <v>17</v>
      </c>
    </row>
    <row r="32" spans="2:2" x14ac:dyDescent="0.25">
      <c r="B32" s="2" t="s">
        <v>101</v>
      </c>
    </row>
    <row r="33" spans="1:2" x14ac:dyDescent="0.25">
      <c r="B33" t="s">
        <v>103</v>
      </c>
    </row>
    <row r="34" spans="1:2" x14ac:dyDescent="0.25">
      <c r="B34" s="3">
        <v>2017</v>
      </c>
    </row>
    <row r="35" spans="1:2" x14ac:dyDescent="0.25">
      <c r="B35" t="s">
        <v>104</v>
      </c>
    </row>
    <row r="36" spans="1:2" x14ac:dyDescent="0.25">
      <c r="B36" s="17" t="s">
        <v>105</v>
      </c>
    </row>
    <row r="37" spans="1:2" x14ac:dyDescent="0.25">
      <c r="B37" t="s">
        <v>106</v>
      </c>
    </row>
    <row r="39" spans="1:2" x14ac:dyDescent="0.25">
      <c r="A39" s="1" t="s">
        <v>14</v>
      </c>
    </row>
    <row r="40" spans="1:2" x14ac:dyDescent="0.25">
      <c r="A40" s="7" t="s">
        <v>73</v>
      </c>
    </row>
    <row r="42" spans="1:2" x14ac:dyDescent="0.25">
      <c r="A42" s="7" t="s">
        <v>107</v>
      </c>
    </row>
    <row r="43" spans="1:2" x14ac:dyDescent="0.25">
      <c r="A43" s="7" t="s">
        <v>108</v>
      </c>
    </row>
    <row r="44" spans="1:2" x14ac:dyDescent="0.25">
      <c r="A44" s="7"/>
    </row>
    <row r="47" spans="1:2" x14ac:dyDescent="0.25">
      <c r="A47" s="7"/>
    </row>
    <row r="48" spans="1:2" x14ac:dyDescent="0.25">
      <c r="A48" s="7"/>
    </row>
    <row r="49" spans="1:1" x14ac:dyDescent="0.25">
      <c r="A49" s="7"/>
    </row>
    <row r="50" spans="1:1" x14ac:dyDescent="0.25">
      <c r="A50" s="7"/>
    </row>
  </sheetData>
  <hyperlinks>
    <hyperlink ref="B7" r:id="rId1" display="http://apps.kapsarc.org/model/KAPSARC Energy Model - Saudi Arabia"/>
    <hyperlink ref="B14" r:id="rId2"/>
    <hyperlink ref="B20" r:id="rId3"/>
    <hyperlink ref="B29" r:id="rId4"/>
    <hyperlink ref="B3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1" sqref="C11"/>
    </sheetView>
  </sheetViews>
  <sheetFormatPr defaultRowHeight="15" x14ac:dyDescent="0.25"/>
  <cols>
    <col min="1" max="1" width="30.42578125" bestFit="1" customWidth="1"/>
    <col min="2" max="2" width="9.85546875" bestFit="1" customWidth="1"/>
  </cols>
  <sheetData>
    <row r="1" spans="1:3" x14ac:dyDescent="0.25">
      <c r="A1" t="s">
        <v>38</v>
      </c>
      <c r="B1">
        <v>5.7190000000000003</v>
      </c>
    </row>
    <row r="2" spans="1:3" x14ac:dyDescent="0.25">
      <c r="A2" t="s">
        <v>53</v>
      </c>
      <c r="B2">
        <v>18300</v>
      </c>
      <c r="C2" s="4" t="s">
        <v>39</v>
      </c>
    </row>
    <row r="3" spans="1:3" x14ac:dyDescent="0.25">
      <c r="A3" t="s">
        <v>54</v>
      </c>
      <c r="B3">
        <f>CONVERT(B2,"ton","lbm")</f>
        <v>36600000</v>
      </c>
    </row>
    <row r="4" spans="1:3" x14ac:dyDescent="0.25">
      <c r="A4" t="s">
        <v>43</v>
      </c>
      <c r="B4">
        <v>27778245</v>
      </c>
    </row>
    <row r="5" spans="1:3" x14ac:dyDescent="0.25">
      <c r="A5" t="s">
        <v>55</v>
      </c>
      <c r="B5">
        <f>5.778/6.287</f>
        <v>0.91903928741848251</v>
      </c>
      <c r="C5" s="4" t="s">
        <v>56</v>
      </c>
    </row>
    <row r="6" spans="1:3" x14ac:dyDescent="0.25">
      <c r="A6" t="s">
        <v>57</v>
      </c>
      <c r="B6">
        <v>500</v>
      </c>
      <c r="C6" s="4" t="s">
        <v>58</v>
      </c>
    </row>
    <row r="7" spans="1:3" x14ac:dyDescent="0.25">
      <c r="A7" t="s">
        <v>59</v>
      </c>
      <c r="B7">
        <f>947817.12*B6</f>
        <v>473908560</v>
      </c>
    </row>
  </sheetData>
  <hyperlinks>
    <hyperlink ref="C2" r:id="rId1"/>
    <hyperlink ref="C5" r:id="rId2"/>
    <hyperlink ref="C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17" sqref="B17"/>
    </sheetView>
  </sheetViews>
  <sheetFormatPr defaultRowHeight="15" x14ac:dyDescent="0.25"/>
  <cols>
    <col min="1" max="1" width="38.85546875" bestFit="1" customWidth="1"/>
    <col min="2" max="2" width="18.28515625" bestFit="1" customWidth="1"/>
    <col min="3" max="3" width="14" bestFit="1" customWidth="1"/>
    <col min="4" max="4" width="15.42578125" bestFit="1" customWidth="1"/>
    <col min="5" max="5" width="22.140625" bestFit="1" customWidth="1"/>
    <col min="6" max="6" width="14.42578125" bestFit="1" customWidth="1"/>
    <col min="7" max="7" width="14.140625" bestFit="1" customWidth="1"/>
  </cols>
  <sheetData>
    <row r="1" spans="1:7" s="2" customFormat="1" ht="14.1" customHeight="1" x14ac:dyDescent="0.25">
      <c r="A1" s="2" t="s">
        <v>86</v>
      </c>
    </row>
    <row r="2" spans="1:7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s="15" customFormat="1" x14ac:dyDescent="0.25">
      <c r="A3" s="15" t="s">
        <v>29</v>
      </c>
      <c r="B3" s="15">
        <v>1730.1</v>
      </c>
      <c r="C3" s="15">
        <v>223.6</v>
      </c>
      <c r="D3" s="15">
        <v>217.42</v>
      </c>
      <c r="E3" s="15">
        <v>8949</v>
      </c>
      <c r="F3" s="15" t="s">
        <v>30</v>
      </c>
      <c r="G3" s="15" t="s">
        <v>30</v>
      </c>
    </row>
    <row r="4" spans="1:7" s="15" customFormat="1" x14ac:dyDescent="0.25">
      <c r="A4" s="15" t="s">
        <v>31</v>
      </c>
      <c r="B4" s="15">
        <v>1647.6</v>
      </c>
      <c r="C4" s="15" t="s">
        <v>30</v>
      </c>
      <c r="D4" s="15">
        <v>217.42</v>
      </c>
      <c r="E4" s="15">
        <v>8949</v>
      </c>
      <c r="F4" s="15" t="s">
        <v>30</v>
      </c>
      <c r="G4" s="15" t="s">
        <v>30</v>
      </c>
    </row>
    <row r="5" spans="1:7" s="15" customFormat="1" x14ac:dyDescent="0.25">
      <c r="A5" s="15" t="s">
        <v>32</v>
      </c>
      <c r="B5" s="15">
        <v>2478.1</v>
      </c>
      <c r="C5" s="15" t="s">
        <v>30</v>
      </c>
      <c r="D5" s="15">
        <v>321.48</v>
      </c>
      <c r="E5" s="15">
        <v>12818</v>
      </c>
      <c r="F5" s="15" t="s">
        <v>30</v>
      </c>
      <c r="G5" s="15" t="s">
        <v>30</v>
      </c>
    </row>
    <row r="6" spans="1:7" s="15" customFormat="1" x14ac:dyDescent="0.25">
      <c r="A6" s="15" t="s">
        <v>33</v>
      </c>
      <c r="B6" s="15">
        <v>2046.4</v>
      </c>
      <c r="C6" s="15" t="s">
        <v>30</v>
      </c>
      <c r="D6" s="15">
        <v>321.48</v>
      </c>
      <c r="E6" s="15">
        <v>10000</v>
      </c>
      <c r="F6" s="15" t="s">
        <v>30</v>
      </c>
      <c r="G6" s="15" t="s">
        <v>30</v>
      </c>
    </row>
    <row r="7" spans="1:7" s="15" customFormat="1" x14ac:dyDescent="0.25">
      <c r="A7" s="15" t="s">
        <v>34</v>
      </c>
      <c r="B7" s="15">
        <v>1714.9</v>
      </c>
      <c r="C7" s="15" t="s">
        <v>30</v>
      </c>
      <c r="D7" s="15">
        <v>215.51</v>
      </c>
      <c r="E7" s="15">
        <v>8870.6</v>
      </c>
      <c r="F7" s="15" t="s">
        <v>30</v>
      </c>
      <c r="G7" s="15" t="s">
        <v>30</v>
      </c>
    </row>
    <row r="8" spans="1:7" s="15" customFormat="1" x14ac:dyDescent="0.25">
      <c r="A8" s="15" t="s">
        <v>35</v>
      </c>
      <c r="B8" s="15">
        <v>1217.1600000000001</v>
      </c>
      <c r="C8" s="15" t="s">
        <v>30</v>
      </c>
      <c r="D8" s="15">
        <v>215.51</v>
      </c>
      <c r="E8" s="15">
        <v>8870.6</v>
      </c>
      <c r="F8" s="15" t="s">
        <v>30</v>
      </c>
      <c r="G8" s="15" t="s">
        <v>30</v>
      </c>
    </row>
    <row r="9" spans="1:7" s="15" customFormat="1" x14ac:dyDescent="0.25">
      <c r="A9" s="15" t="s">
        <v>36</v>
      </c>
      <c r="B9" s="15">
        <v>1238.56</v>
      </c>
      <c r="C9" s="15" t="s">
        <v>30</v>
      </c>
      <c r="D9" s="15">
        <v>155.65</v>
      </c>
      <c r="E9" s="15">
        <v>6200</v>
      </c>
      <c r="F9" s="15" t="s">
        <v>30</v>
      </c>
      <c r="G9" s="15" t="s">
        <v>30</v>
      </c>
    </row>
    <row r="10" spans="1:7" x14ac:dyDescent="0.25">
      <c r="A10" t="s">
        <v>4</v>
      </c>
      <c r="B10" t="s">
        <v>30</v>
      </c>
      <c r="C10" t="s">
        <v>30</v>
      </c>
      <c r="D10" t="s">
        <v>30</v>
      </c>
      <c r="E10" t="s">
        <v>30</v>
      </c>
      <c r="F10">
        <v>120</v>
      </c>
      <c r="G10" t="s">
        <v>30</v>
      </c>
    </row>
    <row r="11" spans="1:7" x14ac:dyDescent="0.25">
      <c r="A11" t="s">
        <v>37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>
        <v>376.23</v>
      </c>
    </row>
    <row r="13" spans="1:7" s="2" customFormat="1" x14ac:dyDescent="0.25">
      <c r="A13" s="2" t="s">
        <v>100</v>
      </c>
    </row>
    <row r="14" spans="1:7" ht="14.45" customHeight="1" x14ac:dyDescent="0.25">
      <c r="A14" t="s">
        <v>99</v>
      </c>
      <c r="B14" t="s">
        <v>97</v>
      </c>
      <c r="C14" t="s">
        <v>98</v>
      </c>
    </row>
    <row r="15" spans="1:7" ht="14.45" customHeight="1" x14ac:dyDescent="0.25">
      <c r="A15" t="s">
        <v>20</v>
      </c>
      <c r="B15">
        <v>11.3</v>
      </c>
      <c r="C15">
        <v>13.55</v>
      </c>
    </row>
    <row r="16" spans="1:7" x14ac:dyDescent="0.25">
      <c r="A16" t="s">
        <v>95</v>
      </c>
      <c r="B16">
        <v>7.6550000000000002</v>
      </c>
      <c r="C16">
        <v>9.6760000000000002</v>
      </c>
    </row>
    <row r="17" spans="1:7" x14ac:dyDescent="0.25">
      <c r="A17" t="s">
        <v>96</v>
      </c>
      <c r="B17">
        <v>7.6550000000000002</v>
      </c>
      <c r="C17">
        <v>9.6760000000000002</v>
      </c>
    </row>
    <row r="18" spans="1:7" x14ac:dyDescent="0.25">
      <c r="A18" t="s">
        <v>18</v>
      </c>
      <c r="B18">
        <v>10.37</v>
      </c>
      <c r="C18">
        <v>10.199999999999999</v>
      </c>
    </row>
    <row r="20" spans="1:7" s="2" customFormat="1" ht="14.1" customHeight="1" x14ac:dyDescent="0.25">
      <c r="A20" s="2" t="s">
        <v>87</v>
      </c>
    </row>
    <row r="21" spans="1:7" x14ac:dyDescent="0.25">
      <c r="A21" t="s">
        <v>22</v>
      </c>
      <c r="B21" t="s">
        <v>50</v>
      </c>
      <c r="C21" t="s">
        <v>51</v>
      </c>
      <c r="D21" t="s">
        <v>60</v>
      </c>
      <c r="E21" t="s">
        <v>61</v>
      </c>
      <c r="F21" t="s">
        <v>62</v>
      </c>
      <c r="G21" t="s">
        <v>52</v>
      </c>
    </row>
    <row r="22" spans="1:7" x14ac:dyDescent="0.25">
      <c r="A22" t="s">
        <v>29</v>
      </c>
      <c r="B22" s="11">
        <f>B23*B3/B4</f>
        <v>10710742.898761837</v>
      </c>
      <c r="C22" s="11">
        <f>D22</f>
        <v>10200000</v>
      </c>
      <c r="D22" s="11">
        <f t="shared" ref="D22:E22" si="0">D23*D3/D4</f>
        <v>10200000</v>
      </c>
      <c r="E22" s="11">
        <f t="shared" si="0"/>
        <v>10370000</v>
      </c>
      <c r="F22" s="11" t="s">
        <v>30</v>
      </c>
      <c r="G22" s="11" t="s">
        <v>30</v>
      </c>
    </row>
    <row r="23" spans="1:7" x14ac:dyDescent="0.25">
      <c r="A23" t="s">
        <v>31</v>
      </c>
      <c r="B23" s="11">
        <f>C18*10^6</f>
        <v>10200000</v>
      </c>
      <c r="C23" s="11">
        <f>B23</f>
        <v>10200000</v>
      </c>
      <c r="D23" s="11">
        <f>C23</f>
        <v>10200000</v>
      </c>
      <c r="E23" s="11">
        <f>B18*10^6</f>
        <v>10370000</v>
      </c>
      <c r="F23" s="11" t="s">
        <v>30</v>
      </c>
      <c r="G23" s="11" t="s">
        <v>30</v>
      </c>
    </row>
    <row r="24" spans="1:7" x14ac:dyDescent="0.25">
      <c r="A24" t="s">
        <v>32</v>
      </c>
      <c r="B24" s="11">
        <f>B25*B5/B6</f>
        <v>16408451.426896011</v>
      </c>
      <c r="C24" s="11">
        <f>D24</f>
        <v>13550000</v>
      </c>
      <c r="D24" s="11">
        <f t="shared" ref="D24:E24" si="1">D25*D5/D6</f>
        <v>13550000</v>
      </c>
      <c r="E24" s="11">
        <f t="shared" si="1"/>
        <v>14484340</v>
      </c>
      <c r="F24" s="11" t="s">
        <v>30</v>
      </c>
      <c r="G24" s="11" t="s">
        <v>30</v>
      </c>
    </row>
    <row r="25" spans="1:7" x14ac:dyDescent="0.25">
      <c r="A25" t="s">
        <v>33</v>
      </c>
      <c r="B25" s="11">
        <f>C15*10^6</f>
        <v>13550000</v>
      </c>
      <c r="C25" s="11">
        <f>B25</f>
        <v>13550000</v>
      </c>
      <c r="D25" s="11">
        <f>C25</f>
        <v>13550000</v>
      </c>
      <c r="E25" s="11">
        <f>B15*10^6</f>
        <v>11300000</v>
      </c>
      <c r="F25" s="11" t="s">
        <v>30</v>
      </c>
      <c r="G25" s="11" t="s">
        <v>30</v>
      </c>
    </row>
    <row r="26" spans="1:7" x14ac:dyDescent="0.25">
      <c r="A26" t="s">
        <v>34</v>
      </c>
      <c r="B26" s="11">
        <f>B27*B7/B8</f>
        <v>13632860.429195832</v>
      </c>
      <c r="C26" s="11">
        <f>D26</f>
        <v>9676000</v>
      </c>
      <c r="D26" s="11">
        <f t="shared" ref="D26" si="2">D27*D7/D8</f>
        <v>9676000</v>
      </c>
      <c r="E26" s="11">
        <f>E27*E7/E8</f>
        <v>7655000</v>
      </c>
      <c r="F26" s="11" t="s">
        <v>30</v>
      </c>
      <c r="G26" s="11" t="s">
        <v>30</v>
      </c>
    </row>
    <row r="27" spans="1:7" x14ac:dyDescent="0.25">
      <c r="A27" t="s">
        <v>35</v>
      </c>
      <c r="B27" s="11">
        <f>C16*10^6</f>
        <v>9676000</v>
      </c>
      <c r="C27" s="11">
        <f>B27</f>
        <v>9676000</v>
      </c>
      <c r="D27" s="11">
        <f>C27</f>
        <v>9676000</v>
      </c>
      <c r="E27" s="11">
        <f>B16*10^6</f>
        <v>7655000</v>
      </c>
      <c r="F27" s="11" t="s">
        <v>30</v>
      </c>
      <c r="G27" s="11" t="s">
        <v>30</v>
      </c>
    </row>
    <row r="28" spans="1:7" x14ac:dyDescent="0.25">
      <c r="A28" t="s">
        <v>36</v>
      </c>
      <c r="B28" s="16"/>
      <c r="C28" s="16"/>
      <c r="D28" s="16"/>
      <c r="E28" s="16"/>
      <c r="F28" s="11" t="s">
        <v>30</v>
      </c>
      <c r="G28" s="11" t="s">
        <v>30</v>
      </c>
    </row>
    <row r="29" spans="1:7" x14ac:dyDescent="0.25">
      <c r="A29" t="s">
        <v>4</v>
      </c>
      <c r="B29" s="11" t="s">
        <v>30</v>
      </c>
      <c r="C29" s="11" t="s">
        <v>30</v>
      </c>
      <c r="D29" s="11" t="s">
        <v>30</v>
      </c>
      <c r="E29" s="11" t="s">
        <v>30</v>
      </c>
      <c r="F29" s="11">
        <f>F10*'Energy Conversions'!B7/10^3</f>
        <v>56869027.200000003</v>
      </c>
      <c r="G29" s="11" t="s">
        <v>30</v>
      </c>
    </row>
    <row r="30" spans="1:7" x14ac:dyDescent="0.25">
      <c r="A30" t="s">
        <v>37</v>
      </c>
      <c r="B30" s="11" t="s">
        <v>30</v>
      </c>
      <c r="C30" s="11" t="s">
        <v>30</v>
      </c>
      <c r="D30" s="11" t="s">
        <v>30</v>
      </c>
      <c r="E30" s="11" t="s">
        <v>30</v>
      </c>
      <c r="F30" s="11" t="s">
        <v>30</v>
      </c>
      <c r="G30" s="11">
        <f>G11*'Energy Conversions'!B4/10^3</f>
        <v>10451009.116350001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I17" sqref="I17"/>
    </sheetView>
  </sheetViews>
  <sheetFormatPr defaultRowHeight="15" x14ac:dyDescent="0.25"/>
  <cols>
    <col min="1" max="1" width="30.5703125" customWidth="1"/>
    <col min="2" max="2" width="21.28515625" customWidth="1"/>
    <col min="3" max="3" width="21.140625" customWidth="1"/>
    <col min="4" max="5" width="6.85546875" customWidth="1"/>
    <col min="6" max="6" width="9.5703125" customWidth="1"/>
    <col min="7" max="7" width="10.7109375" bestFit="1" customWidth="1"/>
  </cols>
  <sheetData>
    <row r="1" spans="1:5" s="2" customFormat="1" x14ac:dyDescent="0.25">
      <c r="A1" s="2" t="s">
        <v>110</v>
      </c>
    </row>
    <row r="2" spans="1:5" x14ac:dyDescent="0.25">
      <c r="A2" s="8" t="s">
        <v>111</v>
      </c>
      <c r="B2" t="s">
        <v>112</v>
      </c>
    </row>
    <row r="4" spans="1:5" x14ac:dyDescent="0.25">
      <c r="A4" s="8" t="s">
        <v>113</v>
      </c>
      <c r="B4" s="8" t="s">
        <v>114</v>
      </c>
      <c r="C4" t="s">
        <v>49</v>
      </c>
      <c r="D4" t="s">
        <v>115</v>
      </c>
      <c r="E4" t="s">
        <v>116</v>
      </c>
    </row>
    <row r="5" spans="1:5" x14ac:dyDescent="0.25">
      <c r="A5" t="s">
        <v>47</v>
      </c>
      <c r="B5" t="s">
        <v>48</v>
      </c>
      <c r="C5" s="18">
        <v>2748.0000000000014</v>
      </c>
      <c r="D5" t="s">
        <v>40</v>
      </c>
      <c r="E5" t="s">
        <v>63</v>
      </c>
    </row>
    <row r="6" spans="1:5" x14ac:dyDescent="0.25">
      <c r="A6" t="s">
        <v>47</v>
      </c>
      <c r="B6" t="s">
        <v>46</v>
      </c>
      <c r="C6" s="18">
        <v>12225.199999999995</v>
      </c>
      <c r="D6" t="s">
        <v>8</v>
      </c>
      <c r="E6" t="s">
        <v>63</v>
      </c>
    </row>
    <row r="7" spans="1:5" x14ac:dyDescent="0.25">
      <c r="A7" t="s">
        <v>20</v>
      </c>
      <c r="B7" t="s">
        <v>48</v>
      </c>
      <c r="C7" s="18">
        <v>13054.200000000004</v>
      </c>
      <c r="D7" t="s">
        <v>40</v>
      </c>
      <c r="E7" t="s">
        <v>90</v>
      </c>
    </row>
    <row r="8" spans="1:5" x14ac:dyDescent="0.25">
      <c r="A8" t="s">
        <v>20</v>
      </c>
      <c r="B8" t="s">
        <v>44</v>
      </c>
      <c r="C8" s="18">
        <v>7853.7400000000025</v>
      </c>
      <c r="D8" t="s">
        <v>82</v>
      </c>
      <c r="E8" t="s">
        <v>90</v>
      </c>
    </row>
    <row r="9" spans="1:5" x14ac:dyDescent="0.25">
      <c r="A9" t="s">
        <v>20</v>
      </c>
      <c r="B9" t="s">
        <v>46</v>
      </c>
      <c r="C9" s="18">
        <v>11199.420000000006</v>
      </c>
      <c r="D9" t="s">
        <v>13</v>
      </c>
      <c r="E9" t="s">
        <v>90</v>
      </c>
    </row>
    <row r="10" spans="1:5" x14ac:dyDescent="0.25">
      <c r="A10" t="s">
        <v>20</v>
      </c>
      <c r="B10" t="s">
        <v>45</v>
      </c>
      <c r="C10" s="18">
        <v>1400</v>
      </c>
      <c r="D10" t="s">
        <v>42</v>
      </c>
      <c r="E10" t="s">
        <v>90</v>
      </c>
    </row>
    <row r="11" spans="1:5" x14ac:dyDescent="0.25">
      <c r="A11" t="s">
        <v>18</v>
      </c>
      <c r="B11" t="s">
        <v>48</v>
      </c>
      <c r="C11" s="18">
        <v>3052</v>
      </c>
      <c r="D11" t="s">
        <v>40</v>
      </c>
      <c r="E11" t="s">
        <v>63</v>
      </c>
    </row>
    <row r="12" spans="1:5" x14ac:dyDescent="0.25">
      <c r="A12" t="s">
        <v>18</v>
      </c>
      <c r="B12" t="s">
        <v>44</v>
      </c>
      <c r="C12" s="18">
        <v>353</v>
      </c>
      <c r="D12" t="s">
        <v>82</v>
      </c>
      <c r="E12" t="s">
        <v>63</v>
      </c>
    </row>
    <row r="13" spans="1:5" x14ac:dyDescent="0.25">
      <c r="A13" t="s">
        <v>18</v>
      </c>
      <c r="B13" t="s">
        <v>46</v>
      </c>
      <c r="C13" s="18">
        <v>13818</v>
      </c>
      <c r="D13" t="s">
        <v>8</v>
      </c>
      <c r="E13" t="s">
        <v>90</v>
      </c>
    </row>
    <row r="14" spans="1:5" x14ac:dyDescent="0.25">
      <c r="A14" t="s">
        <v>18</v>
      </c>
      <c r="B14" t="s">
        <v>45</v>
      </c>
      <c r="C14" s="18">
        <v>19459.899999999998</v>
      </c>
      <c r="D14" t="s">
        <v>42</v>
      </c>
      <c r="E14" t="s">
        <v>63</v>
      </c>
    </row>
    <row r="15" spans="1:5" x14ac:dyDescent="0.25">
      <c r="B15" s="6"/>
    </row>
    <row r="16" spans="1:5" s="2" customFormat="1" x14ac:dyDescent="0.25">
      <c r="A16" s="2" t="s">
        <v>79</v>
      </c>
      <c r="B16" s="13"/>
    </row>
    <row r="17" spans="1:6" x14ac:dyDescent="0.25">
      <c r="B17" s="6" t="s">
        <v>90</v>
      </c>
      <c r="C17" t="s">
        <v>63</v>
      </c>
      <c r="D17" t="s">
        <v>78</v>
      </c>
      <c r="E17" t="s">
        <v>80</v>
      </c>
    </row>
    <row r="18" spans="1:6" x14ac:dyDescent="0.25">
      <c r="A18" s="10" t="s">
        <v>40</v>
      </c>
      <c r="B18" s="19">
        <v>13054.200000000004</v>
      </c>
      <c r="C18" s="19">
        <v>5800.0000000000018</v>
      </c>
      <c r="D18">
        <v>1</v>
      </c>
      <c r="E18">
        <v>0.69237623447295571</v>
      </c>
      <c r="F18">
        <v>18854.200000000004</v>
      </c>
    </row>
    <row r="19" spans="1:6" x14ac:dyDescent="0.25">
      <c r="A19" t="s">
        <v>8</v>
      </c>
      <c r="B19" s="19">
        <v>13818</v>
      </c>
      <c r="C19" s="19">
        <v>12225.199999999995</v>
      </c>
      <c r="D19">
        <v>0</v>
      </c>
      <c r="E19">
        <v>0</v>
      </c>
      <c r="F19">
        <v>26043.199999999997</v>
      </c>
    </row>
    <row r="20" spans="1:6" x14ac:dyDescent="0.25">
      <c r="A20" s="12" t="s">
        <v>81</v>
      </c>
      <c r="B20" s="14">
        <v>0</v>
      </c>
      <c r="C20" s="14">
        <v>0</v>
      </c>
      <c r="D20">
        <v>0</v>
      </c>
      <c r="E20">
        <v>0</v>
      </c>
      <c r="F20">
        <v>0</v>
      </c>
    </row>
    <row r="21" spans="1:6" x14ac:dyDescent="0.25">
      <c r="A21" s="12" t="s">
        <v>9</v>
      </c>
      <c r="B21" s="14">
        <v>0</v>
      </c>
      <c r="C21" s="14">
        <v>0</v>
      </c>
      <c r="D21">
        <v>0</v>
      </c>
      <c r="E21">
        <v>0</v>
      </c>
      <c r="F21">
        <v>0</v>
      </c>
    </row>
    <row r="22" spans="1:6" x14ac:dyDescent="0.25">
      <c r="A22" t="s">
        <v>41</v>
      </c>
      <c r="B22" s="14">
        <v>0</v>
      </c>
      <c r="C22" s="14">
        <v>0</v>
      </c>
      <c r="D22">
        <v>0</v>
      </c>
      <c r="E22">
        <v>0</v>
      </c>
      <c r="F22">
        <v>0</v>
      </c>
    </row>
    <row r="23" spans="1:6" x14ac:dyDescent="0.25">
      <c r="A23" t="s">
        <v>10</v>
      </c>
      <c r="B23" s="20">
        <v>15.439562654008</v>
      </c>
      <c r="C23">
        <v>0</v>
      </c>
      <c r="D23">
        <v>0</v>
      </c>
      <c r="E23">
        <v>0</v>
      </c>
      <c r="F23">
        <v>15.439562654008</v>
      </c>
    </row>
    <row r="24" spans="1:6" x14ac:dyDescent="0.25">
      <c r="A24" t="s">
        <v>11</v>
      </c>
      <c r="B24" s="14">
        <v>0</v>
      </c>
      <c r="C24" s="14">
        <v>0</v>
      </c>
      <c r="D24">
        <v>0</v>
      </c>
      <c r="E24">
        <v>0</v>
      </c>
      <c r="F24">
        <v>0</v>
      </c>
    </row>
    <row r="25" spans="1:6" x14ac:dyDescent="0.25">
      <c r="A25" s="10" t="s">
        <v>42</v>
      </c>
      <c r="B25" s="19">
        <v>1400</v>
      </c>
      <c r="C25" s="19">
        <v>19459.899999999998</v>
      </c>
      <c r="D25">
        <v>1</v>
      </c>
      <c r="E25">
        <v>6.7114415697103066E-2</v>
      </c>
      <c r="F25">
        <v>20859.899999999998</v>
      </c>
    </row>
    <row r="26" spans="1:6" x14ac:dyDescent="0.25">
      <c r="A26" t="s">
        <v>12</v>
      </c>
      <c r="B26" s="14">
        <v>0</v>
      </c>
      <c r="C26" s="14">
        <v>0</v>
      </c>
      <c r="D26">
        <v>0</v>
      </c>
      <c r="E26">
        <v>0</v>
      </c>
      <c r="F26">
        <v>0</v>
      </c>
    </row>
    <row r="27" spans="1:6" x14ac:dyDescent="0.25">
      <c r="A27" s="10" t="s">
        <v>82</v>
      </c>
      <c r="B27" s="19">
        <v>7853.7400000000025</v>
      </c>
      <c r="C27" s="19">
        <v>353</v>
      </c>
      <c r="D27">
        <v>1</v>
      </c>
      <c r="E27">
        <v>0.95698657444978164</v>
      </c>
      <c r="F27">
        <v>8206.7400000000016</v>
      </c>
    </row>
    <row r="28" spans="1:6" x14ac:dyDescent="0.25">
      <c r="A28" t="s">
        <v>13</v>
      </c>
      <c r="B28" s="19">
        <v>11199.420000000006</v>
      </c>
      <c r="C28" s="19">
        <v>0</v>
      </c>
      <c r="D28">
        <v>1</v>
      </c>
      <c r="E28">
        <v>1</v>
      </c>
      <c r="F28">
        <v>11199.420000000006</v>
      </c>
    </row>
    <row r="29" spans="1:6" x14ac:dyDescent="0.25">
      <c r="A29" s="7" t="s">
        <v>109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>
        <v>0</v>
      </c>
      <c r="D30">
        <v>0</v>
      </c>
      <c r="E30">
        <v>0</v>
      </c>
      <c r="F30">
        <v>0</v>
      </c>
    </row>
    <row r="33" spans="1:1" x14ac:dyDescent="0.25">
      <c r="A33" s="1" t="s">
        <v>83</v>
      </c>
    </row>
    <row r="34" spans="1:1" x14ac:dyDescent="0.25">
      <c r="A34" t="s">
        <v>117</v>
      </c>
    </row>
    <row r="35" spans="1:1" x14ac:dyDescent="0.25">
      <c r="A35" t="s">
        <v>84</v>
      </c>
    </row>
    <row r="36" spans="1:1" x14ac:dyDescent="0.25">
      <c r="A36" t="s">
        <v>85</v>
      </c>
    </row>
    <row r="37" spans="1:1" x14ac:dyDescent="0.25">
      <c r="A37" t="s">
        <v>118</v>
      </c>
    </row>
    <row r="38" spans="1:1" x14ac:dyDescent="0.25">
      <c r="A38" t="s">
        <v>119</v>
      </c>
    </row>
    <row r="39" spans="1:1" x14ac:dyDescent="0.25">
      <c r="A39" t="s">
        <v>120</v>
      </c>
    </row>
    <row r="40" spans="1:1" x14ac:dyDescent="0.25">
      <c r="A40" t="s">
        <v>121</v>
      </c>
    </row>
    <row r="41" spans="1:1" x14ac:dyDescent="0.25">
      <c r="A41" t="s">
        <v>122</v>
      </c>
    </row>
    <row r="42" spans="1:1" x14ac:dyDescent="0.25">
      <c r="A4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25" sqref="E25"/>
    </sheetView>
  </sheetViews>
  <sheetFormatPr defaultRowHeight="15" x14ac:dyDescent="0.25"/>
  <cols>
    <col min="1" max="1" width="19.85546875" customWidth="1"/>
    <col min="2" max="2" width="16.5703125" customWidth="1"/>
    <col min="3" max="3" width="17.42578125" customWidth="1"/>
    <col min="4" max="4" width="18.7109375" bestFit="1" customWidth="1"/>
    <col min="5" max="5" width="21.5703125" customWidth="1"/>
  </cols>
  <sheetData>
    <row r="1" spans="1:7" x14ac:dyDescent="0.25">
      <c r="A1" t="s">
        <v>75</v>
      </c>
      <c r="B1" t="s">
        <v>76</v>
      </c>
      <c r="C1" s="5" t="s">
        <v>77</v>
      </c>
      <c r="D1" t="s">
        <v>88</v>
      </c>
      <c r="E1" t="s">
        <v>89</v>
      </c>
      <c r="F1" t="s">
        <v>91</v>
      </c>
    </row>
    <row r="2" spans="1:7" x14ac:dyDescent="0.25">
      <c r="A2" t="s">
        <v>40</v>
      </c>
      <c r="B2" t="s">
        <v>47</v>
      </c>
      <c r="C2">
        <f>SUMIFS('Start Year Capacity Data'!$C$5:$C$14,'Start Year Capacity Data'!$B$5:$B$14,Calculations!A2,'Start Year Capacity Data'!$A$5:$A$14,Calculations!B2)</f>
        <v>2748.0000000000014</v>
      </c>
      <c r="D2" t="s">
        <v>40</v>
      </c>
      <c r="E2" t="s">
        <v>63</v>
      </c>
      <c r="F2" s="11">
        <f>'KSA Heat Rates'!B26</f>
        <v>13632860.429195832</v>
      </c>
    </row>
    <row r="3" spans="1:7" x14ac:dyDescent="0.25">
      <c r="A3" t="s">
        <v>40</v>
      </c>
      <c r="B3" t="s">
        <v>18</v>
      </c>
      <c r="C3">
        <f>SUMIFS('Start Year Capacity Data'!$C$5:$C$14,'Start Year Capacity Data'!$B$5:$B$14,Calculations!A3,'Start Year Capacity Data'!$A$5:$A$14,Calculations!B3)</f>
        <v>3052</v>
      </c>
      <c r="D3" t="s">
        <v>40</v>
      </c>
      <c r="E3" t="s">
        <v>63</v>
      </c>
      <c r="F3" s="11">
        <f>'KSA Heat Rates'!B24</f>
        <v>16408451.426896011</v>
      </c>
    </row>
    <row r="4" spans="1:7" x14ac:dyDescent="0.25">
      <c r="A4" t="s">
        <v>40</v>
      </c>
      <c r="B4" t="s">
        <v>20</v>
      </c>
      <c r="C4">
        <f>SUMIFS('Start Year Capacity Data'!$C$5:$C$14,'Start Year Capacity Data'!$B$5:$B$14,Calculations!A4,'Start Year Capacity Data'!$A$5:$A$14,Calculations!B4)</f>
        <v>13054.200000000004</v>
      </c>
      <c r="D4" t="s">
        <v>40</v>
      </c>
      <c r="E4" t="s">
        <v>90</v>
      </c>
      <c r="F4" s="11">
        <f xml:space="preserve"> 'KSA Heat Rates'!B22</f>
        <v>10710742.898761837</v>
      </c>
    </row>
    <row r="5" spans="1:7" x14ac:dyDescent="0.25">
      <c r="A5" t="s">
        <v>124</v>
      </c>
      <c r="C5">
        <f>SUMIFS('Start Year Capacity Data'!$C$5:$C$14,'Start Year Capacity Data'!$B$5:$B$14,Calculations!A5,'Start Year Capacity Data'!$A$5:$A$14,Calculations!B5)</f>
        <v>0</v>
      </c>
      <c r="D5" t="s">
        <v>42</v>
      </c>
      <c r="F5">
        <v>0</v>
      </c>
    </row>
    <row r="6" spans="1:7" x14ac:dyDescent="0.25">
      <c r="A6" t="s">
        <v>124</v>
      </c>
      <c r="B6" t="s">
        <v>18</v>
      </c>
      <c r="C6">
        <f>SUMIFS('Start Year Capacity Data'!$C$5:$C$14,'Start Year Capacity Data'!$B$5:$B$14,Calculations!A6,'Start Year Capacity Data'!$A$5:$A$14,Calculations!B6)</f>
        <v>19459.899999999998</v>
      </c>
      <c r="D6" t="s">
        <v>42</v>
      </c>
      <c r="E6" t="s">
        <v>63</v>
      </c>
      <c r="F6" s="11">
        <f>'KSA Heat Rates'!D24</f>
        <v>13550000</v>
      </c>
      <c r="G6" t="s">
        <v>92</v>
      </c>
    </row>
    <row r="7" spans="1:7" x14ac:dyDescent="0.25">
      <c r="A7" t="s">
        <v>124</v>
      </c>
      <c r="B7" t="s">
        <v>20</v>
      </c>
      <c r="C7">
        <f>SUMIFS('Start Year Capacity Data'!$C$5:$C$14,'Start Year Capacity Data'!$B$5:$B$14,Calculations!A7,'Start Year Capacity Data'!$A$5:$A$14,Calculations!B7)</f>
        <v>1400</v>
      </c>
      <c r="D7" t="s">
        <v>42</v>
      </c>
      <c r="E7" t="s">
        <v>90</v>
      </c>
      <c r="F7" s="11">
        <f>'KSA Heat Rates'!C22</f>
        <v>10200000</v>
      </c>
    </row>
    <row r="8" spans="1:7" x14ac:dyDescent="0.25">
      <c r="A8" t="s">
        <v>82</v>
      </c>
      <c r="C8">
        <f>SUMIFS('Start Year Capacity Data'!$C$5:$C$14,'Start Year Capacity Data'!$B$5:$B$14,Calculations!A8,'Start Year Capacity Data'!$A$5:$A$14,Calculations!B8)</f>
        <v>0</v>
      </c>
      <c r="D8" t="s">
        <v>82</v>
      </c>
      <c r="F8">
        <v>0</v>
      </c>
    </row>
    <row r="9" spans="1:7" x14ac:dyDescent="0.25">
      <c r="A9" t="s">
        <v>82</v>
      </c>
      <c r="B9" t="s">
        <v>18</v>
      </c>
      <c r="C9">
        <f>SUMIFS('Start Year Capacity Data'!$C$5:$C$14,'Start Year Capacity Data'!$B$5:$B$14,Calculations!A9,'Start Year Capacity Data'!$A$5:$A$14,Calculations!B9)</f>
        <v>353</v>
      </c>
      <c r="D9" t="s">
        <v>82</v>
      </c>
      <c r="E9" t="s">
        <v>63</v>
      </c>
      <c r="F9" s="11">
        <f>'KSA Heat Rates'!D24</f>
        <v>13550000</v>
      </c>
    </row>
    <row r="10" spans="1:7" x14ac:dyDescent="0.25">
      <c r="A10" t="s">
        <v>82</v>
      </c>
      <c r="B10" t="s">
        <v>20</v>
      </c>
      <c r="C10">
        <f>SUMIFS('Start Year Capacity Data'!$C$5:$C$14,'Start Year Capacity Data'!$B$5:$B$14,Calculations!A10,'Start Year Capacity Data'!$A$5:$A$14,Calculations!B10)</f>
        <v>7853.7400000000025</v>
      </c>
      <c r="D10" t="s">
        <v>82</v>
      </c>
      <c r="E10" t="s">
        <v>90</v>
      </c>
      <c r="F10" s="11">
        <f>'KSA Heat Rates'!D22</f>
        <v>10200000</v>
      </c>
    </row>
    <row r="11" spans="1:7" x14ac:dyDescent="0.25">
      <c r="A11" t="s">
        <v>97</v>
      </c>
      <c r="B11" t="s">
        <v>47</v>
      </c>
      <c r="C11">
        <f>SUMIFS('Start Year Capacity Data'!$C$5:$C$14,'Start Year Capacity Data'!$B$5:$B$14,Calculations!A11,'Start Year Capacity Data'!$A$5:$A$14,Calculations!B11)</f>
        <v>12225.199999999995</v>
      </c>
      <c r="D11" t="s">
        <v>8</v>
      </c>
      <c r="E11" t="s">
        <v>63</v>
      </c>
      <c r="F11" s="11">
        <f>'KSA Heat Rates'!E26</f>
        <v>7655000</v>
      </c>
    </row>
    <row r="12" spans="1:7" x14ac:dyDescent="0.25">
      <c r="A12" t="s">
        <v>97</v>
      </c>
      <c r="B12" t="s">
        <v>20</v>
      </c>
      <c r="C12">
        <f>SUMIFS('Start Year Capacity Data'!$C$5:$C$14,'Start Year Capacity Data'!$B$5:$B$14,Calculations!A12,'Start Year Capacity Data'!$A$5:$A$14,Calculations!B12)</f>
        <v>11199.420000000006</v>
      </c>
      <c r="D12" t="s">
        <v>13</v>
      </c>
      <c r="E12" t="s">
        <v>90</v>
      </c>
      <c r="F12" s="11">
        <f>'KSA Heat Rates'!E24</f>
        <v>14484340</v>
      </c>
    </row>
    <row r="13" spans="1:7" x14ac:dyDescent="0.25">
      <c r="A13" t="s">
        <v>97</v>
      </c>
      <c r="B13" t="s">
        <v>18</v>
      </c>
      <c r="C13">
        <f>SUMIFS('Start Year Capacity Data'!$C$5:$C$14,'Start Year Capacity Data'!$B$5:$B$14,Calculations!A13,'Start Year Capacity Data'!$A$5:$A$14,Calculations!B13)</f>
        <v>13818</v>
      </c>
      <c r="D13" t="s">
        <v>8</v>
      </c>
      <c r="E13" t="s">
        <v>90</v>
      </c>
      <c r="F13" s="11">
        <f>'KSA Heat Rates'!E22</f>
        <v>10370000</v>
      </c>
    </row>
    <row r="17" spans="1:5" ht="30" x14ac:dyDescent="0.25">
      <c r="B17" t="s">
        <v>90</v>
      </c>
      <c r="C17" s="5" t="s">
        <v>63</v>
      </c>
      <c r="D17" t="s">
        <v>7</v>
      </c>
    </row>
    <row r="18" spans="1:5" x14ac:dyDescent="0.25">
      <c r="A18" s="12" t="s">
        <v>40</v>
      </c>
      <c r="B18" s="11">
        <f t="array" ref="B18">SUMPRODUCT(IF($D$2:$D$13=$A18,IF($E$2:$E$13=B$17,$F$2:$F$13)),IF($D$2:$D$13=$A18,IF($E$2:$E$13=B$17,$C$2:$C$13)))/SUMIFS($C$2:$C$13,$D$2:$D$13,$A18,$E$2:$E$13,B$17)</f>
        <v>10710742.898761837</v>
      </c>
      <c r="C18" s="11">
        <f t="array" ref="C18">SUMPRODUCT(IF($D$2:$D$13=$A18,IF($E$2:$E$13=C$17,$F$2:$F$13)),IF($D$2:$D$13=$A18,IF($E$2:$E$13=C$17,$C$2:$C$13)))/SUMIFS($C$2:$C$13,$D$2:$D$13,$A18,$E$2:$E$13,C$17)</f>
        <v>15093395.554192547</v>
      </c>
      <c r="D18" s="11">
        <f>'KSA Heat Rates'!B27</f>
        <v>9676000</v>
      </c>
    </row>
    <row r="19" spans="1:5" x14ac:dyDescent="0.25">
      <c r="A19" s="12" t="s">
        <v>8</v>
      </c>
      <c r="B19" s="11">
        <f t="array" ref="B19">SUMPRODUCT(IF($D$2:$D$13=$A19,IF($E$2:$E$13=B$17,$F$2:$F$13)),IF($D$2:$D$13=$A19,IF($E$2:$E$13=B$17,$C$2:$C$13)))/SUMIFS($C$2:$C$13,$D$2:$D$13,$A19,$E$2:$E$13,B$17)</f>
        <v>10370000</v>
      </c>
      <c r="C19" s="11">
        <f t="array" ref="C19">SUMPRODUCT(IF($D$2:$D$13=$A19,IF($E$2:$E$13=C$17,$F$2:$F$13)),IF($D$2:$D$13=$A19,IF($E$2:$E$13=C$17,$C$2:$C$13)))/SUMIFS($C$2:$C$13,$D$2:$D$13,$A19,$E$2:$E$13,C$17)</f>
        <v>7655000</v>
      </c>
      <c r="D19" s="11">
        <f>'KSA Heat Rates'!E27</f>
        <v>7655000</v>
      </c>
    </row>
    <row r="20" spans="1:5" x14ac:dyDescent="0.25">
      <c r="A20" s="12" t="s">
        <v>81</v>
      </c>
      <c r="B20" s="11">
        <v>0</v>
      </c>
      <c r="C20" s="11">
        <f>'KSA Heat Rates'!C55</f>
        <v>0</v>
      </c>
      <c r="D20" s="11">
        <f>'KSA Heat Rates'!F29</f>
        <v>56869027.200000003</v>
      </c>
    </row>
    <row r="21" spans="1:5" x14ac:dyDescent="0.25">
      <c r="A21" s="12" t="s">
        <v>9</v>
      </c>
      <c r="B21" s="11">
        <f>'KSA Heat Rates'!B56</f>
        <v>0</v>
      </c>
      <c r="C21" s="11">
        <f>'KSA Heat Rates'!C56</f>
        <v>0</v>
      </c>
      <c r="D21" s="11">
        <f>'KSA Heat Rates'!D56</f>
        <v>0</v>
      </c>
    </row>
    <row r="22" spans="1:5" x14ac:dyDescent="0.25">
      <c r="A22" s="12" t="s">
        <v>41</v>
      </c>
      <c r="B22" s="11">
        <f>'KSA Heat Rates'!B57</f>
        <v>0</v>
      </c>
      <c r="C22" s="11">
        <f>'KSA Heat Rates'!C57</f>
        <v>0</v>
      </c>
      <c r="D22" s="11">
        <f>'KSA Heat Rates'!D57</f>
        <v>0</v>
      </c>
    </row>
    <row r="23" spans="1:5" x14ac:dyDescent="0.25">
      <c r="A23" s="12" t="s">
        <v>10</v>
      </c>
      <c r="B23" s="11">
        <f>'KSA Heat Rates'!B58</f>
        <v>0</v>
      </c>
      <c r="C23" s="11">
        <f>'KSA Heat Rates'!C58</f>
        <v>0</v>
      </c>
      <c r="D23" s="11">
        <f>'KSA Heat Rates'!D58</f>
        <v>0</v>
      </c>
    </row>
    <row r="24" spans="1:5" x14ac:dyDescent="0.25">
      <c r="A24" s="12" t="s">
        <v>11</v>
      </c>
      <c r="B24" s="11">
        <f>'KSA Heat Rates'!B59</f>
        <v>0</v>
      </c>
      <c r="C24" s="11">
        <f>'KSA Heat Rates'!C59</f>
        <v>0</v>
      </c>
      <c r="D24" s="11">
        <f>'KSA Heat Rates'!D59</f>
        <v>0</v>
      </c>
    </row>
    <row r="25" spans="1:5" x14ac:dyDescent="0.25">
      <c r="A25" s="12" t="s">
        <v>42</v>
      </c>
      <c r="B25" s="11">
        <f t="array" ref="B25">SUMPRODUCT(IF($D$2:$D$13=$A25,IF($E$2:$E$13=B$17,$F$2:$F$13)),IF($D$2:$D$13=$A25,IF($E$2:$E$13=B$17,$C$2:$C$13)))/SUMIFS($C$2:$C$13,$D$2:$D$13,$A25,$E$2:$E$13,B$17)</f>
        <v>10200000</v>
      </c>
      <c r="C25" s="11">
        <f t="array" ref="C25">SUMPRODUCT(IF($D$2:$D$13=$A25,IF($E$2:$E$13=C$17,$F$2:$F$13)),IF($D$2:$D$13=$A25,IF($E$2:$E$13=C$17,$C$2:$C$13)))/SUMIFS($C$2:$C$13,$D$2:$D$13,$A25,$E$2:$E$13,C$17)</f>
        <v>13550000</v>
      </c>
      <c r="D25" s="11">
        <f>D27</f>
        <v>9676000</v>
      </c>
      <c r="E25" t="s">
        <v>92</v>
      </c>
    </row>
    <row r="26" spans="1:5" x14ac:dyDescent="0.25">
      <c r="A26" s="12" t="s">
        <v>12</v>
      </c>
      <c r="B26" s="11">
        <f>'KSA Heat Rates'!B61</f>
        <v>0</v>
      </c>
      <c r="C26" s="11">
        <f>'KSA Heat Rates'!C61</f>
        <v>0</v>
      </c>
      <c r="D26" s="11">
        <f>'KSA Heat Rates'!D61</f>
        <v>0</v>
      </c>
    </row>
    <row r="27" spans="1:5" x14ac:dyDescent="0.25">
      <c r="A27" s="12" t="s">
        <v>82</v>
      </c>
      <c r="B27" s="11">
        <f t="array" ref="B27">SUMPRODUCT(IF($D$2:$D$13=$A27,IF($E$2:$E$13=B$17,$F$2:$F$13)),IF($D$2:$D$13=$A27,IF($E$2:$E$13=B$17,$C$2:$C$13)))/SUMIFS($C$2:$C$13,$D$2:$D$13,$A27,$E$2:$E$13,B$17)</f>
        <v>10200000</v>
      </c>
      <c r="C27" s="11">
        <f t="array" ref="C27">SUMPRODUCT(IF($D$2:$D$13=$A27,IF($E$2:$E$13=C$17,$F$2:$F$13)),IF($D$2:$D$13=$A27,IF($E$2:$E$13=C$17,$C$2:$C$13)))/SUMIFS($C$2:$C$13,$D$2:$D$13,$A27,$E$2:$E$13,C$17)</f>
        <v>13550000</v>
      </c>
      <c r="D27" s="11">
        <f>'KSA Heat Rates'!D27</f>
        <v>9676000</v>
      </c>
    </row>
    <row r="28" spans="1:5" x14ac:dyDescent="0.25">
      <c r="A28" s="12" t="s">
        <v>13</v>
      </c>
      <c r="B28" s="11">
        <f t="array" ref="B28">SUMPRODUCT(IF($D$2:$D$13=$A28,IF($E$2:$E$13=B$17,$F$2:$F$13)),IF($D$2:$D$13=$A28,IF($E$2:$E$13=B$17,$C$2:$C$13)))/SUMIFS($C$2:$C$13,$D$2:$D$13,$A28,$E$2:$E$13,B$17)</f>
        <v>14484340</v>
      </c>
      <c r="C28" s="11">
        <v>0</v>
      </c>
      <c r="D28" s="11">
        <f>'KSA Heat Rates'!E25</f>
        <v>11300000</v>
      </c>
    </row>
    <row r="29" spans="1:5" x14ac:dyDescent="0.25">
      <c r="A29" s="12" t="s">
        <v>109</v>
      </c>
      <c r="B29" s="11">
        <v>0</v>
      </c>
      <c r="C29" s="11">
        <v>0</v>
      </c>
      <c r="D29" s="11">
        <v>0</v>
      </c>
    </row>
    <row r="30" spans="1:5" x14ac:dyDescent="0.25">
      <c r="A30" s="12" t="s">
        <v>19</v>
      </c>
      <c r="B30" s="11">
        <f>'KSA Heat Rates'!B65</f>
        <v>0</v>
      </c>
      <c r="C30" s="11">
        <f>'KSA Heat Rates'!C65</f>
        <v>0</v>
      </c>
      <c r="D30" s="11">
        <f>'KSA Heat Rates'!D65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17"/>
  <sheetViews>
    <sheetView workbookViewId="0">
      <selection activeCell="F31" sqref="F31"/>
    </sheetView>
  </sheetViews>
  <sheetFormatPr defaultRowHeight="15" x14ac:dyDescent="0.25"/>
  <cols>
    <col min="1" max="1" width="20.42578125" customWidth="1"/>
    <col min="2" max="2" width="12" bestFit="1" customWidth="1"/>
    <col min="3" max="3" width="24.140625" customWidth="1"/>
    <col min="4" max="4" width="11" bestFit="1" customWidth="1"/>
  </cols>
  <sheetData>
    <row r="1" spans="1:4" ht="30" x14ac:dyDescent="0.25">
      <c r="B1" t="s">
        <v>5</v>
      </c>
      <c r="C1" s="5" t="s">
        <v>6</v>
      </c>
      <c r="D1" t="s">
        <v>7</v>
      </c>
    </row>
    <row r="2" spans="1:4" x14ac:dyDescent="0.25">
      <c r="A2" t="s">
        <v>128</v>
      </c>
      <c r="B2">
        <v>0</v>
      </c>
      <c r="C2">
        <v>0</v>
      </c>
      <c r="D2">
        <v>0</v>
      </c>
    </row>
    <row r="3" spans="1:4" x14ac:dyDescent="0.25">
      <c r="A3" t="str">
        <f>Calculations!A19</f>
        <v>natural gas nonpeaker</v>
      </c>
      <c r="B3" s="6">
        <f>Calculations!B19</f>
        <v>10370000</v>
      </c>
      <c r="C3" s="6">
        <f>Calculations!C19</f>
        <v>7655000</v>
      </c>
      <c r="D3" s="6">
        <f>Calculations!D19</f>
        <v>7655000</v>
      </c>
    </row>
    <row r="4" spans="1:4" x14ac:dyDescent="0.25">
      <c r="A4" t="str">
        <f>Calculations!A20</f>
        <v>nuclear</v>
      </c>
      <c r="B4" s="6">
        <f>Calculations!B20</f>
        <v>0</v>
      </c>
      <c r="C4" s="6">
        <f>Calculations!C20</f>
        <v>0</v>
      </c>
      <c r="D4" s="6">
        <f>Calculations!D20</f>
        <v>56869027.200000003</v>
      </c>
    </row>
    <row r="5" spans="1:4" x14ac:dyDescent="0.25">
      <c r="A5" t="str">
        <f>Calculations!A21</f>
        <v>hydro</v>
      </c>
      <c r="B5" s="6">
        <f>Calculations!B21</f>
        <v>0</v>
      </c>
      <c r="C5" s="6">
        <f>Calculations!C21</f>
        <v>0</v>
      </c>
      <c r="D5" s="6">
        <f>Calculations!D21</f>
        <v>0</v>
      </c>
    </row>
    <row r="6" spans="1:4" x14ac:dyDescent="0.25">
      <c r="A6" t="str">
        <f>Calculations!A22</f>
        <v>onshore wind</v>
      </c>
      <c r="B6" s="6">
        <f>Calculations!B22</f>
        <v>0</v>
      </c>
      <c r="C6" s="6">
        <f>Calculations!C22</f>
        <v>0</v>
      </c>
      <c r="D6" s="6">
        <f>Calculations!D22</f>
        <v>0</v>
      </c>
    </row>
    <row r="7" spans="1:4" x14ac:dyDescent="0.25">
      <c r="A7" t="str">
        <f>Calculations!A23</f>
        <v>solar PV</v>
      </c>
      <c r="B7" s="6">
        <f>Calculations!B23</f>
        <v>0</v>
      </c>
      <c r="C7" s="6">
        <f>Calculations!C23</f>
        <v>0</v>
      </c>
      <c r="D7" s="6">
        <f>Calculations!D23</f>
        <v>0</v>
      </c>
    </row>
    <row r="8" spans="1:4" x14ac:dyDescent="0.25">
      <c r="A8" t="str">
        <f>Calculations!A24</f>
        <v>solar thermal</v>
      </c>
      <c r="B8" s="6">
        <f>Calculations!B24</f>
        <v>0</v>
      </c>
      <c r="C8" s="6">
        <f>Calculations!C24</f>
        <v>0</v>
      </c>
      <c r="D8" s="6">
        <f>Calculations!D24</f>
        <v>0</v>
      </c>
    </row>
    <row r="9" spans="1:4" x14ac:dyDescent="0.25">
      <c r="A9" t="s">
        <v>129</v>
      </c>
      <c r="B9">
        <v>0</v>
      </c>
      <c r="C9">
        <v>0</v>
      </c>
      <c r="D9">
        <v>0</v>
      </c>
    </row>
    <row r="10" spans="1:4" x14ac:dyDescent="0.25">
      <c r="A10" t="str">
        <f>Calculations!A26</f>
        <v>geothermal</v>
      </c>
      <c r="B10" s="6">
        <f>Calculations!B26</f>
        <v>0</v>
      </c>
      <c r="C10" s="6">
        <f>Calculations!C26</f>
        <v>0</v>
      </c>
      <c r="D10" s="6">
        <f>Calculations!D26</f>
        <v>0</v>
      </c>
    </row>
    <row r="11" spans="1:4" x14ac:dyDescent="0.25">
      <c r="A11" t="str">
        <f>Calculations!A27</f>
        <v>diesel</v>
      </c>
      <c r="B11" s="6">
        <f>Calculations!B27</f>
        <v>10200000</v>
      </c>
      <c r="C11" s="6">
        <f>Calculations!C27</f>
        <v>13550000</v>
      </c>
      <c r="D11" s="6">
        <f>Calculations!D27</f>
        <v>9676000</v>
      </c>
    </row>
    <row r="12" spans="1:4" x14ac:dyDescent="0.25">
      <c r="A12" t="str">
        <f>Calculations!A28</f>
        <v>natural gas peaker</v>
      </c>
      <c r="B12" s="6">
        <f>Calculations!B28</f>
        <v>14484340</v>
      </c>
      <c r="C12" s="6">
        <f>Calculations!C28</f>
        <v>0</v>
      </c>
      <c r="D12" s="6">
        <f>Calculations!D28</f>
        <v>11300000</v>
      </c>
    </row>
    <row r="13" spans="1:4" x14ac:dyDescent="0.25">
      <c r="A13" t="str">
        <f>Calculations!A29</f>
        <v>lignite</v>
      </c>
      <c r="B13" s="6">
        <f>Calculations!B29</f>
        <v>0</v>
      </c>
      <c r="C13" s="6">
        <f>Calculations!C29</f>
        <v>0</v>
      </c>
      <c r="D13" s="6">
        <f>Calculations!D29</f>
        <v>0</v>
      </c>
    </row>
    <row r="14" spans="1:4" x14ac:dyDescent="0.25">
      <c r="A14" t="str">
        <f>Calculations!A30</f>
        <v>offshore wind</v>
      </c>
      <c r="B14" s="6">
        <f>Calculations!B30</f>
        <v>0</v>
      </c>
      <c r="C14" s="6">
        <f>Calculations!C30</f>
        <v>0</v>
      </c>
      <c r="D14" s="6">
        <f>Calculations!D30</f>
        <v>0</v>
      </c>
    </row>
    <row r="15" spans="1:4" x14ac:dyDescent="0.25">
      <c r="A15" t="s">
        <v>125</v>
      </c>
      <c r="B15" s="6">
        <f>Calculations!B18</f>
        <v>10710742.898761837</v>
      </c>
      <c r="C15" s="6">
        <f>Calculations!C18</f>
        <v>15093395.554192547</v>
      </c>
      <c r="D15" s="6">
        <f>Calculations!D18</f>
        <v>9676000</v>
      </c>
    </row>
    <row r="16" spans="1:4" x14ac:dyDescent="0.25">
      <c r="A16" t="s">
        <v>126</v>
      </c>
      <c r="B16" s="6">
        <f>Calculations!B25</f>
        <v>10200000</v>
      </c>
      <c r="C16" s="6">
        <f>Calculations!C25</f>
        <v>13550000</v>
      </c>
      <c r="D16" s="6">
        <f>Calculations!D25</f>
        <v>9676000</v>
      </c>
    </row>
    <row r="17" spans="1:4" x14ac:dyDescent="0.25">
      <c r="A17" t="s">
        <v>127</v>
      </c>
      <c r="B17" s="6">
        <v>0</v>
      </c>
      <c r="C17" s="6">
        <v>0</v>
      </c>
      <c r="D1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Energy Conversions</vt:lpstr>
      <vt:lpstr>KSA Heat Rates</vt:lpstr>
      <vt:lpstr>Start Year Capacity Data</vt:lpstr>
      <vt:lpstr>Calculations</vt:lpstr>
      <vt:lpstr>BHRbEF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2016-02-26T23:55:43Z</dcterms:created>
  <dcterms:modified xsi:type="dcterms:W3CDTF">2019-08-28T18:14:48Z</dcterms:modified>
</cp:coreProperties>
</file>