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elec\BHRbEF\"/>
    </mc:Choice>
  </mc:AlternateContent>
  <xr:revisionPtr revIDLastSave="0" documentId="13_ncr:1_{0716DE96-9D76-4DA6-B054-567585710A3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BFPaT_biomass" sheetId="12" r:id="rId2"/>
    <sheet name="fuel consumption &amp; power" sheetId="19" r:id="rId3"/>
    <sheet name="heat of nuclear gen" sheetId="21" r:id="rId4"/>
    <sheet name="outlook of power" sheetId="20" r:id="rId5"/>
    <sheet name="Cal" sheetId="14" r:id="rId6"/>
    <sheet name="US values" sheetId="22" r:id="rId7"/>
    <sheet name="existing natural gas" sheetId="24" r:id="rId8"/>
    <sheet name="IEA heat rates" sheetId="23" r:id="rId9"/>
    <sheet name="BHRbEF" sheetId="17" r:id="rId10"/>
  </sheets>
  <externalReferences>
    <externalReference r:id="rId11"/>
  </externalReferenc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7" l="1"/>
  <c r="D4" i="17"/>
  <c r="A60" i="23"/>
  <c r="A61" i="23" s="1"/>
  <c r="B3" i="17"/>
  <c r="A8" i="24"/>
  <c r="D3" i="17" l="1"/>
  <c r="D2" i="17"/>
  <c r="A42" i="23"/>
  <c r="A43" i="23" s="1"/>
  <c r="A21" i="23"/>
  <c r="A22" i="23" s="1"/>
  <c r="A23" i="23" s="1"/>
  <c r="D36" i="1" l="1"/>
  <c r="C17" i="17"/>
  <c r="D17" i="17"/>
  <c r="B17" i="17"/>
  <c r="C15" i="17"/>
  <c r="D15" i="17"/>
  <c r="B15" i="17"/>
  <c r="C12" i="17"/>
  <c r="D12" i="17"/>
  <c r="B12" i="17"/>
  <c r="B21" i="14"/>
  <c r="D35" i="1" l="1"/>
  <c r="D21" i="14" s="1"/>
  <c r="F21" i="14" s="1"/>
  <c r="C12" i="20" l="1"/>
  <c r="D12" i="20"/>
  <c r="E12" i="20"/>
  <c r="F12" i="20"/>
  <c r="G12" i="20"/>
  <c r="B12" i="20"/>
  <c r="C6" i="20"/>
  <c r="D6" i="20"/>
  <c r="E6" i="20"/>
  <c r="F6" i="20"/>
  <c r="G6" i="20"/>
  <c r="B6" i="20"/>
  <c r="C15" i="14"/>
  <c r="B15" i="14"/>
  <c r="D8" i="14"/>
  <c r="E8" i="14" s="1"/>
  <c r="D6" i="14"/>
  <c r="D16" i="14"/>
  <c r="D15" i="14"/>
  <c r="S19" i="19"/>
  <c r="S21" i="19"/>
  <c r="S20" i="19"/>
  <c r="D10" i="14" s="1"/>
  <c r="B16" i="14"/>
  <c r="C16" i="14"/>
  <c r="C10" i="14"/>
  <c r="B10" i="14"/>
  <c r="C6" i="14"/>
  <c r="B6" i="14"/>
  <c r="D4" i="14"/>
  <c r="C4" i="14"/>
  <c r="B4" i="14"/>
  <c r="E6" i="14" l="1"/>
  <c r="E10" i="14"/>
  <c r="B11" i="17" s="1"/>
  <c r="D11" i="17" s="1"/>
  <c r="E16" i="14"/>
  <c r="B16" i="17" s="1"/>
  <c r="D16" i="17" s="1"/>
  <c r="E15" i="14"/>
  <c r="B13" i="17" s="1"/>
  <c r="D13" i="17" s="1"/>
  <c r="E4" i="14"/>
  <c r="B2" i="17" s="1"/>
  <c r="E3" i="14"/>
  <c r="E7" i="14"/>
  <c r="E12" i="14"/>
  <c r="E14" i="14"/>
  <c r="E17" i="14"/>
  <c r="E13" i="14"/>
  <c r="E11" i="14"/>
  <c r="E5" i="14"/>
  <c r="D105" i="12" l="1"/>
  <c r="D106" i="12" s="1"/>
  <c r="C2" i="14" s="1"/>
  <c r="E103" i="12"/>
  <c r="D103" i="12"/>
  <c r="C103" i="12"/>
  <c r="B2" i="14" s="1"/>
  <c r="B103" i="12"/>
  <c r="E102" i="12"/>
  <c r="E104" i="12" s="1"/>
  <c r="D102" i="12"/>
  <c r="D104" i="12" s="1"/>
  <c r="C102" i="12"/>
  <c r="C104" i="12" s="1"/>
  <c r="B102" i="12"/>
  <c r="B104" i="12" s="1"/>
  <c r="E2" i="14" l="1"/>
  <c r="B9" i="17" s="1"/>
  <c r="D9" i="17" s="1"/>
  <c r="D107" i="12"/>
  <c r="E107" i="12"/>
</calcChain>
</file>

<file path=xl/sharedStrings.xml><?xml version="1.0" encoding="utf-8"?>
<sst xmlns="http://schemas.openxmlformats.org/spreadsheetml/2006/main" count="469" uniqueCount="221">
  <si>
    <t>BAU Heat Rate by Electricity Fuel</t>
  </si>
  <si>
    <t>Source:</t>
  </si>
  <si>
    <t>preexisting</t>
  </si>
  <si>
    <t>preexisting nonretiring (not used in U.S. dataset)</t>
  </si>
  <si>
    <t>newly built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</si>
  <si>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</si>
  <si>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</si>
  <si>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</si>
  <si>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</si>
  <si>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</si>
  <si>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</si>
  <si>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</si>
  <si>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</si>
  <si>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</si>
  <si>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</si>
  <si>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</si>
  <si>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</si>
  <si>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hard coal</t>
  </si>
  <si>
    <t>crude oil</t>
  </si>
  <si>
    <t>heavy or residual fuel oil</t>
  </si>
  <si>
    <t>municipal solid waste</t>
  </si>
  <si>
    <t>Heat Rate by Electricity Fuel BTU/(MW*hour)</t>
  </si>
  <si>
    <t>other</t>
  </si>
  <si>
    <t>solar pv</t>
  </si>
  <si>
    <t>소계</t>
  </si>
  <si>
    <t/>
  </si>
  <si>
    <t>원자력</t>
  </si>
  <si>
    <t>양수</t>
  </si>
  <si>
    <t>신재생</t>
  </si>
  <si>
    <t>기타</t>
  </si>
  <si>
    <t>경유</t>
  </si>
  <si>
    <t>가스</t>
  </si>
  <si>
    <r>
      <rPr>
        <sz val="11"/>
        <color theme="1"/>
        <rFont val="Calibri"/>
        <family val="3"/>
        <charset val="129"/>
        <scheme val="minor"/>
      </rPr>
      <t>수입액</t>
    </r>
    <r>
      <rPr>
        <sz val="11"/>
        <color theme="1"/>
        <rFont val="Calibri"/>
        <family val="2"/>
        <scheme val="minor"/>
      </rPr>
      <t>(1000USD)</t>
    </r>
    <phoneticPr fontId="4" type="noConversion"/>
  </si>
  <si>
    <t>수입중량</t>
    <phoneticPr fontId="4" type="noConversion"/>
  </si>
  <si>
    <t>USD/ton</t>
    <phoneticPr fontId="4" type="noConversion"/>
  </si>
  <si>
    <t>발열량</t>
    <phoneticPr fontId="4" type="noConversion"/>
  </si>
  <si>
    <t>kcal/kg</t>
    <phoneticPr fontId="4" type="noConversion"/>
  </si>
  <si>
    <t>발열량은 연도와 상관없이 1, 2, 3, 4급의 평균</t>
    <phoneticPr fontId="4" type="noConversion"/>
  </si>
  <si>
    <t>kcal/ton</t>
    <phoneticPr fontId="4" type="noConversion"/>
  </si>
  <si>
    <t>수입중량</t>
  </si>
  <si>
    <t>kcal/kg</t>
  </si>
  <si>
    <t>품목별 국가별  수출입실적</t>
  </si>
  <si>
    <t>통계기준:수리일,조회구분:2018~2021,품목명:목재 펠릿(pellet),국가:[]</t>
  </si>
  <si>
    <t>단위:천 불(USD 1,000) / 톤(TON)</t>
  </si>
  <si>
    <t>기간</t>
  </si>
  <si>
    <t>품목명</t>
  </si>
  <si>
    <t>품목코드</t>
  </si>
  <si>
    <t>국가명</t>
  </si>
  <si>
    <t>수출중량</t>
  </si>
  <si>
    <t>수출금액</t>
  </si>
  <si>
    <t>수입금액</t>
  </si>
  <si>
    <t>무역수지</t>
  </si>
  <si>
    <t>총계</t>
  </si>
  <si>
    <t>목재 펠릿(pellet)</t>
  </si>
  <si>
    <t>호주</t>
  </si>
  <si>
    <t>브라질</t>
  </si>
  <si>
    <t>캐나다</t>
  </si>
  <si>
    <t>중국</t>
  </si>
  <si>
    <t>독일</t>
  </si>
  <si>
    <t>이디오피아</t>
  </si>
  <si>
    <t>홍콩</t>
  </si>
  <si>
    <t>인도네시아</t>
  </si>
  <si>
    <t>이탈리아</t>
  </si>
  <si>
    <t>일본</t>
  </si>
  <si>
    <t>라트비아</t>
  </si>
  <si>
    <t>말레이시아</t>
  </si>
  <si>
    <t>네덜란드</t>
  </si>
  <si>
    <t>뉴질랜드</t>
  </si>
  <si>
    <t>필리핀</t>
  </si>
  <si>
    <t>폴란드</t>
  </si>
  <si>
    <t>러시아 연방</t>
  </si>
  <si>
    <t>싱가포르</t>
  </si>
  <si>
    <t>태국</t>
  </si>
  <si>
    <t>대만</t>
  </si>
  <si>
    <t>우크라이나</t>
  </si>
  <si>
    <t>미국</t>
  </si>
  <si>
    <t>우즈베크</t>
  </si>
  <si>
    <t>베트남</t>
  </si>
  <si>
    <t>남아프리카공화국</t>
  </si>
  <si>
    <t>기타국</t>
  </si>
  <si>
    <t>이집트</t>
  </si>
  <si>
    <t>스페인</t>
  </si>
  <si>
    <t>이라크</t>
  </si>
  <si>
    <t>스리랑카</t>
  </si>
  <si>
    <t>리투아니아</t>
  </si>
  <si>
    <t>칠레</t>
  </si>
  <si>
    <t>미얀마</t>
  </si>
  <si>
    <t>캄보디아</t>
  </si>
  <si>
    <t>영국</t>
  </si>
  <si>
    <t>오스트리아</t>
  </si>
  <si>
    <t>터키</t>
  </si>
  <si>
    <t>인도</t>
  </si>
  <si>
    <t>프랑스</t>
  </si>
  <si>
    <t>Notes</t>
    <phoneticPr fontId="4" type="noConversion"/>
  </si>
  <si>
    <r>
      <t>대부분</t>
    </r>
    <r>
      <rPr>
        <sz val="11"/>
        <color theme="1"/>
        <rFont val="맑은 고딕"/>
        <family val="2"/>
        <charset val="129"/>
      </rPr>
      <t xml:space="preserve"> 수입</t>
    </r>
    <phoneticPr fontId="4" type="noConversion"/>
  </si>
  <si>
    <t>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</t>
    <phoneticPr fontId="4" type="noConversion"/>
  </si>
  <si>
    <t>Page 22</t>
    <phoneticPr fontId="4" type="noConversion"/>
  </si>
  <si>
    <r>
      <rPr>
        <b/>
        <sz val="11"/>
        <color theme="1"/>
        <rFont val="Cambria Math"/>
        <family val="2"/>
      </rPr>
      <t>𝑓𝑢𝑒𝑙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mbria Math"/>
        <family val="2"/>
      </rPr>
      <t>ℎ𝑒𝑎𝑡𝑖𝑛𝑔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mbria Math"/>
        <family val="2"/>
      </rPr>
      <t>𝑣𝑎𝑙𝑢𝑒</t>
    </r>
    <phoneticPr fontId="4" type="noConversion"/>
  </si>
  <si>
    <r>
      <rPr>
        <b/>
        <sz val="11"/>
        <color theme="1"/>
        <rFont val="Cambria Math"/>
        <family val="2"/>
      </rPr>
      <t>𝑠𝑢𝑚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mbria Math"/>
        <family val="2"/>
      </rPr>
      <t>𝑜𝑓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mbria Math"/>
        <family val="2"/>
      </rPr>
      <t>𝑁𝑒𝑡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mbria Math"/>
        <family val="2"/>
      </rPr>
      <t>𝐺𝑒𝑛𝑒𝑟𝑎𝑡𝑖𝑜𝑛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mbria Math"/>
        <family val="2"/>
      </rPr>
      <t>𝑀𝑊ℎ</t>
    </r>
    <phoneticPr fontId="4" type="noConversion"/>
  </si>
  <si>
    <t>1kcal</t>
    <phoneticPr fontId="4" type="noConversion"/>
  </si>
  <si>
    <t>BTU</t>
    <phoneticPr fontId="4" type="noConversion"/>
  </si>
  <si>
    <t>start year</t>
    <phoneticPr fontId="4" type="noConversion"/>
  </si>
  <si>
    <t>unit</t>
    <phoneticPr fontId="4" type="noConversion"/>
  </si>
  <si>
    <t>Operating Heat Rate</t>
    <phoneticPr fontId="4" type="noConversion"/>
  </si>
  <si>
    <r>
      <rPr>
        <b/>
        <sz val="11"/>
        <color theme="1"/>
        <rFont val="Cambria Math"/>
        <family val="2"/>
      </rPr>
      <t>𝑎𝑚𝑜𝑢𝑛𝑡</t>
    </r>
    <r>
      <rPr>
        <b/>
        <sz val="11"/>
        <color theme="1"/>
        <rFont val="맑은 고딕"/>
        <family val="2"/>
        <charset val="129"/>
      </rPr>
      <t xml:space="preserve"> </t>
    </r>
    <r>
      <rPr>
        <b/>
        <sz val="11"/>
        <color theme="1"/>
        <rFont val="Cambria Math"/>
        <family val="2"/>
      </rPr>
      <t>𝑜𝑓</t>
    </r>
    <r>
      <rPr>
        <b/>
        <sz val="11"/>
        <color theme="1"/>
        <rFont val="맑은 고딕"/>
        <family val="2"/>
        <charset val="129"/>
      </rPr>
      <t xml:space="preserve"> </t>
    </r>
    <r>
      <rPr>
        <b/>
        <sz val="11"/>
        <color theme="1"/>
        <rFont val="Cambria Math"/>
        <family val="2"/>
      </rPr>
      <t>𝑒𝑙𝑒𝑐</t>
    </r>
    <r>
      <rPr>
        <b/>
        <sz val="11"/>
        <color theme="1"/>
        <rFont val="맑은 고딕"/>
        <family val="2"/>
        <charset val="129"/>
      </rPr>
      <t xml:space="preserve"> </t>
    </r>
    <r>
      <rPr>
        <b/>
        <sz val="11"/>
        <color theme="1"/>
        <rFont val="Cambria Math"/>
        <family val="2"/>
      </rPr>
      <t>𝑓𝑢𝑒𝑙</t>
    </r>
    <r>
      <rPr>
        <b/>
        <sz val="11"/>
        <color theme="1"/>
        <rFont val="맑은 고딕"/>
        <family val="2"/>
        <charset val="129"/>
      </rPr>
      <t xml:space="preserve"> </t>
    </r>
    <r>
      <rPr>
        <b/>
        <sz val="11"/>
        <color theme="1"/>
        <rFont val="Cambria Math"/>
        <family val="2"/>
      </rPr>
      <t>𝑐𝑜𝑛𝑠𝑢𝑚𝑝𝑡𝑖𝑜𝑛</t>
    </r>
    <phoneticPr fontId="4" type="noConversion"/>
  </si>
  <si>
    <t>(ton)</t>
    <phoneticPr fontId="4" type="noConversion"/>
  </si>
  <si>
    <t>경유</t>
    <phoneticPr fontId="4" type="noConversion"/>
  </si>
  <si>
    <t>-</t>
    <phoneticPr fontId="4" type="noConversion"/>
  </si>
  <si>
    <t>연도</t>
  </si>
  <si>
    <t>무연탄</t>
  </si>
  <si>
    <t>유연탄</t>
  </si>
  <si>
    <t>중유</t>
  </si>
  <si>
    <t>열량계10^9kcal</t>
  </si>
  <si>
    <t>1,000ton</t>
  </si>
  <si>
    <t>1,000㎘</t>
  </si>
  <si>
    <t>kcal/ℓ</t>
  </si>
  <si>
    <t>기력</t>
  </si>
  <si>
    <t>집단</t>
  </si>
  <si>
    <t>내연력</t>
  </si>
  <si>
    <t>상용자가</t>
  </si>
  <si>
    <t>총발전량</t>
  </si>
  <si>
    <t>일반수력</t>
  </si>
  <si>
    <t>소수력</t>
  </si>
  <si>
    <t>일반</t>
  </si>
  <si>
    <t>열공급</t>
  </si>
  <si>
    <t>계</t>
  </si>
  <si>
    <t>한전구입</t>
  </si>
  <si>
    <t>자가소비</t>
  </si>
  <si>
    <t>사업자+한전구입</t>
  </si>
  <si>
    <t>사업자+상용자가</t>
  </si>
  <si>
    <t>전원별 발전량</t>
    <phoneticPr fontId="4" type="noConversion"/>
  </si>
  <si>
    <t>MWh</t>
    <phoneticPr fontId="4" type="noConversion"/>
  </si>
  <si>
    <t>수력</t>
    <phoneticPr fontId="4" type="noConversion"/>
  </si>
  <si>
    <t>발전연료 사용량</t>
    <phoneticPr fontId="4" type="noConversion"/>
  </si>
  <si>
    <t>복합화력(LNG)</t>
    <phoneticPr fontId="4" type="noConversion"/>
  </si>
  <si>
    <t>LNG</t>
    <phoneticPr fontId="4" type="noConversion"/>
  </si>
  <si>
    <t>유류</t>
    <phoneticPr fontId="4" type="noConversion"/>
  </si>
  <si>
    <t>계</t>
    <phoneticPr fontId="4" type="noConversion"/>
  </si>
  <si>
    <t>빨간색 부분은 해당년도의 한국전력통계를 참고하여 수정한 수치</t>
    <phoneticPr fontId="4" type="noConversion"/>
  </si>
  <si>
    <t>2019년의 경우, 유류 및 중유의 사용이 적음</t>
    <phoneticPr fontId="4" type="noConversion"/>
  </si>
  <si>
    <t>석탄</t>
    <phoneticPr fontId="4" type="noConversion"/>
  </si>
  <si>
    <t>신재생</t>
    <phoneticPr fontId="4" type="noConversion"/>
  </si>
  <si>
    <t>기타</t>
    <phoneticPr fontId="4" type="noConversion"/>
  </si>
  <si>
    <t>양수</t>
    <phoneticPr fontId="4" type="noConversion"/>
  </si>
  <si>
    <t>발전량 비중 전망</t>
    <phoneticPr fontId="4" type="noConversion"/>
  </si>
  <si>
    <t>연도</t>
    <phoneticPr fontId="4" type="noConversion"/>
  </si>
  <si>
    <t>원자력</t>
    <phoneticPr fontId="4" type="noConversion"/>
  </si>
  <si>
    <t>목표 시나리오</t>
    <phoneticPr fontId="4" type="noConversion"/>
  </si>
  <si>
    <t>기준 시나리오</t>
    <phoneticPr fontId="4" type="noConversion"/>
  </si>
  <si>
    <t>2019대비</t>
    <phoneticPr fontId="4" type="noConversion"/>
  </si>
  <si>
    <t>1toe</t>
    <phoneticPr fontId="4" type="noConversion"/>
  </si>
  <si>
    <t>kcal</t>
    <phoneticPr fontId="4" type="noConversion"/>
  </si>
  <si>
    <t>1000toe</t>
    <phoneticPr fontId="4" type="noConversion"/>
  </si>
  <si>
    <t>EPSIS</t>
    <phoneticPr fontId="4" type="noConversion"/>
  </si>
  <si>
    <t>http://epsis.kpx.or.kr/epsisnew/selectEkgeFfuChart.do?menuId=060200</t>
    <phoneticPr fontId="4" type="noConversion"/>
  </si>
  <si>
    <t>http://epsis.kpx.or.kr/epsisnew/selectEkgeGepTotChart.do?menuId=060101</t>
    <phoneticPr fontId="4" type="noConversion"/>
  </si>
  <si>
    <t>KEPCO</t>
    <phoneticPr fontId="4" type="noConversion"/>
  </si>
  <si>
    <t>2019, 2020, 2021</t>
    <phoneticPr fontId="4" type="noConversion"/>
  </si>
  <si>
    <t>Table. Power generation by plant type and energy source</t>
    <phoneticPr fontId="4" type="noConversion"/>
  </si>
  <si>
    <t>https://home.kepco.co.kr/kepco/KO/ntcob/list.do?menuCd=FN05030103&amp;boardCd=BRD_000099</t>
    <phoneticPr fontId="4" type="noConversion"/>
  </si>
  <si>
    <t>https://www.etrans.or.kr/lib/gen_download.php?file_name=%EC%A0%9C9%EC%B0%A8%EC%A0%84%EB%A0%A5%EC%88%98%EA%B8%89%EA%B8%B0%EB%B3%B8%EA%B3%84%ED%9A%8D.pdf</t>
    <phoneticPr fontId="4" type="noConversion"/>
  </si>
  <si>
    <t>Page 41</t>
    <phoneticPr fontId="4" type="noConversion"/>
  </si>
  <si>
    <t>항목1*</t>
  </si>
  <si>
    <t>합계(1000 toe)</t>
  </si>
  <si>
    <t>증가율(%)</t>
  </si>
  <si>
    <t>석탄</t>
  </si>
  <si>
    <t>소계(1,000 toe)</t>
  </si>
  <si>
    <t>소계(%)</t>
  </si>
  <si>
    <t>무연탄(1,000 toe)</t>
  </si>
  <si>
    <t>무연탄(%)</t>
  </si>
  <si>
    <t>유연탄(1,000 toe)</t>
  </si>
  <si>
    <t>유연탄(%)</t>
  </si>
  <si>
    <t>석유</t>
  </si>
  <si>
    <t>에너지유 (1,000 toe)</t>
  </si>
  <si>
    <t>에너지유 (%)</t>
  </si>
  <si>
    <t>액화석유가스(1,000 toe)</t>
  </si>
  <si>
    <t>액화석유가스(%)</t>
  </si>
  <si>
    <t>비에너지유(1,000 toe)</t>
  </si>
  <si>
    <t>비에너지유(%)</t>
  </si>
  <si>
    <t>액화천연가스</t>
  </si>
  <si>
    <t>(1,000 toe)</t>
  </si>
  <si>
    <t>(%)</t>
  </si>
  <si>
    <t>수력</t>
  </si>
  <si>
    <t>신재생 및 기타(1000 toe)</t>
  </si>
  <si>
    <t>Notes</t>
    <phoneticPr fontId="4" type="noConversion"/>
  </si>
  <si>
    <t>무연탄</t>
    <phoneticPr fontId="4" type="noConversion"/>
  </si>
  <si>
    <t>steam 발전의 무연탄계</t>
    <phoneticPr fontId="4" type="noConversion"/>
  </si>
  <si>
    <t>유연탄</t>
    <phoneticPr fontId="4" type="noConversion"/>
  </si>
  <si>
    <t>steam 발전의 유연탄계</t>
    <phoneticPr fontId="4" type="noConversion"/>
  </si>
  <si>
    <t>중유</t>
    <phoneticPr fontId="4" type="noConversion"/>
  </si>
  <si>
    <t>steam 발전의 중유</t>
    <phoneticPr fontId="4" type="noConversion"/>
  </si>
  <si>
    <t>LNG</t>
    <phoneticPr fontId="4" type="noConversion"/>
  </si>
  <si>
    <t>LNG 총계 중 집단에너지 제외</t>
    <phoneticPr fontId="4" type="noConversion"/>
  </si>
  <si>
    <t>유류</t>
    <phoneticPr fontId="4" type="noConversion"/>
  </si>
  <si>
    <t>유류 총계 중 중유 제외</t>
    <phoneticPr fontId="4" type="noConversion"/>
  </si>
  <si>
    <t>수정사항</t>
    <phoneticPr fontId="4" type="noConversion"/>
  </si>
  <si>
    <t>cal of nuclear heat</t>
    <phoneticPr fontId="4" type="noConversion"/>
  </si>
  <si>
    <t>petroleum의 계산은 경유의 소비량 및 발열량을 기본으로 하되 발전량은 유류 총계에서 중유를 뺀 값</t>
    <phoneticPr fontId="4" type="noConversion"/>
  </si>
  <si>
    <t>바이오매스는 목재팰릿에 의한 발전량만을 사용</t>
    <phoneticPr fontId="4" type="noConversion"/>
  </si>
  <si>
    <t>Heat rate calculation</t>
    <phoneticPr fontId="4" type="noConversion"/>
  </si>
  <si>
    <t>Fuel consumption</t>
    <phoneticPr fontId="4" type="noConversion"/>
  </si>
  <si>
    <t>Power generation</t>
    <phoneticPr fontId="4" type="noConversion"/>
  </si>
  <si>
    <t>Annual statistics of power plants in South Korea</t>
    <phoneticPr fontId="4" type="noConversion"/>
  </si>
  <si>
    <t>MOTIE</t>
    <phoneticPr fontId="4" type="noConversion"/>
  </si>
  <si>
    <t>Power generation by scenario</t>
    <phoneticPr fontId="4" type="noConversion"/>
  </si>
  <si>
    <t>Where there is no Korea data available, we use US values from the US EPS.</t>
  </si>
  <si>
    <t>Energy efficiency of CCGT:</t>
  </si>
  <si>
    <t>Heat rate:</t>
  </si>
  <si>
    <t>Generation:</t>
  </si>
  <si>
    <t>MWh</t>
  </si>
  <si>
    <t>BTU</t>
  </si>
  <si>
    <t>btu/kWh</t>
  </si>
  <si>
    <t>efficiency</t>
  </si>
  <si>
    <t>heat rate in btu/kWh</t>
  </si>
  <si>
    <t>btu/MWh</t>
  </si>
  <si>
    <t>Newly built assumption, other plant types</t>
  </si>
  <si>
    <t>Newly built assumption, coal, natural gas nonpeaker, nuclear</t>
  </si>
  <si>
    <t>IEA</t>
  </si>
  <si>
    <t>Projected Costs of Generating Electricity</t>
  </si>
  <si>
    <t>https://iea.blob.core.windows.net/assets/ae17da3d-e8a5-4163-a3ec-2e6fb0b5677d/Projected-Costs-of-Generating-Electricity-2020.pdf</t>
  </si>
  <si>
    <t>Tables 3.11 - 3.13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</si>
</sst>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#,##0.0#"/>
    <numFmt numFmtId="168" formatCode="_(* #,##0_);_(* \(#,##0\);_(* &quot;-&quot;??_);_(@_)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theme="1"/>
      <name val="Calibri"/>
      <family val="3"/>
      <charset val="129"/>
      <scheme val="minor"/>
    </font>
    <font>
      <b/>
      <sz val="18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mbria Math"/>
      <family val="2"/>
    </font>
    <font>
      <b/>
      <sz val="11"/>
      <color theme="1"/>
      <name val="맑은 고딕"/>
      <family val="2"/>
    </font>
    <font>
      <b/>
      <sz val="11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11"/>
      <name val="Calibri"/>
      <family val="3"/>
      <charset val="129"/>
      <scheme val="minor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  <font>
      <sz val="10"/>
      <color rgb="FFFF0000"/>
      <name val="Calibri"/>
      <family val="3"/>
      <charset val="129"/>
      <scheme val="minor"/>
    </font>
    <font>
      <sz val="12"/>
      <color indexed="8"/>
      <name val="Malgun Gothic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rgb="FFDDEBF7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164" fontId="5" fillId="0" borderId="0" applyFont="0" applyFill="0" applyBorder="0" applyAlignment="0" applyProtection="0">
      <alignment vertical="center"/>
    </xf>
    <xf numFmtId="0" fontId="5" fillId="7" borderId="19" applyNumberFormat="0" applyFont="0" applyAlignment="0" applyProtection="0">
      <alignment vertical="center"/>
    </xf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7" fillId="0" borderId="8" xfId="0" applyFont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6" fillId="0" borderId="8" xfId="0" applyFont="1" applyBorder="1" applyAlignment="1">
      <alignment vertical="center"/>
    </xf>
    <xf numFmtId="4" fontId="0" fillId="0" borderId="0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5" borderId="12" xfId="0" applyFill="1" applyBorder="1" applyAlignment="1">
      <alignment horizontal="center" vertical="center"/>
    </xf>
    <xf numFmtId="0" fontId="0" fillId="0" borderId="12" xfId="0" applyBorder="1" applyAlignment="1"/>
    <xf numFmtId="4" fontId="0" fillId="0" borderId="12" xfId="0" applyNumberFormat="1" applyBorder="1" applyAlignment="1"/>
    <xf numFmtId="0" fontId="0" fillId="0" borderId="12" xfId="0" applyNumberFormat="1" applyBorder="1" applyAlignment="1"/>
    <xf numFmtId="3" fontId="0" fillId="0" borderId="12" xfId="0" applyNumberFormat="1" applyBorder="1" applyAlignment="1"/>
    <xf numFmtId="0" fontId="9" fillId="0" borderId="0" xfId="0" applyFont="1" applyAlignment="1">
      <alignment vertical="center"/>
    </xf>
    <xf numFmtId="0" fontId="6" fillId="0" borderId="0" xfId="0" applyFont="1"/>
    <xf numFmtId="0" fontId="2" fillId="0" borderId="0" xfId="1" applyAlignment="1" applyProtection="1">
      <alignment vertical="center"/>
    </xf>
    <xf numFmtId="0" fontId="0" fillId="0" borderId="0" xfId="0" applyAlignment="1">
      <alignment vertical="top"/>
    </xf>
    <xf numFmtId="0" fontId="11" fillId="3" borderId="3" xfId="0" applyFont="1" applyFill="1" applyBorder="1" applyAlignment="1">
      <alignment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164" fontId="0" fillId="0" borderId="0" xfId="3" applyFont="1" applyAlignment="1">
      <alignment vertical="top"/>
    </xf>
    <xf numFmtId="164" fontId="0" fillId="0" borderId="0" xfId="3" applyFont="1" applyAlignment="1">
      <alignment horizontal="right" vertical="top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14" fillId="0" borderId="0" xfId="0" applyFont="1" applyBorder="1" applyAlignment="1">
      <alignment vertical="center"/>
    </xf>
    <xf numFmtId="0" fontId="15" fillId="0" borderId="0" xfId="0" applyNumberFormat="1" applyFont="1" applyBorder="1" applyAlignment="1">
      <alignment horizontal="center" vertical="center"/>
    </xf>
    <xf numFmtId="4" fontId="15" fillId="0" borderId="0" xfId="0" applyNumberFormat="1" applyFont="1" applyBorder="1" applyAlignment="1">
      <alignment horizontal="right" vertical="center"/>
    </xf>
    <xf numFmtId="164" fontId="15" fillId="0" borderId="0" xfId="3" applyFont="1" applyBorder="1" applyAlignment="1">
      <alignment horizontal="right" vertical="center"/>
    </xf>
    <xf numFmtId="164" fontId="16" fillId="0" borderId="0" xfId="3" applyFont="1" applyBorder="1" applyAlignment="1">
      <alignment horizontal="right" vertical="center"/>
    </xf>
    <xf numFmtId="164" fontId="20" fillId="0" borderId="0" xfId="3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1" applyAlignment="1">
      <alignment vertical="top"/>
    </xf>
    <xf numFmtId="165" fontId="0" fillId="4" borderId="0" xfId="0" applyNumberFormat="1" applyFill="1"/>
    <xf numFmtId="0" fontId="2" fillId="0" borderId="0" xfId="1" applyAlignment="1">
      <alignment horizontal="left" vertical="center"/>
    </xf>
    <xf numFmtId="0" fontId="21" fillId="8" borderId="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left" vertical="center" wrapText="1"/>
    </xf>
    <xf numFmtId="166" fontId="21" fillId="0" borderId="1" xfId="0" applyNumberFormat="1" applyFont="1" applyFill="1" applyBorder="1" applyAlignment="1">
      <alignment horizontal="right" vertical="center" wrapText="1"/>
    </xf>
    <xf numFmtId="0" fontId="21" fillId="8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19" xfId="4" applyFont="1" applyFill="1" applyAlignment="1"/>
    <xf numFmtId="0" fontId="0" fillId="0" borderId="0" xfId="0" applyAlignment="1">
      <alignment horizontal="right" vertical="top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9" fontId="0" fillId="0" borderId="0" xfId="5" applyFont="1"/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6" borderId="0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168" fontId="0" fillId="0" borderId="0" xfId="6" applyNumberFormat="1" applyFont="1"/>
  </cellXfs>
  <cellStyles count="7">
    <cellStyle name="Comma" xfId="6" builtinId="3"/>
    <cellStyle name="Comma [0]" xfId="3" builtinId="6"/>
    <cellStyle name="Hyperlink" xfId="1" builtinId="8"/>
    <cellStyle name="Normal" xfId="0" builtinId="0"/>
    <cellStyle name="Normal 2" xfId="2" xr:uid="{00000000-0005-0000-0000-000002000000}"/>
    <cellStyle name="Note" xfId="4" builtinId="1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110</xdr:row>
      <xdr:rowOff>76200</xdr:rowOff>
    </xdr:from>
    <xdr:to>
      <xdr:col>2</xdr:col>
      <xdr:colOff>1581853</xdr:colOff>
      <xdr:row>142</xdr:row>
      <xdr:rowOff>115241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050764C-4443-43F0-A8BC-E54C9B51A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1507450"/>
          <a:ext cx="5039428" cy="67446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85725</xdr:rowOff>
    </xdr:from>
    <xdr:to>
      <xdr:col>11</xdr:col>
      <xdr:colOff>46778</xdr:colOff>
      <xdr:row>17</xdr:row>
      <xdr:rowOff>142463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1908BE-1E6D-4E22-AABF-57EC5C3D5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1609725"/>
          <a:ext cx="6771428" cy="3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24</xdr:row>
      <xdr:rowOff>9525</xdr:rowOff>
    </xdr:from>
    <xdr:to>
      <xdr:col>11</xdr:col>
      <xdr:colOff>227719</xdr:colOff>
      <xdr:row>37</xdr:row>
      <xdr:rowOff>75882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76F72E-1981-48AC-910D-5F54DC4AE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4581525"/>
          <a:ext cx="7047619" cy="2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45</xdr:row>
      <xdr:rowOff>0</xdr:rowOff>
    </xdr:from>
    <xdr:to>
      <xdr:col>11</xdr:col>
      <xdr:colOff>180101</xdr:colOff>
      <xdr:row>55</xdr:row>
      <xdr:rowOff>180714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985317-C0C0-43FE-818C-7F5940617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8572500"/>
          <a:ext cx="6990476" cy="20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U%20Heat%20Rate%20by%20Electricity%20Fu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BFPaT_biomass"/>
      <sheetName val="fuel consumption &amp; power"/>
      <sheetName val="heat of nuclear gen"/>
      <sheetName val="outlook of power"/>
      <sheetName val="Cal"/>
      <sheetName val="US values"/>
      <sheetName val="natural gas"/>
      <sheetName val="BHRbEF"/>
    </sheetNames>
    <sheetDataSet>
      <sheetData sheetId="0">
        <row r="36">
          <cell r="D36">
            <v>3412000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ome.kepco.co.kr/kepco/KO/ntcob/list.do?menuCd=FN05030103&amp;boardCd=BRD_000099" TargetMode="External"/><Relationship Id="rId2" Type="http://schemas.openxmlformats.org/officeDocument/2006/relationships/hyperlink" Target="http://epsis.kpx.or.kr/epsisnew/selectEkgeGepTotChart.do?menuId=060101" TargetMode="External"/><Relationship Id="rId1" Type="http://schemas.openxmlformats.org/officeDocument/2006/relationships/hyperlink" Target="http://epsis.kpx.or.kr/epsisnew/selectEkgeFfuChart.do?menuId=06020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trans.or.kr/lib/gen_download.php?file_name=%EC%A0%9C9%EC%B0%A8%EC%A0%84%EB%A0%A5%EC%88%98%EA%B8%89%EA%B8%B0%EB%B3%B8%EA%B3%84%ED%9A%8D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tabSelected="1" workbookViewId="0">
      <selection activeCell="B26" sqref="B26"/>
    </sheetView>
  </sheetViews>
  <sheetFormatPr defaultColWidth="9" defaultRowHeight="15"/>
  <cols>
    <col min="1" max="1" width="9" style="4"/>
    <col min="2" max="2" width="63.7109375" style="4" customWidth="1"/>
    <col min="3" max="3" width="9" style="4"/>
    <col min="4" max="4" width="9.42578125" style="4" bestFit="1" customWidth="1"/>
    <col min="5" max="16384" width="9" style="4"/>
  </cols>
  <sheetData>
    <row r="1" spans="1:19">
      <c r="A1" s="30" t="s">
        <v>0</v>
      </c>
    </row>
    <row r="3" spans="1:19">
      <c r="A3" s="30" t="s">
        <v>1</v>
      </c>
      <c r="B3" s="60" t="s">
        <v>199</v>
      </c>
      <c r="R3"/>
      <c r="S3"/>
    </row>
    <row r="4" spans="1:19">
      <c r="B4" s="31" t="s">
        <v>153</v>
      </c>
      <c r="H4"/>
      <c r="I4"/>
      <c r="J4"/>
      <c r="K4"/>
      <c r="M4"/>
      <c r="N4"/>
      <c r="O4"/>
      <c r="P4"/>
      <c r="Q4"/>
      <c r="R4"/>
      <c r="S4"/>
    </row>
    <row r="5" spans="1:19">
      <c r="B5" s="31">
        <v>2021</v>
      </c>
      <c r="H5"/>
      <c r="I5"/>
      <c r="J5"/>
      <c r="K5"/>
      <c r="M5"/>
      <c r="N5"/>
      <c r="O5"/>
      <c r="P5"/>
      <c r="Q5"/>
      <c r="R5"/>
      <c r="S5"/>
    </row>
    <row r="6" spans="1:19">
      <c r="B6" s="31" t="s">
        <v>200</v>
      </c>
      <c r="H6"/>
      <c r="I6"/>
      <c r="J6"/>
      <c r="K6"/>
      <c r="L6"/>
      <c r="M6"/>
      <c r="N6"/>
      <c r="O6"/>
      <c r="P6"/>
      <c r="Q6"/>
      <c r="R6"/>
      <c r="S6"/>
    </row>
    <row r="7" spans="1:19">
      <c r="B7" s="55" t="s">
        <v>154</v>
      </c>
      <c r="O7"/>
      <c r="P7"/>
      <c r="Q7"/>
      <c r="R7"/>
      <c r="S7"/>
    </row>
    <row r="8" spans="1:19">
      <c r="B8" s="31"/>
      <c r="G8" s="63"/>
      <c r="H8" s="63"/>
      <c r="I8" s="63"/>
      <c r="J8" s="63"/>
      <c r="K8" s="63"/>
      <c r="L8" s="63"/>
      <c r="M8" s="63"/>
      <c r="N8" s="63"/>
      <c r="O8"/>
      <c r="P8"/>
      <c r="Q8"/>
      <c r="R8"/>
      <c r="S8"/>
    </row>
    <row r="9" spans="1:19" ht="15.75" customHeight="1">
      <c r="B9" s="31" t="s">
        <v>153</v>
      </c>
      <c r="G9" s="64"/>
      <c r="H9" s="65"/>
      <c r="I9" s="65"/>
      <c r="J9" s="65"/>
      <c r="K9" s="65"/>
      <c r="L9" s="65"/>
      <c r="M9" s="65"/>
      <c r="N9" s="64"/>
      <c r="O9"/>
      <c r="P9"/>
      <c r="Q9"/>
      <c r="R9"/>
      <c r="S9"/>
    </row>
    <row r="10" spans="1:19">
      <c r="B10" s="31">
        <v>2021</v>
      </c>
      <c r="G10" s="64"/>
      <c r="H10" s="65"/>
      <c r="I10" s="65"/>
      <c r="J10" s="65"/>
      <c r="K10" s="65"/>
      <c r="L10" s="64"/>
      <c r="M10" s="64"/>
      <c r="N10" s="64"/>
      <c r="O10"/>
      <c r="P10"/>
      <c r="Q10"/>
      <c r="R10"/>
      <c r="S10"/>
    </row>
    <row r="11" spans="1:19">
      <c r="B11" s="31" t="s">
        <v>201</v>
      </c>
      <c r="G11" s="64"/>
      <c r="H11" s="64"/>
      <c r="I11" s="64"/>
      <c r="J11" s="64"/>
      <c r="K11" s="64"/>
      <c r="L11" s="64"/>
      <c r="M11" s="64"/>
      <c r="N11" s="64"/>
      <c r="O11"/>
      <c r="P11"/>
      <c r="Q11"/>
      <c r="R11"/>
      <c r="S11"/>
    </row>
    <row r="12" spans="1:19">
      <c r="B12" s="55" t="s">
        <v>155</v>
      </c>
      <c r="G12" s="63"/>
      <c r="H12" s="63"/>
      <c r="I12" s="63"/>
      <c r="J12" s="63"/>
      <c r="K12" s="63"/>
      <c r="L12" s="63"/>
      <c r="M12" s="63"/>
      <c r="N12" s="63"/>
    </row>
    <row r="13" spans="1:19">
      <c r="B13" s="31"/>
      <c r="G13" s="63"/>
      <c r="H13" s="63"/>
      <c r="I13" s="63"/>
      <c r="J13" s="63"/>
      <c r="K13" s="63"/>
      <c r="L13" s="63"/>
      <c r="M13" s="63"/>
      <c r="N13" s="63"/>
    </row>
    <row r="14" spans="1:19">
      <c r="B14" s="31" t="s">
        <v>156</v>
      </c>
      <c r="G14" s="64"/>
      <c r="H14" s="63"/>
      <c r="I14" s="63"/>
      <c r="J14" s="63"/>
      <c r="K14" s="63"/>
      <c r="L14" s="63"/>
      <c r="M14" s="63"/>
      <c r="N14" s="63"/>
    </row>
    <row r="15" spans="1:19">
      <c r="B15" s="31" t="s">
        <v>157</v>
      </c>
    </row>
    <row r="16" spans="1:19">
      <c r="B16" s="31" t="s">
        <v>202</v>
      </c>
    </row>
    <row r="17" spans="1:22">
      <c r="B17" s="55" t="s">
        <v>159</v>
      </c>
    </row>
    <row r="18" spans="1:22">
      <c r="B18" s="31" t="s">
        <v>158</v>
      </c>
    </row>
    <row r="19" spans="1:22">
      <c r="B19" s="31"/>
    </row>
    <row r="20" spans="1:22" s="68" customFormat="1">
      <c r="A20" s="32"/>
      <c r="B20" s="61" t="s">
        <v>216</v>
      </c>
      <c r="T20"/>
      <c r="U20"/>
      <c r="V20"/>
    </row>
    <row r="21" spans="1:22" s="68" customFormat="1">
      <c r="A21" s="32"/>
      <c r="B21" s="31" t="s">
        <v>217</v>
      </c>
      <c r="T21"/>
      <c r="U21"/>
      <c r="V21"/>
    </row>
    <row r="22" spans="1:22" s="68" customFormat="1">
      <c r="A22" s="32"/>
      <c r="B22" s="31">
        <v>2020</v>
      </c>
      <c r="T22"/>
      <c r="U22"/>
      <c r="V22"/>
    </row>
    <row r="23" spans="1:22" s="68" customFormat="1">
      <c r="A23" s="32"/>
      <c r="B23" s="31" t="s">
        <v>218</v>
      </c>
      <c r="T23"/>
      <c r="U23"/>
      <c r="V23"/>
    </row>
    <row r="24" spans="1:22" s="68" customFormat="1">
      <c r="A24" s="32"/>
      <c r="B24" s="55" t="s">
        <v>219</v>
      </c>
      <c r="T24"/>
      <c r="U24"/>
      <c r="V24"/>
    </row>
    <row r="25" spans="1:22" s="68" customFormat="1">
      <c r="A25" s="32"/>
      <c r="B25" s="31" t="s">
        <v>220</v>
      </c>
      <c r="T25"/>
      <c r="U25"/>
      <c r="V25"/>
    </row>
    <row r="26" spans="1:22" s="68" customFormat="1">
      <c r="A26" s="32"/>
      <c r="B26" s="31"/>
      <c r="T26"/>
      <c r="U26"/>
      <c r="V26"/>
    </row>
    <row r="27" spans="1:22">
      <c r="A27" s="32"/>
      <c r="B27" s="61" t="s">
        <v>215</v>
      </c>
      <c r="T27"/>
      <c r="U27"/>
      <c r="V27"/>
    </row>
    <row r="28" spans="1:22">
      <c r="B28" s="31" t="s">
        <v>203</v>
      </c>
      <c r="T28"/>
      <c r="U28"/>
      <c r="V28"/>
    </row>
    <row r="29" spans="1:22">
      <c r="B29" s="31">
        <v>2020</v>
      </c>
      <c r="T29"/>
      <c r="U29"/>
      <c r="V29"/>
    </row>
    <row r="30" spans="1:22">
      <c r="B30" s="31" t="s">
        <v>204</v>
      </c>
      <c r="T30"/>
      <c r="U30"/>
      <c r="V30"/>
    </row>
    <row r="31" spans="1:22">
      <c r="B31" s="55" t="s">
        <v>160</v>
      </c>
      <c r="T31"/>
      <c r="U31"/>
      <c r="V31"/>
    </row>
    <row r="32" spans="1:22">
      <c r="B32" s="31" t="s">
        <v>161</v>
      </c>
      <c r="T32"/>
      <c r="U32"/>
      <c r="V32"/>
    </row>
    <row r="33" spans="1:22">
      <c r="T33"/>
      <c r="U33"/>
      <c r="V33"/>
    </row>
    <row r="34" spans="1:22">
      <c r="B34" s="33" t="s">
        <v>102</v>
      </c>
      <c r="C34" s="33" t="s">
        <v>99</v>
      </c>
      <c r="D34" s="4">
        <v>3.9656699999999998</v>
      </c>
      <c r="E34" s="4" t="s">
        <v>100</v>
      </c>
      <c r="T34"/>
      <c r="U34"/>
      <c r="V34"/>
    </row>
    <row r="35" spans="1:22">
      <c r="C35" s="33" t="s">
        <v>150</v>
      </c>
      <c r="D35" s="4">
        <f>10^7</f>
        <v>10000000</v>
      </c>
      <c r="E35" s="4" t="s">
        <v>151</v>
      </c>
      <c r="T35"/>
      <c r="U35"/>
      <c r="V35"/>
    </row>
    <row r="36" spans="1:22" s="67" customFormat="1">
      <c r="C36" s="33" t="s">
        <v>209</v>
      </c>
      <c r="D36" s="67">
        <f>3412000</f>
        <v>3412000</v>
      </c>
      <c r="E36" s="67" t="s">
        <v>210</v>
      </c>
      <c r="T36"/>
      <c r="U36"/>
      <c r="V36"/>
    </row>
    <row r="37" spans="1:22">
      <c r="T37"/>
      <c r="U37"/>
      <c r="V37"/>
    </row>
    <row r="38" spans="1:22">
      <c r="B38" s="33" t="s">
        <v>101</v>
      </c>
      <c r="C38" s="4">
        <v>2019</v>
      </c>
    </row>
    <row r="40" spans="1:22">
      <c r="A40" s="62" t="s">
        <v>184</v>
      </c>
    </row>
    <row r="41" spans="1:22">
      <c r="A41" s="4" t="s">
        <v>198</v>
      </c>
    </row>
    <row r="43" spans="1:22">
      <c r="A43" s="4" t="s">
        <v>205</v>
      </c>
    </row>
  </sheetData>
  <phoneticPr fontId="4" type="noConversion"/>
  <hyperlinks>
    <hyperlink ref="B7" r:id="rId1" xr:uid="{00000000-0004-0000-0000-000002000000}"/>
    <hyperlink ref="B12" r:id="rId2" xr:uid="{CD43BEE1-2D97-4F10-8516-E6F4D1F17381}"/>
    <hyperlink ref="B17" r:id="rId3" xr:uid="{E9ADE772-A738-491D-BFD2-CB6B0D9F34D8}"/>
    <hyperlink ref="B31" r:id="rId4" xr:uid="{CA3FAF32-8045-4909-9A8D-889D0D972CFA}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FC54-4873-4634-A347-9827E9C5CD68}">
  <sheetPr>
    <tabColor rgb="FF002060"/>
  </sheetPr>
  <dimension ref="A1:D17"/>
  <sheetViews>
    <sheetView workbookViewId="0">
      <selection activeCell="B5" sqref="B5"/>
    </sheetView>
  </sheetViews>
  <sheetFormatPr defaultRowHeight="15"/>
  <cols>
    <col min="1" max="1" width="26.7109375" customWidth="1"/>
    <col min="2" max="2" width="16.140625" bestFit="1" customWidth="1"/>
    <col min="3" max="3" width="24.140625" customWidth="1"/>
    <col min="4" max="4" width="11" bestFit="1" customWidth="1"/>
  </cols>
  <sheetData>
    <row r="1" spans="1:4" ht="30">
      <c r="A1" s="3" t="s">
        <v>21</v>
      </c>
      <c r="B1" t="s">
        <v>2</v>
      </c>
      <c r="C1" s="1" t="s">
        <v>3</v>
      </c>
      <c r="D1" t="s">
        <v>4</v>
      </c>
    </row>
    <row r="2" spans="1:4">
      <c r="A2" t="s">
        <v>17</v>
      </c>
      <c r="B2" s="2">
        <f>Cal!E4</f>
        <v>9346804.7681700829</v>
      </c>
      <c r="C2" s="2">
        <v>0</v>
      </c>
      <c r="D2" s="2">
        <f>'IEA heat rates'!A43</f>
        <v>7934883.7209302327</v>
      </c>
    </row>
    <row r="3" spans="1:4">
      <c r="A3" t="s">
        <v>5</v>
      </c>
      <c r="B3" s="2">
        <f>'existing natural gas'!A8</f>
        <v>7267305.6443024492</v>
      </c>
      <c r="C3" s="2">
        <v>0</v>
      </c>
      <c r="D3" s="2">
        <f>'IEA heat rates'!A23</f>
        <v>5933913.0434782607</v>
      </c>
    </row>
    <row r="4" spans="1:4">
      <c r="A4" t="s">
        <v>6</v>
      </c>
      <c r="B4" s="2">
        <f>'IEA heat rates'!A61</f>
        <v>9477777.777777778</v>
      </c>
      <c r="C4" s="2">
        <v>0</v>
      </c>
      <c r="D4" s="2">
        <f>'IEA heat rates'!A61</f>
        <v>9477777.777777778</v>
      </c>
    </row>
    <row r="5" spans="1:4">
      <c r="A5" t="s">
        <v>7</v>
      </c>
      <c r="B5" s="2">
        <v>0</v>
      </c>
      <c r="C5" s="2">
        <v>0</v>
      </c>
      <c r="D5">
        <v>0</v>
      </c>
    </row>
    <row r="6" spans="1:4">
      <c r="A6" t="s">
        <v>8</v>
      </c>
      <c r="B6" s="2">
        <v>0</v>
      </c>
      <c r="C6" s="2">
        <v>0</v>
      </c>
      <c r="D6">
        <v>0</v>
      </c>
    </row>
    <row r="7" spans="1:4">
      <c r="A7" t="s">
        <v>9</v>
      </c>
      <c r="B7" s="2">
        <v>0</v>
      </c>
      <c r="C7" s="2">
        <v>0</v>
      </c>
      <c r="D7">
        <v>0</v>
      </c>
    </row>
    <row r="8" spans="1:4">
      <c r="A8" t="s">
        <v>10</v>
      </c>
      <c r="B8" s="2">
        <v>0</v>
      </c>
      <c r="C8" s="2">
        <v>0</v>
      </c>
      <c r="D8">
        <v>0</v>
      </c>
    </row>
    <row r="9" spans="1:4">
      <c r="A9" t="s">
        <v>11</v>
      </c>
      <c r="B9" s="2">
        <f>Cal!E2</f>
        <v>10011408.509574568</v>
      </c>
      <c r="C9" s="2">
        <v>0</v>
      </c>
      <c r="D9" s="2">
        <f>B9</f>
        <v>10011408.509574568</v>
      </c>
    </row>
    <row r="10" spans="1:4">
      <c r="A10" t="s">
        <v>12</v>
      </c>
      <c r="B10" s="2">
        <v>0</v>
      </c>
      <c r="C10" s="2">
        <v>0</v>
      </c>
      <c r="D10">
        <v>0</v>
      </c>
    </row>
    <row r="11" spans="1:4">
      <c r="A11" t="s">
        <v>13</v>
      </c>
      <c r="B11" s="2">
        <f>Cal!E10</f>
        <v>5688471.4200662179</v>
      </c>
      <c r="C11" s="2">
        <v>0</v>
      </c>
      <c r="D11" s="2">
        <f>B11</f>
        <v>5688471.4200662179</v>
      </c>
    </row>
    <row r="12" spans="1:4">
      <c r="A12" t="s">
        <v>14</v>
      </c>
      <c r="B12" s="2">
        <f>'US values'!B12</f>
        <v>9381404</v>
      </c>
      <c r="C12" s="2">
        <f>'US values'!C12</f>
        <v>0</v>
      </c>
      <c r="D12" s="2">
        <f>'US values'!D12</f>
        <v>8902000</v>
      </c>
    </row>
    <row r="13" spans="1:4">
      <c r="A13" t="s">
        <v>15</v>
      </c>
      <c r="B13" s="2">
        <f>Cal!E15</f>
        <v>8480903.2213064823</v>
      </c>
      <c r="C13" s="2">
        <v>0</v>
      </c>
      <c r="D13" s="2">
        <f>B13*'outlook of power'!C6</f>
        <v>6276708.0771550443</v>
      </c>
    </row>
    <row r="14" spans="1:4">
      <c r="A14" t="s">
        <v>16</v>
      </c>
      <c r="B14" s="2">
        <v>0</v>
      </c>
      <c r="C14" s="2">
        <v>0</v>
      </c>
      <c r="D14">
        <v>0</v>
      </c>
    </row>
    <row r="15" spans="1:4">
      <c r="A15" t="s">
        <v>18</v>
      </c>
      <c r="B15" s="2">
        <f>'US values'!B15</f>
        <v>7713158</v>
      </c>
      <c r="C15" s="2">
        <f>'US values'!C15</f>
        <v>0</v>
      </c>
      <c r="D15" s="2">
        <f>'US values'!D15</f>
        <v>7713158</v>
      </c>
    </row>
    <row r="16" spans="1:4">
      <c r="A16" t="s">
        <v>19</v>
      </c>
      <c r="B16" s="2">
        <f>Cal!E16</f>
        <v>11119957.980670609</v>
      </c>
      <c r="C16" s="2">
        <v>0</v>
      </c>
      <c r="D16" s="2">
        <f>B16</f>
        <v>11119957.980670609</v>
      </c>
    </row>
    <row r="17" spans="1:4">
      <c r="A17" t="s">
        <v>20</v>
      </c>
      <c r="B17" s="2">
        <f>'US values'!B17</f>
        <v>18894208</v>
      </c>
      <c r="C17" s="2">
        <f>'US values'!C17</f>
        <v>0</v>
      </c>
      <c r="D17" s="2">
        <f>'US values'!D17</f>
        <v>9482232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1578-C647-46F7-8EA9-81BB353DF5CF}">
  <dimension ref="A1:I114"/>
  <sheetViews>
    <sheetView workbookViewId="0">
      <selection activeCell="E104" sqref="E104"/>
    </sheetView>
  </sheetViews>
  <sheetFormatPr defaultColWidth="8" defaultRowHeight="15"/>
  <cols>
    <col min="1" max="9" width="23.42578125" style="4" customWidth="1"/>
    <col min="10" max="16384" width="8" style="4"/>
  </cols>
  <sheetData>
    <row r="1" spans="1:9" ht="45" customHeight="1">
      <c r="A1" s="70" t="s">
        <v>41</v>
      </c>
      <c r="B1" s="71"/>
      <c r="C1" s="71"/>
      <c r="D1" s="71"/>
      <c r="E1" s="71"/>
      <c r="F1" s="71"/>
    </row>
    <row r="3" spans="1:9">
      <c r="A3" s="4" t="s">
        <v>42</v>
      </c>
    </row>
    <row r="4" spans="1:9">
      <c r="I4" s="4" t="s">
        <v>43</v>
      </c>
    </row>
    <row r="5" spans="1:9">
      <c r="A5" s="20" t="s">
        <v>44</v>
      </c>
      <c r="B5" s="20" t="s">
        <v>45</v>
      </c>
      <c r="C5" s="20" t="s">
        <v>46</v>
      </c>
      <c r="D5" s="20" t="s">
        <v>47</v>
      </c>
      <c r="E5" s="20" t="s">
        <v>48</v>
      </c>
      <c r="F5" s="20" t="s">
        <v>39</v>
      </c>
      <c r="G5" s="20" t="s">
        <v>49</v>
      </c>
      <c r="H5" s="20" t="s">
        <v>50</v>
      </c>
      <c r="I5" s="20" t="s">
        <v>51</v>
      </c>
    </row>
    <row r="6" spans="1:9">
      <c r="A6" s="21" t="s">
        <v>52</v>
      </c>
      <c r="B6" s="21" t="s">
        <v>25</v>
      </c>
      <c r="C6" s="21" t="s">
        <v>25</v>
      </c>
      <c r="D6" s="21" t="s">
        <v>25</v>
      </c>
      <c r="E6" s="22">
        <v>2691.4</v>
      </c>
      <c r="F6" s="22">
        <v>11776355.1</v>
      </c>
      <c r="G6" s="23">
        <v>393</v>
      </c>
      <c r="H6" s="24">
        <v>1498297</v>
      </c>
      <c r="I6" s="24">
        <v>-1497904</v>
      </c>
    </row>
    <row r="7" spans="1:9">
      <c r="A7" s="23">
        <v>2018</v>
      </c>
      <c r="B7" s="21" t="s">
        <v>53</v>
      </c>
      <c r="C7" s="23">
        <v>4401310000</v>
      </c>
      <c r="D7" s="21" t="s">
        <v>54</v>
      </c>
      <c r="E7" s="23">
        <v>0</v>
      </c>
      <c r="F7" s="22">
        <v>11107.8</v>
      </c>
      <c r="G7" s="23">
        <v>0</v>
      </c>
      <c r="H7" s="24">
        <v>1953</v>
      </c>
      <c r="I7" s="24">
        <v>-1953</v>
      </c>
    </row>
    <row r="8" spans="1:9">
      <c r="A8" s="23">
        <v>2018</v>
      </c>
      <c r="B8" s="21" t="s">
        <v>53</v>
      </c>
      <c r="C8" s="23">
        <v>4401310000</v>
      </c>
      <c r="D8" s="21" t="s">
        <v>55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</row>
    <row r="9" spans="1:9">
      <c r="A9" s="23">
        <v>2018</v>
      </c>
      <c r="B9" s="21" t="s">
        <v>53</v>
      </c>
      <c r="C9" s="23">
        <v>4401310000</v>
      </c>
      <c r="D9" s="21" t="s">
        <v>56</v>
      </c>
      <c r="E9" s="23">
        <v>0</v>
      </c>
      <c r="F9" s="22">
        <v>40519.5</v>
      </c>
      <c r="G9" s="23">
        <v>0</v>
      </c>
      <c r="H9" s="24">
        <v>7062</v>
      </c>
      <c r="I9" s="24">
        <v>-7062</v>
      </c>
    </row>
    <row r="10" spans="1:9">
      <c r="A10" s="23">
        <v>2018</v>
      </c>
      <c r="B10" s="21" t="s">
        <v>53</v>
      </c>
      <c r="C10" s="23">
        <v>4401310000</v>
      </c>
      <c r="D10" s="21" t="s">
        <v>57</v>
      </c>
      <c r="E10" s="23">
        <v>0</v>
      </c>
      <c r="F10" s="23">
        <v>116.3</v>
      </c>
      <c r="G10" s="23">
        <v>0</v>
      </c>
      <c r="H10" s="23">
        <v>20</v>
      </c>
      <c r="I10" s="23">
        <v>-20</v>
      </c>
    </row>
    <row r="11" spans="1:9">
      <c r="A11" s="23">
        <v>2018</v>
      </c>
      <c r="B11" s="21" t="s">
        <v>53</v>
      </c>
      <c r="C11" s="23">
        <v>4401310000</v>
      </c>
      <c r="D11" s="21" t="s">
        <v>58</v>
      </c>
      <c r="E11" s="23">
        <v>0</v>
      </c>
      <c r="F11" s="23">
        <v>22.3</v>
      </c>
      <c r="G11" s="23">
        <v>0</v>
      </c>
      <c r="H11" s="23">
        <v>17</v>
      </c>
      <c r="I11" s="23">
        <v>-17</v>
      </c>
    </row>
    <row r="12" spans="1:9">
      <c r="A12" s="23">
        <v>2018</v>
      </c>
      <c r="B12" s="21" t="s">
        <v>53</v>
      </c>
      <c r="C12" s="23">
        <v>4401310000</v>
      </c>
      <c r="D12" s="21" t="s">
        <v>59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</row>
    <row r="13" spans="1:9">
      <c r="A13" s="23">
        <v>2018</v>
      </c>
      <c r="B13" s="21" t="s">
        <v>53</v>
      </c>
      <c r="C13" s="23">
        <v>4401310000</v>
      </c>
      <c r="D13" s="21" t="s">
        <v>60</v>
      </c>
      <c r="E13" s="23">
        <v>0</v>
      </c>
      <c r="F13" s="23">
        <v>520.70000000000005</v>
      </c>
      <c r="G13" s="23">
        <v>0</v>
      </c>
      <c r="H13" s="23">
        <v>68</v>
      </c>
      <c r="I13" s="23">
        <v>-68</v>
      </c>
    </row>
    <row r="14" spans="1:9">
      <c r="A14" s="23">
        <v>2018</v>
      </c>
      <c r="B14" s="21" t="s">
        <v>53</v>
      </c>
      <c r="C14" s="23">
        <v>4401310000</v>
      </c>
      <c r="D14" s="21" t="s">
        <v>61</v>
      </c>
      <c r="E14" s="23">
        <v>0</v>
      </c>
      <c r="F14" s="22">
        <v>221716.9</v>
      </c>
      <c r="G14" s="23">
        <v>0</v>
      </c>
      <c r="H14" s="24">
        <v>31463</v>
      </c>
      <c r="I14" s="24">
        <v>-31463</v>
      </c>
    </row>
    <row r="15" spans="1:9">
      <c r="A15" s="23">
        <v>2018</v>
      </c>
      <c r="B15" s="21" t="s">
        <v>53</v>
      </c>
      <c r="C15" s="23">
        <v>4401310000</v>
      </c>
      <c r="D15" s="21" t="s">
        <v>62</v>
      </c>
      <c r="E15" s="23">
        <v>1.1000000000000001</v>
      </c>
      <c r="F15" s="23">
        <v>8.8000000000000007</v>
      </c>
      <c r="G15" s="23">
        <v>0</v>
      </c>
      <c r="H15" s="23">
        <v>3</v>
      </c>
      <c r="I15" s="23">
        <v>-3</v>
      </c>
    </row>
    <row r="16" spans="1:9">
      <c r="A16" s="23">
        <v>2018</v>
      </c>
      <c r="B16" s="21" t="s">
        <v>53</v>
      </c>
      <c r="C16" s="23">
        <v>4401310000</v>
      </c>
      <c r="D16" s="21" t="s">
        <v>63</v>
      </c>
      <c r="E16" s="23">
        <v>0</v>
      </c>
      <c r="F16" s="23">
        <v>256.60000000000002</v>
      </c>
      <c r="G16" s="23">
        <v>0</v>
      </c>
      <c r="H16" s="23">
        <v>55</v>
      </c>
      <c r="I16" s="23">
        <v>-55</v>
      </c>
    </row>
    <row r="17" spans="1:9">
      <c r="A17" s="23">
        <v>2018</v>
      </c>
      <c r="B17" s="21" t="s">
        <v>53</v>
      </c>
      <c r="C17" s="23">
        <v>4401310000</v>
      </c>
      <c r="D17" s="21" t="s">
        <v>64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</row>
    <row r="18" spans="1:9">
      <c r="A18" s="23">
        <v>2018</v>
      </c>
      <c r="B18" s="21" t="s">
        <v>53</v>
      </c>
      <c r="C18" s="23">
        <v>4401310000</v>
      </c>
      <c r="D18" s="21" t="s">
        <v>65</v>
      </c>
      <c r="E18" s="23">
        <v>232</v>
      </c>
      <c r="F18" s="22">
        <v>585614.6</v>
      </c>
      <c r="G18" s="23">
        <v>34</v>
      </c>
      <c r="H18" s="24">
        <v>87105</v>
      </c>
      <c r="I18" s="24">
        <v>-87072</v>
      </c>
    </row>
    <row r="19" spans="1:9">
      <c r="A19" s="23">
        <v>2018</v>
      </c>
      <c r="B19" s="21" t="s">
        <v>53</v>
      </c>
      <c r="C19" s="23">
        <v>4401310000</v>
      </c>
      <c r="D19" s="21" t="s">
        <v>66</v>
      </c>
      <c r="E19" s="23">
        <v>0</v>
      </c>
      <c r="F19" s="23">
        <v>67.099999999999994</v>
      </c>
      <c r="G19" s="23">
        <v>0</v>
      </c>
      <c r="H19" s="23">
        <v>33</v>
      </c>
      <c r="I19" s="23">
        <v>-33</v>
      </c>
    </row>
    <row r="20" spans="1:9">
      <c r="A20" s="23">
        <v>2018</v>
      </c>
      <c r="B20" s="21" t="s">
        <v>53</v>
      </c>
      <c r="C20" s="23">
        <v>4401310000</v>
      </c>
      <c r="D20" s="21" t="s">
        <v>67</v>
      </c>
      <c r="E20" s="23">
        <v>0</v>
      </c>
      <c r="F20" s="22">
        <v>10672.7</v>
      </c>
      <c r="G20" s="23">
        <v>0</v>
      </c>
      <c r="H20" s="24">
        <v>2147</v>
      </c>
      <c r="I20" s="24">
        <v>-2147</v>
      </c>
    </row>
    <row r="21" spans="1:9">
      <c r="A21" s="23">
        <v>2018</v>
      </c>
      <c r="B21" s="21" t="s">
        <v>53</v>
      </c>
      <c r="C21" s="23">
        <v>4401310000</v>
      </c>
      <c r="D21" s="21" t="s">
        <v>68</v>
      </c>
      <c r="E21" s="23">
        <v>0</v>
      </c>
      <c r="F21" s="23">
        <v>848.8</v>
      </c>
      <c r="G21" s="23">
        <v>0</v>
      </c>
      <c r="H21" s="23">
        <v>128</v>
      </c>
      <c r="I21" s="23">
        <v>-128</v>
      </c>
    </row>
    <row r="22" spans="1:9">
      <c r="A22" s="23">
        <v>2018</v>
      </c>
      <c r="B22" s="21" t="s">
        <v>53</v>
      </c>
      <c r="C22" s="23">
        <v>4401310000</v>
      </c>
      <c r="D22" s="21" t="s">
        <v>69</v>
      </c>
      <c r="E22" s="23">
        <v>0</v>
      </c>
      <c r="F22" s="23">
        <v>91</v>
      </c>
      <c r="G22" s="23">
        <v>0</v>
      </c>
      <c r="H22" s="23">
        <v>39</v>
      </c>
      <c r="I22" s="23">
        <v>-39</v>
      </c>
    </row>
    <row r="23" spans="1:9">
      <c r="A23" s="23">
        <v>2018</v>
      </c>
      <c r="B23" s="21" t="s">
        <v>53</v>
      </c>
      <c r="C23" s="23">
        <v>4401310000</v>
      </c>
      <c r="D23" s="21" t="s">
        <v>70</v>
      </c>
      <c r="E23" s="23">
        <v>0</v>
      </c>
      <c r="F23" s="22">
        <v>70186.600000000006</v>
      </c>
      <c r="G23" s="23">
        <v>0</v>
      </c>
      <c r="H23" s="24">
        <v>10690</v>
      </c>
      <c r="I23" s="24">
        <v>-10690</v>
      </c>
    </row>
    <row r="24" spans="1:9">
      <c r="A24" s="23">
        <v>2018</v>
      </c>
      <c r="B24" s="21" t="s">
        <v>53</v>
      </c>
      <c r="C24" s="23">
        <v>4401310000</v>
      </c>
      <c r="D24" s="21" t="s">
        <v>71</v>
      </c>
      <c r="E24" s="23">
        <v>0</v>
      </c>
      <c r="F24" s="23">
        <v>0.2</v>
      </c>
      <c r="G24" s="23">
        <v>0</v>
      </c>
      <c r="H24" s="23">
        <v>1</v>
      </c>
      <c r="I24" s="23">
        <v>-1</v>
      </c>
    </row>
    <row r="25" spans="1:9">
      <c r="A25" s="23">
        <v>2018</v>
      </c>
      <c r="B25" s="21" t="s">
        <v>53</v>
      </c>
      <c r="C25" s="23">
        <v>4401310000</v>
      </c>
      <c r="D25" s="21" t="s">
        <v>72</v>
      </c>
      <c r="E25" s="23">
        <v>0</v>
      </c>
      <c r="F25" s="22">
        <v>304618</v>
      </c>
      <c r="G25" s="23">
        <v>0</v>
      </c>
      <c r="H25" s="24">
        <v>45720</v>
      </c>
      <c r="I25" s="24">
        <v>-45720</v>
      </c>
    </row>
    <row r="26" spans="1:9">
      <c r="A26" s="23">
        <v>2018</v>
      </c>
      <c r="B26" s="21" t="s">
        <v>53</v>
      </c>
      <c r="C26" s="23">
        <v>4401310000</v>
      </c>
      <c r="D26" s="21" t="s">
        <v>73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</row>
    <row r="27" spans="1:9">
      <c r="A27" s="23">
        <v>2018</v>
      </c>
      <c r="B27" s="21" t="s">
        <v>53</v>
      </c>
      <c r="C27" s="23">
        <v>4401310000</v>
      </c>
      <c r="D27" s="21" t="s">
        <v>74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</row>
    <row r="28" spans="1:9">
      <c r="A28" s="23">
        <v>2018</v>
      </c>
      <c r="B28" s="21" t="s">
        <v>53</v>
      </c>
      <c r="C28" s="23">
        <v>4401310000</v>
      </c>
      <c r="D28" s="21" t="s">
        <v>75</v>
      </c>
      <c r="E28" s="23">
        <v>0</v>
      </c>
      <c r="F28" s="22">
        <v>12255.5</v>
      </c>
      <c r="G28" s="23">
        <v>0</v>
      </c>
      <c r="H28" s="24">
        <v>2199</v>
      </c>
      <c r="I28" s="24">
        <v>-2199</v>
      </c>
    </row>
    <row r="29" spans="1:9">
      <c r="A29" s="23">
        <v>2018</v>
      </c>
      <c r="B29" s="21" t="s">
        <v>53</v>
      </c>
      <c r="C29" s="23">
        <v>4401310000</v>
      </c>
      <c r="D29" s="21" t="s">
        <v>76</v>
      </c>
      <c r="E29" s="23">
        <v>0</v>
      </c>
      <c r="F29" s="23">
        <v>0</v>
      </c>
      <c r="G29" s="23">
        <v>1</v>
      </c>
      <c r="H29" s="23">
        <v>0</v>
      </c>
      <c r="I29" s="23">
        <v>1</v>
      </c>
    </row>
    <row r="30" spans="1:9">
      <c r="A30" s="23">
        <v>2018</v>
      </c>
      <c r="B30" s="21" t="s">
        <v>53</v>
      </c>
      <c r="C30" s="23">
        <v>4401310000</v>
      </c>
      <c r="D30" s="21" t="s">
        <v>77</v>
      </c>
      <c r="E30" s="22">
        <v>2384.6</v>
      </c>
      <c r="F30" s="22">
        <v>2186512</v>
      </c>
      <c r="G30" s="23">
        <v>340</v>
      </c>
      <c r="H30" s="24">
        <v>333064</v>
      </c>
      <c r="I30" s="24">
        <v>-332724</v>
      </c>
    </row>
    <row r="31" spans="1:9">
      <c r="A31" s="23">
        <v>2018</v>
      </c>
      <c r="B31" s="21" t="s">
        <v>53</v>
      </c>
      <c r="C31" s="23">
        <v>4401310000</v>
      </c>
      <c r="D31" s="21" t="s">
        <v>78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</row>
    <row r="32" spans="1:9">
      <c r="A32" s="23">
        <v>2018</v>
      </c>
      <c r="B32" s="21" t="s">
        <v>53</v>
      </c>
      <c r="C32" s="23">
        <v>4401310000</v>
      </c>
      <c r="D32" s="21" t="s">
        <v>79</v>
      </c>
      <c r="E32" s="23">
        <v>0</v>
      </c>
      <c r="F32" s="23">
        <v>0.9</v>
      </c>
      <c r="G32" s="23">
        <v>0</v>
      </c>
      <c r="H32" s="23">
        <v>1</v>
      </c>
      <c r="I32" s="23">
        <v>-1</v>
      </c>
    </row>
    <row r="33" spans="1:9">
      <c r="A33" s="23">
        <v>2019</v>
      </c>
      <c r="B33" s="21" t="s">
        <v>53</v>
      </c>
      <c r="C33" s="23">
        <v>4401310000</v>
      </c>
      <c r="D33" s="21" t="s">
        <v>56</v>
      </c>
      <c r="E33" s="23">
        <v>0</v>
      </c>
      <c r="F33" s="22">
        <v>11162.2</v>
      </c>
      <c r="G33" s="23">
        <v>0</v>
      </c>
      <c r="H33" s="24">
        <v>1941</v>
      </c>
      <c r="I33" s="24">
        <v>-1941</v>
      </c>
    </row>
    <row r="34" spans="1:9">
      <c r="A34" s="23">
        <v>2019</v>
      </c>
      <c r="B34" s="21" t="s">
        <v>53</v>
      </c>
      <c r="C34" s="23">
        <v>4401310000</v>
      </c>
      <c r="D34" s="21" t="s">
        <v>77</v>
      </c>
      <c r="E34" s="23">
        <v>0.1</v>
      </c>
      <c r="F34" s="22">
        <v>1941460.4</v>
      </c>
      <c r="G34" s="23">
        <v>0</v>
      </c>
      <c r="H34" s="24">
        <v>221474</v>
      </c>
      <c r="I34" s="24">
        <v>-221474</v>
      </c>
    </row>
    <row r="35" spans="1:9">
      <c r="A35" s="23">
        <v>2019</v>
      </c>
      <c r="B35" s="21" t="s">
        <v>53</v>
      </c>
      <c r="C35" s="23">
        <v>4401310000</v>
      </c>
      <c r="D35" s="21" t="s">
        <v>57</v>
      </c>
      <c r="E35" s="23">
        <v>0</v>
      </c>
      <c r="F35" s="22">
        <v>8026.5</v>
      </c>
      <c r="G35" s="23">
        <v>0</v>
      </c>
      <c r="H35" s="24">
        <v>1153</v>
      </c>
      <c r="I35" s="24">
        <v>-1153</v>
      </c>
    </row>
    <row r="36" spans="1:9">
      <c r="A36" s="23">
        <v>2019</v>
      </c>
      <c r="B36" s="21" t="s">
        <v>53</v>
      </c>
      <c r="C36" s="23">
        <v>4401310000</v>
      </c>
      <c r="D36" s="21" t="s">
        <v>58</v>
      </c>
      <c r="E36" s="23">
        <v>0</v>
      </c>
      <c r="F36" s="23">
        <v>82.2</v>
      </c>
      <c r="G36" s="23">
        <v>0</v>
      </c>
      <c r="H36" s="23">
        <v>72</v>
      </c>
      <c r="I36" s="23">
        <v>-72</v>
      </c>
    </row>
    <row r="37" spans="1:9">
      <c r="A37" s="23">
        <v>2019</v>
      </c>
      <c r="B37" s="21" t="s">
        <v>53</v>
      </c>
      <c r="C37" s="23">
        <v>4401310000</v>
      </c>
      <c r="D37" s="21" t="s">
        <v>80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</row>
    <row r="38" spans="1:9">
      <c r="A38" s="23">
        <v>2019</v>
      </c>
      <c r="B38" s="21" t="s">
        <v>53</v>
      </c>
      <c r="C38" s="23">
        <v>4401310000</v>
      </c>
      <c r="D38" s="21" t="s">
        <v>81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</row>
    <row r="39" spans="1:9">
      <c r="A39" s="23">
        <v>2019</v>
      </c>
      <c r="B39" s="21" t="s">
        <v>53</v>
      </c>
      <c r="C39" s="23">
        <v>4401310000</v>
      </c>
      <c r="D39" s="21" t="s">
        <v>61</v>
      </c>
      <c r="E39" s="23">
        <v>0</v>
      </c>
      <c r="F39" s="22">
        <v>239037</v>
      </c>
      <c r="G39" s="23">
        <v>0</v>
      </c>
      <c r="H39" s="24">
        <v>31936</v>
      </c>
      <c r="I39" s="24">
        <v>-31936</v>
      </c>
    </row>
    <row r="40" spans="1:9">
      <c r="A40" s="23">
        <v>2019</v>
      </c>
      <c r="B40" s="21" t="s">
        <v>53</v>
      </c>
      <c r="C40" s="23">
        <v>4401310000</v>
      </c>
      <c r="D40" s="21" t="s">
        <v>82</v>
      </c>
      <c r="E40" s="23">
        <v>0.4</v>
      </c>
      <c r="F40" s="23">
        <v>0</v>
      </c>
      <c r="G40" s="23">
        <v>8</v>
      </c>
      <c r="H40" s="23">
        <v>0</v>
      </c>
      <c r="I40" s="23">
        <v>8</v>
      </c>
    </row>
    <row r="41" spans="1:9">
      <c r="A41" s="23">
        <v>2019</v>
      </c>
      <c r="B41" s="21" t="s">
        <v>53</v>
      </c>
      <c r="C41" s="23">
        <v>4401310000</v>
      </c>
      <c r="D41" s="21" t="s">
        <v>63</v>
      </c>
      <c r="E41" s="23">
        <v>0</v>
      </c>
      <c r="F41" s="23">
        <v>197.5</v>
      </c>
      <c r="G41" s="23">
        <v>0</v>
      </c>
      <c r="H41" s="23">
        <v>47</v>
      </c>
      <c r="I41" s="23">
        <v>-47</v>
      </c>
    </row>
    <row r="42" spans="1:9">
      <c r="A42" s="23">
        <v>2019</v>
      </c>
      <c r="B42" s="21" t="s">
        <v>53</v>
      </c>
      <c r="C42" s="23">
        <v>4401310000</v>
      </c>
      <c r="D42" s="21" t="s">
        <v>83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</row>
    <row r="43" spans="1:9">
      <c r="A43" s="23">
        <v>2019</v>
      </c>
      <c r="B43" s="21" t="s">
        <v>53</v>
      </c>
      <c r="C43" s="23">
        <v>4401310000</v>
      </c>
      <c r="D43" s="21" t="s">
        <v>84</v>
      </c>
      <c r="E43" s="23">
        <v>0</v>
      </c>
      <c r="F43" s="23">
        <v>126</v>
      </c>
      <c r="G43" s="23">
        <v>0</v>
      </c>
      <c r="H43" s="23">
        <v>29</v>
      </c>
      <c r="I43" s="23">
        <v>-29</v>
      </c>
    </row>
    <row r="44" spans="1:9">
      <c r="A44" s="23">
        <v>2019</v>
      </c>
      <c r="B44" s="21" t="s">
        <v>53</v>
      </c>
      <c r="C44" s="23">
        <v>4401310000</v>
      </c>
      <c r="D44" s="21" t="s">
        <v>65</v>
      </c>
      <c r="E44" s="23">
        <v>72</v>
      </c>
      <c r="F44" s="22">
        <v>520292.4</v>
      </c>
      <c r="G44" s="23">
        <v>8</v>
      </c>
      <c r="H44" s="24">
        <v>67425</v>
      </c>
      <c r="I44" s="24">
        <v>-67417</v>
      </c>
    </row>
    <row r="45" spans="1:9">
      <c r="A45" s="23">
        <v>2019</v>
      </c>
      <c r="B45" s="21" t="s">
        <v>53</v>
      </c>
      <c r="C45" s="23">
        <v>4401310000</v>
      </c>
      <c r="D45" s="21" t="s">
        <v>66</v>
      </c>
      <c r="E45" s="23">
        <v>0</v>
      </c>
      <c r="F45" s="23">
        <v>76.400000000000006</v>
      </c>
      <c r="G45" s="23">
        <v>0</v>
      </c>
      <c r="H45" s="23">
        <v>35</v>
      </c>
      <c r="I45" s="23">
        <v>-35</v>
      </c>
    </row>
    <row r="46" spans="1:9">
      <c r="A46" s="23">
        <v>2019</v>
      </c>
      <c r="B46" s="21" t="s">
        <v>53</v>
      </c>
      <c r="C46" s="23">
        <v>4401310000</v>
      </c>
      <c r="D46" s="21" t="s">
        <v>67</v>
      </c>
      <c r="E46" s="23">
        <v>0</v>
      </c>
      <c r="F46" s="22">
        <v>19822.2</v>
      </c>
      <c r="G46" s="23">
        <v>0</v>
      </c>
      <c r="H46" s="24">
        <v>4043</v>
      </c>
      <c r="I46" s="24">
        <v>-4043</v>
      </c>
    </row>
    <row r="47" spans="1:9">
      <c r="A47" s="23">
        <v>2019</v>
      </c>
      <c r="B47" s="21" t="s">
        <v>53</v>
      </c>
      <c r="C47" s="23">
        <v>4401310000</v>
      </c>
      <c r="D47" s="21" t="s">
        <v>68</v>
      </c>
      <c r="E47" s="23">
        <v>0</v>
      </c>
      <c r="F47" s="22">
        <v>1164.0999999999999</v>
      </c>
      <c r="G47" s="23">
        <v>0</v>
      </c>
      <c r="H47" s="23">
        <v>166</v>
      </c>
      <c r="I47" s="23">
        <v>-166</v>
      </c>
    </row>
    <row r="48" spans="1:9">
      <c r="A48" s="23">
        <v>2019</v>
      </c>
      <c r="B48" s="21" t="s">
        <v>53</v>
      </c>
      <c r="C48" s="23">
        <v>4401310000</v>
      </c>
      <c r="D48" s="21" t="s">
        <v>69</v>
      </c>
      <c r="E48" s="23">
        <v>0</v>
      </c>
      <c r="F48" s="23">
        <v>57</v>
      </c>
      <c r="G48" s="23">
        <v>0</v>
      </c>
      <c r="H48" s="23">
        <v>26</v>
      </c>
      <c r="I48" s="23">
        <v>-26</v>
      </c>
    </row>
    <row r="49" spans="1:9">
      <c r="A49" s="23">
        <v>2019</v>
      </c>
      <c r="B49" s="21" t="s">
        <v>53</v>
      </c>
      <c r="C49" s="23">
        <v>4401310000</v>
      </c>
      <c r="D49" s="21" t="s">
        <v>70</v>
      </c>
      <c r="E49" s="23">
        <v>0</v>
      </c>
      <c r="F49" s="22">
        <v>99480.3</v>
      </c>
      <c r="G49" s="23">
        <v>0</v>
      </c>
      <c r="H49" s="24">
        <v>12852</v>
      </c>
      <c r="I49" s="24">
        <v>-12852</v>
      </c>
    </row>
    <row r="50" spans="1:9">
      <c r="A50" s="23">
        <v>2019</v>
      </c>
      <c r="B50" s="21" t="s">
        <v>53</v>
      </c>
      <c r="C50" s="23">
        <v>4401310000</v>
      </c>
      <c r="D50" s="21" t="s">
        <v>71</v>
      </c>
      <c r="E50" s="23">
        <v>0</v>
      </c>
      <c r="F50" s="23">
        <v>0.1</v>
      </c>
      <c r="G50" s="23">
        <v>0</v>
      </c>
      <c r="H50" s="23">
        <v>1</v>
      </c>
      <c r="I50" s="23">
        <v>-1</v>
      </c>
    </row>
    <row r="51" spans="1:9">
      <c r="A51" s="23">
        <v>2019</v>
      </c>
      <c r="B51" s="21" t="s">
        <v>53</v>
      </c>
      <c r="C51" s="23">
        <v>4401310000</v>
      </c>
      <c r="D51" s="21" t="s">
        <v>72</v>
      </c>
      <c r="E51" s="23">
        <v>0</v>
      </c>
      <c r="F51" s="22">
        <v>157124</v>
      </c>
      <c r="G51" s="23">
        <v>0</v>
      </c>
      <c r="H51" s="24">
        <v>20212</v>
      </c>
      <c r="I51" s="24">
        <v>-20212</v>
      </c>
    </row>
    <row r="52" spans="1:9">
      <c r="A52" s="23">
        <v>2019</v>
      </c>
      <c r="B52" s="21" t="s">
        <v>53</v>
      </c>
      <c r="C52" s="23">
        <v>4401310000</v>
      </c>
      <c r="D52" s="21" t="s">
        <v>74</v>
      </c>
      <c r="E52" s="23">
        <v>0</v>
      </c>
      <c r="F52" s="23">
        <v>917.2</v>
      </c>
      <c r="G52" s="23">
        <v>0</v>
      </c>
      <c r="H52" s="23">
        <v>174</v>
      </c>
      <c r="I52" s="23">
        <v>-174</v>
      </c>
    </row>
    <row r="53" spans="1:9">
      <c r="A53" s="23">
        <v>2019</v>
      </c>
      <c r="B53" s="21" t="s">
        <v>53</v>
      </c>
      <c r="C53" s="23">
        <v>4401310000</v>
      </c>
      <c r="D53" s="21" t="s">
        <v>75</v>
      </c>
      <c r="E53" s="23">
        <v>0.9</v>
      </c>
      <c r="F53" s="22">
        <v>1653.7</v>
      </c>
      <c r="G53" s="23">
        <v>2</v>
      </c>
      <c r="H53" s="23">
        <v>368</v>
      </c>
      <c r="I53" s="23">
        <v>-366</v>
      </c>
    </row>
    <row r="54" spans="1:9">
      <c r="A54" s="23">
        <v>2019</v>
      </c>
      <c r="B54" s="21" t="s">
        <v>53</v>
      </c>
      <c r="C54" s="23">
        <v>4401310000</v>
      </c>
      <c r="D54" s="21" t="s">
        <v>85</v>
      </c>
      <c r="E54" s="23">
        <v>0</v>
      </c>
      <c r="F54" s="22">
        <v>1639</v>
      </c>
      <c r="G54" s="23">
        <v>0</v>
      </c>
      <c r="H54" s="23">
        <v>328</v>
      </c>
      <c r="I54" s="23">
        <v>-328</v>
      </c>
    </row>
    <row r="55" spans="1:9">
      <c r="A55" s="23">
        <v>2020</v>
      </c>
      <c r="B55" s="21" t="s">
        <v>53</v>
      </c>
      <c r="C55" s="23">
        <v>4401310000</v>
      </c>
      <c r="D55" s="21" t="s">
        <v>54</v>
      </c>
      <c r="E55" s="23">
        <v>0</v>
      </c>
      <c r="F55" s="23">
        <v>0.3</v>
      </c>
      <c r="G55" s="23">
        <v>0</v>
      </c>
      <c r="H55" s="23">
        <v>1</v>
      </c>
      <c r="I55" s="23">
        <v>-1</v>
      </c>
    </row>
    <row r="56" spans="1:9">
      <c r="A56" s="23">
        <v>2020</v>
      </c>
      <c r="B56" s="21" t="s">
        <v>53</v>
      </c>
      <c r="C56" s="23">
        <v>4401310000</v>
      </c>
      <c r="D56" s="21" t="s">
        <v>56</v>
      </c>
      <c r="E56" s="23">
        <v>0</v>
      </c>
      <c r="F56" s="22">
        <v>51594.8</v>
      </c>
      <c r="G56" s="23">
        <v>0</v>
      </c>
      <c r="H56" s="24">
        <v>9251</v>
      </c>
      <c r="I56" s="24">
        <v>-9251</v>
      </c>
    </row>
    <row r="57" spans="1:9">
      <c r="A57" s="23">
        <v>2020</v>
      </c>
      <c r="B57" s="21" t="s">
        <v>53</v>
      </c>
      <c r="C57" s="23">
        <v>4401310000</v>
      </c>
      <c r="D57" s="21" t="s">
        <v>77</v>
      </c>
      <c r="E57" s="23">
        <v>0</v>
      </c>
      <c r="F57" s="22">
        <v>1912404.9</v>
      </c>
      <c r="G57" s="23">
        <v>0</v>
      </c>
      <c r="H57" s="24">
        <v>201249</v>
      </c>
      <c r="I57" s="24">
        <v>-201249</v>
      </c>
    </row>
    <row r="58" spans="1:9">
      <c r="A58" s="23">
        <v>2020</v>
      </c>
      <c r="B58" s="21" t="s">
        <v>53</v>
      </c>
      <c r="C58" s="23">
        <v>4401310000</v>
      </c>
      <c r="D58" s="21" t="s">
        <v>75</v>
      </c>
      <c r="E58" s="23">
        <v>0</v>
      </c>
      <c r="F58" s="23">
        <v>56.5</v>
      </c>
      <c r="G58" s="23">
        <v>0</v>
      </c>
      <c r="H58" s="23">
        <v>47</v>
      </c>
      <c r="I58" s="23">
        <v>-47</v>
      </c>
    </row>
    <row r="59" spans="1:9">
      <c r="A59" s="23">
        <v>2020</v>
      </c>
      <c r="B59" s="21" t="s">
        <v>53</v>
      </c>
      <c r="C59" s="23">
        <v>4401310000</v>
      </c>
      <c r="D59" s="21" t="s">
        <v>74</v>
      </c>
      <c r="E59" s="23">
        <v>0</v>
      </c>
      <c r="F59" s="23">
        <v>453.6</v>
      </c>
      <c r="G59" s="23">
        <v>0</v>
      </c>
      <c r="H59" s="23">
        <v>87</v>
      </c>
      <c r="I59" s="23">
        <v>-87</v>
      </c>
    </row>
    <row r="60" spans="1:9">
      <c r="A60" s="23">
        <v>2020</v>
      </c>
      <c r="B60" s="21" t="s">
        <v>53</v>
      </c>
      <c r="C60" s="23">
        <v>4401310000</v>
      </c>
      <c r="D60" s="21" t="s">
        <v>72</v>
      </c>
      <c r="E60" s="23">
        <v>0</v>
      </c>
      <c r="F60" s="22">
        <v>49249.7</v>
      </c>
      <c r="G60" s="23">
        <v>0</v>
      </c>
      <c r="H60" s="24">
        <v>5323</v>
      </c>
      <c r="I60" s="24">
        <v>-5323</v>
      </c>
    </row>
    <row r="61" spans="1:9">
      <c r="A61" s="23">
        <v>2020</v>
      </c>
      <c r="B61" s="21" t="s">
        <v>53</v>
      </c>
      <c r="C61" s="23">
        <v>4401310000</v>
      </c>
      <c r="D61" s="21" t="s">
        <v>71</v>
      </c>
      <c r="E61" s="23">
        <v>0</v>
      </c>
      <c r="F61" s="23">
        <v>0.1</v>
      </c>
      <c r="G61" s="23">
        <v>0</v>
      </c>
      <c r="H61" s="23">
        <v>1</v>
      </c>
      <c r="I61" s="23">
        <v>-1</v>
      </c>
    </row>
    <row r="62" spans="1:9">
      <c r="A62" s="23">
        <v>2020</v>
      </c>
      <c r="B62" s="21" t="s">
        <v>53</v>
      </c>
      <c r="C62" s="23">
        <v>4401310000</v>
      </c>
      <c r="D62" s="21" t="s">
        <v>70</v>
      </c>
      <c r="E62" s="23">
        <v>0</v>
      </c>
      <c r="F62" s="22">
        <v>164592.79999999999</v>
      </c>
      <c r="G62" s="23">
        <v>0</v>
      </c>
      <c r="H62" s="24">
        <v>18222</v>
      </c>
      <c r="I62" s="24">
        <v>-18222</v>
      </c>
    </row>
    <row r="63" spans="1:9">
      <c r="A63" s="23">
        <v>2020</v>
      </c>
      <c r="B63" s="21" t="s">
        <v>53</v>
      </c>
      <c r="C63" s="23">
        <v>4401310000</v>
      </c>
      <c r="D63" s="21" t="s">
        <v>69</v>
      </c>
      <c r="E63" s="23">
        <v>0</v>
      </c>
      <c r="F63" s="23">
        <v>60.5</v>
      </c>
      <c r="G63" s="23">
        <v>0</v>
      </c>
      <c r="H63" s="23">
        <v>27</v>
      </c>
      <c r="I63" s="23">
        <v>-27</v>
      </c>
    </row>
    <row r="64" spans="1:9">
      <c r="A64" s="23">
        <v>2020</v>
      </c>
      <c r="B64" s="21" t="s">
        <v>53</v>
      </c>
      <c r="C64" s="23">
        <v>4401310000</v>
      </c>
      <c r="D64" s="21" t="s">
        <v>68</v>
      </c>
      <c r="E64" s="23">
        <v>0</v>
      </c>
      <c r="F64" s="23">
        <v>72</v>
      </c>
      <c r="G64" s="23">
        <v>0</v>
      </c>
      <c r="H64" s="23">
        <v>13</v>
      </c>
      <c r="I64" s="23">
        <v>-13</v>
      </c>
    </row>
    <row r="65" spans="1:9">
      <c r="A65" s="23">
        <v>2020</v>
      </c>
      <c r="B65" s="21" t="s">
        <v>53</v>
      </c>
      <c r="C65" s="23">
        <v>4401310000</v>
      </c>
      <c r="D65" s="21" t="s">
        <v>67</v>
      </c>
      <c r="E65" s="23">
        <v>0</v>
      </c>
      <c r="F65" s="22">
        <v>8933.6</v>
      </c>
      <c r="G65" s="23">
        <v>0</v>
      </c>
      <c r="H65" s="24">
        <v>1744</v>
      </c>
      <c r="I65" s="24">
        <v>-1744</v>
      </c>
    </row>
    <row r="66" spans="1:9">
      <c r="A66" s="23">
        <v>2020</v>
      </c>
      <c r="B66" s="21" t="s">
        <v>53</v>
      </c>
      <c r="C66" s="23">
        <v>4401310000</v>
      </c>
      <c r="D66" s="21" t="s">
        <v>66</v>
      </c>
      <c r="E66" s="23">
        <v>0</v>
      </c>
      <c r="F66" s="23">
        <v>12.9</v>
      </c>
      <c r="G66" s="23">
        <v>0</v>
      </c>
      <c r="H66" s="23">
        <v>6</v>
      </c>
      <c r="I66" s="23">
        <v>-6</v>
      </c>
    </row>
    <row r="67" spans="1:9">
      <c r="A67" s="23">
        <v>2020</v>
      </c>
      <c r="B67" s="21" t="s">
        <v>53</v>
      </c>
      <c r="C67" s="23">
        <v>4401310000</v>
      </c>
      <c r="D67" s="21" t="s">
        <v>65</v>
      </c>
      <c r="E67" s="23">
        <v>0</v>
      </c>
      <c r="F67" s="22">
        <v>508223</v>
      </c>
      <c r="G67" s="23">
        <v>0</v>
      </c>
      <c r="H67" s="24">
        <v>57453</v>
      </c>
      <c r="I67" s="24">
        <v>-57453</v>
      </c>
    </row>
    <row r="68" spans="1:9">
      <c r="A68" s="23">
        <v>2020</v>
      </c>
      <c r="B68" s="21" t="s">
        <v>53</v>
      </c>
      <c r="C68" s="23">
        <v>4401310000</v>
      </c>
      <c r="D68" s="21" t="s">
        <v>86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</row>
    <row r="69" spans="1:9">
      <c r="A69" s="23">
        <v>2020</v>
      </c>
      <c r="B69" s="21" t="s">
        <v>53</v>
      </c>
      <c r="C69" s="23">
        <v>4401310000</v>
      </c>
      <c r="D69" s="21" t="s">
        <v>87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</row>
    <row r="70" spans="1:9">
      <c r="A70" s="23">
        <v>2020</v>
      </c>
      <c r="B70" s="21" t="s">
        <v>53</v>
      </c>
      <c r="C70" s="23">
        <v>4401310000</v>
      </c>
      <c r="D70" s="21" t="s">
        <v>63</v>
      </c>
      <c r="E70" s="23">
        <v>0</v>
      </c>
      <c r="F70" s="23">
        <v>889.6</v>
      </c>
      <c r="G70" s="23">
        <v>0</v>
      </c>
      <c r="H70" s="23">
        <v>132</v>
      </c>
      <c r="I70" s="23">
        <v>-132</v>
      </c>
    </row>
    <row r="71" spans="1:9">
      <c r="A71" s="23">
        <v>2020</v>
      </c>
      <c r="B71" s="21" t="s">
        <v>53</v>
      </c>
      <c r="C71" s="23">
        <v>4401310000</v>
      </c>
      <c r="D71" s="21" t="s">
        <v>61</v>
      </c>
      <c r="E71" s="23">
        <v>0</v>
      </c>
      <c r="F71" s="22">
        <v>302704.09999999998</v>
      </c>
      <c r="G71" s="23">
        <v>0</v>
      </c>
      <c r="H71" s="24">
        <v>34734</v>
      </c>
      <c r="I71" s="24">
        <v>-34734</v>
      </c>
    </row>
    <row r="72" spans="1:9">
      <c r="A72" s="23">
        <v>2020</v>
      </c>
      <c r="B72" s="21" t="s">
        <v>53</v>
      </c>
      <c r="C72" s="23">
        <v>4401310000</v>
      </c>
      <c r="D72" s="21" t="s">
        <v>60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</row>
    <row r="73" spans="1:9">
      <c r="A73" s="23">
        <v>2020</v>
      </c>
      <c r="B73" s="21" t="s">
        <v>53</v>
      </c>
      <c r="C73" s="23">
        <v>4401310000</v>
      </c>
      <c r="D73" s="21" t="s">
        <v>88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</row>
    <row r="74" spans="1:9">
      <c r="A74" s="23">
        <v>2020</v>
      </c>
      <c r="B74" s="21" t="s">
        <v>53</v>
      </c>
      <c r="C74" s="23">
        <v>4401310000</v>
      </c>
      <c r="D74" s="21" t="s">
        <v>58</v>
      </c>
      <c r="E74" s="23">
        <v>0</v>
      </c>
      <c r="F74" s="23">
        <v>44.8</v>
      </c>
      <c r="G74" s="23">
        <v>0</v>
      </c>
      <c r="H74" s="23">
        <v>42</v>
      </c>
      <c r="I74" s="23">
        <v>-42</v>
      </c>
    </row>
    <row r="75" spans="1:9">
      <c r="A75" s="23">
        <v>2020</v>
      </c>
      <c r="B75" s="21" t="s">
        <v>53</v>
      </c>
      <c r="C75" s="23">
        <v>4401310000</v>
      </c>
      <c r="D75" s="21" t="s">
        <v>57</v>
      </c>
      <c r="E75" s="23">
        <v>0.2</v>
      </c>
      <c r="F75" s="22">
        <v>3374.7</v>
      </c>
      <c r="G75" s="23">
        <v>0</v>
      </c>
      <c r="H75" s="23">
        <v>493</v>
      </c>
      <c r="I75" s="23">
        <v>-493</v>
      </c>
    </row>
    <row r="76" spans="1:9">
      <c r="A76" s="23">
        <v>2020</v>
      </c>
      <c r="B76" s="21" t="s">
        <v>53</v>
      </c>
      <c r="C76" s="23">
        <v>4401310000</v>
      </c>
      <c r="D76" s="21" t="s">
        <v>85</v>
      </c>
      <c r="E76" s="23">
        <v>0</v>
      </c>
      <c r="F76" s="22">
        <v>1223.5999999999999</v>
      </c>
      <c r="G76" s="23">
        <v>0</v>
      </c>
      <c r="H76" s="23">
        <v>245</v>
      </c>
      <c r="I76" s="23">
        <v>-245</v>
      </c>
    </row>
    <row r="77" spans="1:9">
      <c r="A77" s="23">
        <v>2021</v>
      </c>
      <c r="B77" s="21" t="s">
        <v>53</v>
      </c>
      <c r="C77" s="23">
        <v>4401310000</v>
      </c>
      <c r="D77" s="21" t="s">
        <v>89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</row>
    <row r="78" spans="1:9">
      <c r="A78" s="23">
        <v>2021</v>
      </c>
      <c r="B78" s="21" t="s">
        <v>53</v>
      </c>
      <c r="C78" s="23">
        <v>4401310000</v>
      </c>
      <c r="D78" s="21" t="s">
        <v>77</v>
      </c>
      <c r="E78" s="23">
        <v>0</v>
      </c>
      <c r="F78" s="22">
        <v>1576745.6</v>
      </c>
      <c r="G78" s="23">
        <v>0</v>
      </c>
      <c r="H78" s="24">
        <v>181986</v>
      </c>
      <c r="I78" s="24">
        <v>-181986</v>
      </c>
    </row>
    <row r="79" spans="1:9">
      <c r="A79" s="23">
        <v>2021</v>
      </c>
      <c r="B79" s="21" t="s">
        <v>53</v>
      </c>
      <c r="C79" s="23">
        <v>4401310000</v>
      </c>
      <c r="D79" s="21" t="s">
        <v>74</v>
      </c>
      <c r="E79" s="23">
        <v>0</v>
      </c>
      <c r="F79" s="23">
        <v>113.7</v>
      </c>
      <c r="G79" s="23">
        <v>0</v>
      </c>
      <c r="H79" s="23">
        <v>45</v>
      </c>
      <c r="I79" s="23">
        <v>-45</v>
      </c>
    </row>
    <row r="80" spans="1:9">
      <c r="A80" s="23">
        <v>2021</v>
      </c>
      <c r="B80" s="21" t="s">
        <v>53</v>
      </c>
      <c r="C80" s="23">
        <v>4401310000</v>
      </c>
      <c r="D80" s="21" t="s">
        <v>90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</row>
    <row r="81" spans="1:9">
      <c r="A81" s="23">
        <v>2021</v>
      </c>
      <c r="B81" s="21" t="s">
        <v>53</v>
      </c>
      <c r="C81" s="23">
        <v>4401310000</v>
      </c>
      <c r="D81" s="21" t="s">
        <v>72</v>
      </c>
      <c r="E81" s="23">
        <v>0</v>
      </c>
      <c r="F81" s="23">
        <v>0.1</v>
      </c>
      <c r="G81" s="23">
        <v>0</v>
      </c>
      <c r="H81" s="23">
        <v>0</v>
      </c>
      <c r="I81" s="23">
        <v>0</v>
      </c>
    </row>
    <row r="82" spans="1:9">
      <c r="A82" s="23">
        <v>2021</v>
      </c>
      <c r="B82" s="21" t="s">
        <v>53</v>
      </c>
      <c r="C82" s="23">
        <v>4401310000</v>
      </c>
      <c r="D82" s="21" t="s">
        <v>71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</row>
    <row r="83" spans="1:9">
      <c r="A83" s="23">
        <v>2021</v>
      </c>
      <c r="B83" s="21" t="s">
        <v>53</v>
      </c>
      <c r="C83" s="23">
        <v>4401310000</v>
      </c>
      <c r="D83" s="21" t="s">
        <v>70</v>
      </c>
      <c r="E83" s="23">
        <v>0</v>
      </c>
      <c r="F83" s="22">
        <v>116460.5</v>
      </c>
      <c r="G83" s="23">
        <v>0</v>
      </c>
      <c r="H83" s="24">
        <v>14382</v>
      </c>
      <c r="I83" s="24">
        <v>-14382</v>
      </c>
    </row>
    <row r="84" spans="1:9">
      <c r="A84" s="23">
        <v>2021</v>
      </c>
      <c r="B84" s="21" t="s">
        <v>53</v>
      </c>
      <c r="C84" s="23">
        <v>4401310000</v>
      </c>
      <c r="D84" s="21" t="s">
        <v>69</v>
      </c>
      <c r="E84" s="23">
        <v>0</v>
      </c>
      <c r="F84" s="23">
        <v>21.6</v>
      </c>
      <c r="G84" s="23">
        <v>0</v>
      </c>
      <c r="H84" s="23">
        <v>10</v>
      </c>
      <c r="I84" s="23">
        <v>-10</v>
      </c>
    </row>
    <row r="85" spans="1:9">
      <c r="A85" s="23">
        <v>2021</v>
      </c>
      <c r="B85" s="21" t="s">
        <v>53</v>
      </c>
      <c r="C85" s="23">
        <v>4401310000</v>
      </c>
      <c r="D85" s="21" t="s">
        <v>68</v>
      </c>
      <c r="E85" s="23">
        <v>0</v>
      </c>
      <c r="F85" s="23">
        <v>48</v>
      </c>
      <c r="G85" s="23">
        <v>0</v>
      </c>
      <c r="H85" s="23">
        <v>26</v>
      </c>
      <c r="I85" s="23">
        <v>-26</v>
      </c>
    </row>
    <row r="86" spans="1:9">
      <c r="A86" s="23">
        <v>2021</v>
      </c>
      <c r="B86" s="21" t="s">
        <v>53</v>
      </c>
      <c r="C86" s="23">
        <v>4401310000</v>
      </c>
      <c r="D86" s="21" t="s">
        <v>67</v>
      </c>
      <c r="E86" s="23">
        <v>0</v>
      </c>
      <c r="F86" s="22">
        <v>3858.8</v>
      </c>
      <c r="G86" s="23">
        <v>0</v>
      </c>
      <c r="H86" s="23">
        <v>743</v>
      </c>
      <c r="I86" s="23">
        <v>-743</v>
      </c>
    </row>
    <row r="87" spans="1:9">
      <c r="A87" s="23">
        <v>2021</v>
      </c>
      <c r="B87" s="21" t="s">
        <v>53</v>
      </c>
      <c r="C87" s="23">
        <v>4401310000</v>
      </c>
      <c r="D87" s="21" t="s">
        <v>66</v>
      </c>
      <c r="E87" s="23">
        <v>0</v>
      </c>
      <c r="F87" s="23">
        <v>25.9</v>
      </c>
      <c r="G87" s="23">
        <v>0</v>
      </c>
      <c r="H87" s="23">
        <v>12</v>
      </c>
      <c r="I87" s="23">
        <v>-12</v>
      </c>
    </row>
    <row r="88" spans="1:9">
      <c r="A88" s="23">
        <v>2021</v>
      </c>
      <c r="B88" s="21" t="s">
        <v>53</v>
      </c>
      <c r="C88" s="23">
        <v>4401310000</v>
      </c>
      <c r="D88" s="21" t="s">
        <v>65</v>
      </c>
      <c r="E88" s="23">
        <v>0</v>
      </c>
      <c r="F88" s="22">
        <v>283363.90000000002</v>
      </c>
      <c r="G88" s="23">
        <v>0</v>
      </c>
      <c r="H88" s="24">
        <v>33243</v>
      </c>
      <c r="I88" s="24">
        <v>-33243</v>
      </c>
    </row>
    <row r="89" spans="1:9">
      <c r="A89" s="23">
        <v>2021</v>
      </c>
      <c r="B89" s="21" t="s">
        <v>53</v>
      </c>
      <c r="C89" s="23">
        <v>4401310000</v>
      </c>
      <c r="D89" s="21" t="s">
        <v>63</v>
      </c>
      <c r="E89" s="23">
        <v>0</v>
      </c>
      <c r="F89" s="23">
        <v>765.8</v>
      </c>
      <c r="G89" s="23">
        <v>0</v>
      </c>
      <c r="H89" s="23">
        <v>103</v>
      </c>
      <c r="I89" s="23">
        <v>-103</v>
      </c>
    </row>
    <row r="90" spans="1:9">
      <c r="A90" s="23">
        <v>2021</v>
      </c>
      <c r="B90" s="21" t="s">
        <v>53</v>
      </c>
      <c r="C90" s="23">
        <v>4401310000</v>
      </c>
      <c r="D90" s="21" t="s">
        <v>91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</row>
    <row r="91" spans="1:9">
      <c r="A91" s="23">
        <v>2021</v>
      </c>
      <c r="B91" s="21" t="s">
        <v>53</v>
      </c>
      <c r="C91" s="23">
        <v>4401310000</v>
      </c>
      <c r="D91" s="21" t="s">
        <v>61</v>
      </c>
      <c r="E91" s="23">
        <v>0</v>
      </c>
      <c r="F91" s="22">
        <v>181846.6</v>
      </c>
      <c r="G91" s="23">
        <v>0</v>
      </c>
      <c r="H91" s="24">
        <v>22537</v>
      </c>
      <c r="I91" s="24">
        <v>-22537</v>
      </c>
    </row>
    <row r="92" spans="1:9">
      <c r="A92" s="23">
        <v>2021</v>
      </c>
      <c r="B92" s="21" t="s">
        <v>53</v>
      </c>
      <c r="C92" s="23">
        <v>4401310000</v>
      </c>
      <c r="D92" s="21" t="s">
        <v>92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</row>
    <row r="93" spans="1:9">
      <c r="A93" s="23">
        <v>2021</v>
      </c>
      <c r="B93" s="21" t="s">
        <v>53</v>
      </c>
      <c r="C93" s="23">
        <v>4401310000</v>
      </c>
      <c r="D93" s="21" t="s">
        <v>58</v>
      </c>
      <c r="E93" s="23">
        <v>0</v>
      </c>
      <c r="F93" s="23">
        <v>34</v>
      </c>
      <c r="G93" s="23">
        <v>0</v>
      </c>
      <c r="H93" s="23">
        <v>24</v>
      </c>
      <c r="I93" s="23">
        <v>-24</v>
      </c>
    </row>
    <row r="94" spans="1:9">
      <c r="A94" s="23">
        <v>2021</v>
      </c>
      <c r="B94" s="21" t="s">
        <v>53</v>
      </c>
      <c r="C94" s="23">
        <v>4401310000</v>
      </c>
      <c r="D94" s="21" t="s">
        <v>57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</row>
    <row r="95" spans="1:9">
      <c r="A95" s="23">
        <v>2021</v>
      </c>
      <c r="B95" s="21" t="s">
        <v>53</v>
      </c>
      <c r="C95" s="23">
        <v>4401310000</v>
      </c>
      <c r="D95" s="21" t="s">
        <v>56</v>
      </c>
      <c r="E95" s="23">
        <v>0</v>
      </c>
      <c r="F95" s="22">
        <v>161697.79999999999</v>
      </c>
      <c r="G95" s="23">
        <v>0</v>
      </c>
      <c r="H95" s="24">
        <v>32055</v>
      </c>
      <c r="I95" s="24">
        <v>-32055</v>
      </c>
    </row>
    <row r="96" spans="1:9">
      <c r="A96" s="23">
        <v>2021</v>
      </c>
      <c r="B96" s="21" t="s">
        <v>53</v>
      </c>
      <c r="C96" s="23">
        <v>4401310000</v>
      </c>
      <c r="D96" s="21" t="s">
        <v>55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</row>
    <row r="97" spans="1:9">
      <c r="A97" s="23">
        <v>2021</v>
      </c>
      <c r="B97" s="21" t="s">
        <v>53</v>
      </c>
      <c r="C97" s="23">
        <v>4401310000</v>
      </c>
      <c r="D97" s="21" t="s">
        <v>54</v>
      </c>
      <c r="E97" s="23">
        <v>0</v>
      </c>
      <c r="F97" s="23">
        <v>0.1</v>
      </c>
      <c r="G97" s="23">
        <v>0</v>
      </c>
      <c r="H97" s="23">
        <v>0</v>
      </c>
      <c r="I97" s="23">
        <v>0</v>
      </c>
    </row>
    <row r="98" spans="1:9">
      <c r="A98" s="23">
        <v>2021</v>
      </c>
      <c r="B98" s="21" t="s">
        <v>53</v>
      </c>
      <c r="C98" s="23">
        <v>4401310000</v>
      </c>
      <c r="D98" s="21" t="s">
        <v>75</v>
      </c>
      <c r="E98" s="23">
        <v>0</v>
      </c>
      <c r="F98" s="23">
        <v>26.7</v>
      </c>
      <c r="G98" s="23">
        <v>0</v>
      </c>
      <c r="H98" s="23">
        <v>7</v>
      </c>
      <c r="I98" s="23">
        <v>-7</v>
      </c>
    </row>
    <row r="100" spans="1:9" ht="15.75" thickBot="1"/>
    <row r="101" spans="1:9">
      <c r="A101" s="5"/>
      <c r="B101" s="6">
        <v>2018</v>
      </c>
      <c r="C101" s="6">
        <v>2019</v>
      </c>
      <c r="D101" s="6">
        <v>2020</v>
      </c>
      <c r="E101" s="7">
        <v>2021</v>
      </c>
    </row>
    <row r="102" spans="1:9">
      <c r="A102" s="8" t="s">
        <v>32</v>
      </c>
      <c r="B102" s="9">
        <f>SUM(H7:H32)</f>
        <v>521768</v>
      </c>
      <c r="C102" s="9">
        <f>SUM(H33:H54)</f>
        <v>362282</v>
      </c>
      <c r="D102" s="10">
        <f>SUM(H55:H76)</f>
        <v>329070</v>
      </c>
      <c r="E102" s="11">
        <f>SUM(H77:H98)</f>
        <v>285173</v>
      </c>
    </row>
    <row r="103" spans="1:9" ht="16.5">
      <c r="A103" s="12" t="s">
        <v>33</v>
      </c>
      <c r="B103" s="13">
        <f>SUM(F7:F32)</f>
        <v>3445136.3</v>
      </c>
      <c r="C103" s="13">
        <f>SUM(F33:F54)</f>
        <v>3002318.2</v>
      </c>
      <c r="D103" s="10">
        <f>SUM(F55:F76)</f>
        <v>3003891.5000000005</v>
      </c>
      <c r="E103" s="11">
        <f>SUM(F77:F98)</f>
        <v>2325009.1</v>
      </c>
    </row>
    <row r="104" spans="1:9">
      <c r="A104" s="14" t="s">
        <v>34</v>
      </c>
      <c r="B104" s="10">
        <f>B102*1000/B103</f>
        <v>151.45061169277977</v>
      </c>
      <c r="C104" s="10">
        <f t="shared" ref="C104:E104" si="0">C102*1000/C103</f>
        <v>120.66742292672375</v>
      </c>
      <c r="D104" s="15">
        <f t="shared" si="0"/>
        <v>109.54789811815772</v>
      </c>
      <c r="E104" s="16">
        <f t="shared" si="0"/>
        <v>122.65457369607714</v>
      </c>
    </row>
    <row r="105" spans="1:9">
      <c r="A105" s="8" t="s">
        <v>35</v>
      </c>
      <c r="B105" s="10">
        <v>4300</v>
      </c>
      <c r="C105" s="10">
        <v>4040</v>
      </c>
      <c r="D105" s="10">
        <f>AVERAGE($B$105:$C$105)</f>
        <v>4170</v>
      </c>
      <c r="E105" s="11" t="s">
        <v>36</v>
      </c>
    </row>
    <row r="106" spans="1:9" ht="16.5">
      <c r="A106" s="12" t="s">
        <v>37</v>
      </c>
      <c r="B106" s="10"/>
      <c r="C106" s="10"/>
      <c r="D106" s="10">
        <f>D105*10^3</f>
        <v>4170000</v>
      </c>
      <c r="E106" s="11" t="s">
        <v>38</v>
      </c>
    </row>
    <row r="107" spans="1:9" ht="15.75" thickBot="1">
      <c r="A107" s="17"/>
      <c r="B107" s="18"/>
      <c r="C107" s="18"/>
      <c r="D107" s="18">
        <f>D104/D106</f>
        <v>2.6270479165025831E-5</v>
      </c>
      <c r="E107" s="19">
        <f>E104/D106</f>
        <v>2.9413566833591638E-5</v>
      </c>
    </row>
    <row r="108" spans="1:9">
      <c r="A108" s="10"/>
      <c r="B108" s="10"/>
      <c r="C108" s="10"/>
      <c r="D108" s="10"/>
      <c r="E108" s="10"/>
    </row>
    <row r="109" spans="1:9">
      <c r="A109" s="25" t="s">
        <v>93</v>
      </c>
    </row>
    <row r="110" spans="1:9" ht="16.5">
      <c r="A110" s="4" t="s">
        <v>94</v>
      </c>
    </row>
    <row r="111" spans="1:9" ht="16.5">
      <c r="A111" s="26"/>
      <c r="D111" s="27" t="s">
        <v>95</v>
      </c>
    </row>
    <row r="112" spans="1:9">
      <c r="D112" s="4" t="s">
        <v>96</v>
      </c>
    </row>
    <row r="114" spans="1:1">
      <c r="A114" s="27"/>
    </row>
  </sheetData>
  <mergeCells count="1">
    <mergeCell ref="A1:F1"/>
  </mergeCells>
  <phoneticPr fontId="4" type="noConversion"/>
  <hyperlinks>
    <hyperlink ref="D111" r:id="rId1" display="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" xr:uid="{D3D32B2E-D0E2-4F2E-B8D0-ECB7D9945DC2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B54E-B8A2-403C-8662-A0620972DCEA}">
  <dimension ref="A1:Z40"/>
  <sheetViews>
    <sheetView topLeftCell="A4" workbookViewId="0">
      <selection activeCell="G40" sqref="G40"/>
    </sheetView>
  </sheetViews>
  <sheetFormatPr defaultColWidth="9" defaultRowHeight="15"/>
  <cols>
    <col min="1" max="1" width="9.140625" style="43" bestFit="1" customWidth="1"/>
    <col min="2" max="3" width="10.5703125" style="43" bestFit="1" customWidth="1"/>
    <col min="4" max="4" width="9.28515625" style="43" bestFit="1" customWidth="1"/>
    <col min="5" max="6" width="10.5703125" style="43" bestFit="1" customWidth="1"/>
    <col min="7" max="7" width="12.5703125" style="43" bestFit="1" customWidth="1"/>
    <col min="8" max="8" width="11.5703125" style="43" bestFit="1" customWidth="1"/>
    <col min="9" max="9" width="10.5703125" style="43" bestFit="1" customWidth="1"/>
    <col min="10" max="11" width="12.5703125" style="43" bestFit="1" customWidth="1"/>
    <col min="12" max="12" width="11.5703125" style="43" bestFit="1" customWidth="1"/>
    <col min="13" max="14" width="12.5703125" style="43" bestFit="1" customWidth="1"/>
    <col min="15" max="16" width="11.5703125" style="43" bestFit="1" customWidth="1"/>
    <col min="17" max="17" width="9.28515625" style="43" bestFit="1" customWidth="1"/>
    <col min="18" max="19" width="12.5703125" style="43" bestFit="1" customWidth="1"/>
    <col min="20" max="20" width="10.5703125" style="43" bestFit="1" customWidth="1"/>
    <col min="21" max="22" width="11.5703125" style="43" bestFit="1" customWidth="1"/>
    <col min="23" max="24" width="12.5703125" style="43" bestFit="1" customWidth="1"/>
    <col min="25" max="26" width="11.42578125" style="43" bestFit="1" customWidth="1"/>
    <col min="27" max="16384" width="9" style="43"/>
  </cols>
  <sheetData>
    <row r="1" spans="1:12">
      <c r="A1" s="49" t="s">
        <v>133</v>
      </c>
    </row>
    <row r="2" spans="1:12">
      <c r="A2" s="72" t="s">
        <v>108</v>
      </c>
      <c r="B2" s="72" t="s">
        <v>109</v>
      </c>
      <c r="C2" s="72"/>
      <c r="D2" s="72" t="s">
        <v>110</v>
      </c>
      <c r="E2" s="72"/>
      <c r="F2" s="72" t="s">
        <v>111</v>
      </c>
      <c r="G2" s="72"/>
      <c r="H2" s="72" t="s">
        <v>30</v>
      </c>
      <c r="I2" s="72"/>
      <c r="J2" s="72" t="s">
        <v>31</v>
      </c>
      <c r="K2" s="72"/>
      <c r="L2" s="72" t="s">
        <v>112</v>
      </c>
    </row>
    <row r="3" spans="1:12" ht="15.75" thickBot="1">
      <c r="A3" s="73"/>
      <c r="B3" s="37" t="s">
        <v>113</v>
      </c>
      <c r="C3" s="37" t="s">
        <v>40</v>
      </c>
      <c r="D3" s="37" t="s">
        <v>113</v>
      </c>
      <c r="E3" s="37" t="s">
        <v>40</v>
      </c>
      <c r="F3" s="37" t="s">
        <v>114</v>
      </c>
      <c r="G3" s="37" t="s">
        <v>115</v>
      </c>
      <c r="H3" s="37" t="s">
        <v>114</v>
      </c>
      <c r="I3" s="37" t="s">
        <v>115</v>
      </c>
      <c r="J3" s="37" t="s">
        <v>113</v>
      </c>
      <c r="K3" s="37" t="s">
        <v>40</v>
      </c>
      <c r="L3" s="73"/>
    </row>
    <row r="4" spans="1:12" ht="15.75" thickTop="1">
      <c r="A4" s="44">
        <v>2020</v>
      </c>
      <c r="B4" s="45">
        <v>971.16</v>
      </c>
      <c r="C4" s="45">
        <v>5090</v>
      </c>
      <c r="D4" s="45">
        <v>69093.952000000005</v>
      </c>
      <c r="E4" s="45">
        <v>5597</v>
      </c>
      <c r="F4" s="45">
        <v>283.17500000000001</v>
      </c>
      <c r="G4" s="45">
        <v>9872</v>
      </c>
      <c r="H4" s="45">
        <v>168.77699999999999</v>
      </c>
      <c r="I4" s="45">
        <v>8929</v>
      </c>
      <c r="J4" s="45">
        <v>10144.036</v>
      </c>
      <c r="K4" s="45">
        <v>13335</v>
      </c>
      <c r="L4" s="45">
        <v>531237.4</v>
      </c>
    </row>
    <row r="5" spans="1:12">
      <c r="A5" s="44">
        <v>2019</v>
      </c>
      <c r="B5" s="45">
        <v>1164.8399999999999</v>
      </c>
      <c r="C5" s="45">
        <v>5178.5860000000002</v>
      </c>
      <c r="D5" s="45">
        <v>83321.350999999995</v>
      </c>
      <c r="E5" s="45">
        <v>5504.951</v>
      </c>
      <c r="F5" s="45">
        <v>361.92500000000001</v>
      </c>
      <c r="G5" s="45">
        <v>9960.0849999999991</v>
      </c>
      <c r="H5" s="45">
        <v>322.56799999999998</v>
      </c>
      <c r="I5" s="45">
        <v>8923.5349999999999</v>
      </c>
      <c r="J5" s="45">
        <v>8890.7330000000002</v>
      </c>
      <c r="K5" s="45">
        <v>12966.669</v>
      </c>
      <c r="L5" s="45">
        <v>586478.58499999996</v>
      </c>
    </row>
    <row r="6" spans="1:12">
      <c r="A6" s="44">
        <v>2018</v>
      </c>
      <c r="B6" s="45">
        <v>991.62699999999995</v>
      </c>
      <c r="C6" s="45">
        <v>5265.3459999999995</v>
      </c>
      <c r="D6" s="45">
        <v>89549.252999999997</v>
      </c>
      <c r="E6" s="45">
        <v>5373.3450000000003</v>
      </c>
      <c r="F6" s="45">
        <v>1013.229</v>
      </c>
      <c r="G6" s="45">
        <v>10069.004999999999</v>
      </c>
      <c r="H6" s="45">
        <v>215.12799999999999</v>
      </c>
      <c r="I6" s="45">
        <v>8932.2890000000007</v>
      </c>
      <c r="J6" s="45">
        <v>9889.5849999999991</v>
      </c>
      <c r="K6" s="45">
        <v>13096.102999999999</v>
      </c>
      <c r="L6" s="45">
        <v>628042.71200000006</v>
      </c>
    </row>
    <row r="7" spans="1:12">
      <c r="A7" s="44">
        <v>2017</v>
      </c>
      <c r="B7" s="45">
        <v>1078.7619999999999</v>
      </c>
      <c r="C7" s="45">
        <v>5387.13</v>
      </c>
      <c r="D7" s="45">
        <v>89217.392999999996</v>
      </c>
      <c r="E7" s="45">
        <v>5479.1319999999996</v>
      </c>
      <c r="F7" s="45">
        <v>927.88499999999999</v>
      </c>
      <c r="G7" s="45">
        <v>10003.037</v>
      </c>
      <c r="H7" s="45">
        <v>173.56100000000001</v>
      </c>
      <c r="I7" s="45">
        <v>8993.2810000000009</v>
      </c>
      <c r="J7" s="45">
        <v>8161.2790000000005</v>
      </c>
      <c r="K7" s="45">
        <v>13157.505999999999</v>
      </c>
      <c r="L7" s="45">
        <v>612869.97199999995</v>
      </c>
    </row>
    <row r="8" spans="1:12">
      <c r="A8" s="44">
        <v>2016</v>
      </c>
      <c r="B8" s="45">
        <v>2528.364</v>
      </c>
      <c r="C8" s="45">
        <v>5563.0959999999995</v>
      </c>
      <c r="D8" s="45">
        <v>78044.995999999999</v>
      </c>
      <c r="E8" s="45">
        <v>5574.7610000000004</v>
      </c>
      <c r="F8" s="45">
        <v>2783.5210000000002</v>
      </c>
      <c r="G8" s="45">
        <v>9768.3719999999994</v>
      </c>
      <c r="H8" s="45">
        <v>155.203</v>
      </c>
      <c r="I8" s="45">
        <v>9452.0840000000007</v>
      </c>
      <c r="J8" s="45">
        <v>8283.5959999999995</v>
      </c>
      <c r="K8" s="45">
        <v>13467.641</v>
      </c>
      <c r="L8" s="45">
        <v>589365.55200000003</v>
      </c>
    </row>
    <row r="9" spans="1:12">
      <c r="A9" s="44">
        <v>2015</v>
      </c>
      <c r="B9" s="45">
        <v>2125.4859999999999</v>
      </c>
      <c r="C9" s="45">
        <v>5706.0619999999999</v>
      </c>
      <c r="D9" s="45">
        <v>79432.656000000003</v>
      </c>
      <c r="E9" s="45">
        <v>5607.4530000000004</v>
      </c>
      <c r="F9" s="45">
        <v>1850.64</v>
      </c>
      <c r="G9" s="45">
        <v>10027.851000000001</v>
      </c>
      <c r="H9" s="45">
        <v>111.411</v>
      </c>
      <c r="I9" s="45">
        <v>8894.4989999999998</v>
      </c>
      <c r="J9" s="45">
        <v>8763.7240000000002</v>
      </c>
      <c r="K9" s="45">
        <v>12734.942999999999</v>
      </c>
      <c r="L9" s="45">
        <v>588697.33200000005</v>
      </c>
    </row>
    <row r="10" spans="1:12">
      <c r="A10" s="44">
        <v>2014</v>
      </c>
      <c r="B10" s="45">
        <v>2043.992</v>
      </c>
      <c r="C10" s="45">
        <v>5548.9849999999997</v>
      </c>
      <c r="D10" s="45">
        <v>77687.851999999999</v>
      </c>
      <c r="E10" s="45">
        <v>5616.7359999999999</v>
      </c>
      <c r="F10" s="45">
        <v>1581.1859999999999</v>
      </c>
      <c r="G10" s="45">
        <v>9928.0110000000004</v>
      </c>
      <c r="H10" s="45">
        <v>110.89700000000001</v>
      </c>
      <c r="I10" s="45">
        <v>8780.8780000000006</v>
      </c>
      <c r="J10" s="45">
        <v>12497.192999999999</v>
      </c>
      <c r="K10" s="45">
        <v>12659.459000000001</v>
      </c>
      <c r="L10" s="45">
        <v>622573.74699999997</v>
      </c>
    </row>
    <row r="11" spans="1:12">
      <c r="A11" s="44">
        <v>2013</v>
      </c>
      <c r="B11" s="45">
        <v>1728.664</v>
      </c>
      <c r="C11" s="45">
        <v>5439.6049999999996</v>
      </c>
      <c r="D11" s="45">
        <v>78759.804999999993</v>
      </c>
      <c r="E11" s="45">
        <v>5551.8530000000001</v>
      </c>
      <c r="F11" s="45">
        <v>3401.69</v>
      </c>
      <c r="G11" s="45">
        <v>9962.9330000000009</v>
      </c>
      <c r="H11" s="45">
        <v>149.12299999999999</v>
      </c>
      <c r="I11" s="45">
        <v>8873.5470000000005</v>
      </c>
      <c r="J11" s="45">
        <v>17004.866000000002</v>
      </c>
      <c r="K11" s="45">
        <v>13131.706</v>
      </c>
      <c r="L11" s="45">
        <v>705183.05200000003</v>
      </c>
    </row>
    <row r="12" spans="1:12">
      <c r="A12" s="44">
        <v>2012</v>
      </c>
      <c r="B12" s="45">
        <v>1796.721</v>
      </c>
      <c r="C12" s="45">
        <v>4750.3113022500402</v>
      </c>
      <c r="D12" s="45">
        <v>78804.623999999996</v>
      </c>
      <c r="E12" s="45">
        <v>5057.4701134491797</v>
      </c>
      <c r="F12" s="45">
        <v>3272.1187410000002</v>
      </c>
      <c r="G12" s="45">
        <v>9766.3368224716905</v>
      </c>
      <c r="H12" s="45">
        <v>140.69956799203899</v>
      </c>
      <c r="I12" s="45">
        <v>8903.3770112988495</v>
      </c>
      <c r="J12" s="45">
        <v>15320.7339559676</v>
      </c>
      <c r="K12" s="45">
        <v>13273.2186728867</v>
      </c>
      <c r="L12" s="45">
        <v>643651.78182845702</v>
      </c>
    </row>
    <row r="13" spans="1:12">
      <c r="A13" s="44">
        <v>2011</v>
      </c>
      <c r="B13" s="45">
        <v>1658.8009999999999</v>
      </c>
      <c r="C13" s="45">
        <v>4722.9120000000003</v>
      </c>
      <c r="D13" s="45">
        <v>79854.167000000001</v>
      </c>
      <c r="E13" s="45">
        <v>5432.5950000000003</v>
      </c>
      <c r="F13" s="45">
        <v>2050.3649999999998</v>
      </c>
      <c r="G13" s="45">
        <v>9996.14</v>
      </c>
      <c r="H13" s="45">
        <v>123.83199999999999</v>
      </c>
      <c r="I13" s="45">
        <v>8770.3389999999999</v>
      </c>
      <c r="J13" s="45">
        <v>13609.052</v>
      </c>
      <c r="K13" s="45">
        <v>13221.223</v>
      </c>
      <c r="L13" s="45">
        <v>645743.04200000002</v>
      </c>
    </row>
    <row r="14" spans="1:12">
      <c r="A14" s="44">
        <v>2010</v>
      </c>
      <c r="B14" s="45">
        <v>2404.0500000000002</v>
      </c>
      <c r="C14" s="45">
        <v>4456.116</v>
      </c>
      <c r="D14" s="45">
        <v>76402.994000000006</v>
      </c>
      <c r="E14" s="45">
        <v>5554.5439999999999</v>
      </c>
      <c r="F14" s="45">
        <v>2710.6590000000001</v>
      </c>
      <c r="G14" s="45">
        <v>9974.8880000000008</v>
      </c>
      <c r="H14" s="45">
        <v>113.687</v>
      </c>
      <c r="I14" s="45">
        <v>8781.5499999999993</v>
      </c>
      <c r="J14" s="45">
        <v>12914.478999999999</v>
      </c>
      <c r="K14" s="45">
        <v>13052.475</v>
      </c>
      <c r="L14" s="45">
        <v>631699.31999999995</v>
      </c>
    </row>
    <row r="16" spans="1:12">
      <c r="A16" s="49" t="s">
        <v>130</v>
      </c>
      <c r="C16" s="43" t="s">
        <v>131</v>
      </c>
    </row>
    <row r="17" spans="1:26">
      <c r="A17" s="74" t="s">
        <v>108</v>
      </c>
      <c r="B17" s="72" t="s">
        <v>132</v>
      </c>
      <c r="C17" s="72"/>
      <c r="D17" s="72"/>
      <c r="E17" s="74"/>
      <c r="F17" s="76" t="s">
        <v>116</v>
      </c>
      <c r="G17" s="72"/>
      <c r="H17" s="72"/>
      <c r="I17" s="72"/>
      <c r="J17" s="74"/>
      <c r="K17" s="76" t="s">
        <v>134</v>
      </c>
      <c r="L17" s="72"/>
      <c r="M17" s="74"/>
      <c r="N17" s="77" t="s">
        <v>26</v>
      </c>
      <c r="O17" s="77" t="s">
        <v>28</v>
      </c>
      <c r="P17" s="77" t="s">
        <v>117</v>
      </c>
      <c r="Q17" s="77" t="s">
        <v>118</v>
      </c>
      <c r="R17" s="41" t="s">
        <v>135</v>
      </c>
      <c r="S17" s="41" t="s">
        <v>136</v>
      </c>
      <c r="T17" s="77" t="s">
        <v>29</v>
      </c>
      <c r="U17" s="77" t="s">
        <v>52</v>
      </c>
      <c r="V17" s="76" t="s">
        <v>119</v>
      </c>
      <c r="W17" s="72"/>
      <c r="X17" s="74"/>
      <c r="Y17" s="76" t="s">
        <v>120</v>
      </c>
      <c r="Z17" s="74"/>
    </row>
    <row r="18" spans="1:26" ht="27.75" thickBot="1">
      <c r="A18" s="75"/>
      <c r="B18" s="37" t="s">
        <v>121</v>
      </c>
      <c r="C18" s="37" t="s">
        <v>27</v>
      </c>
      <c r="D18" s="37" t="s">
        <v>122</v>
      </c>
      <c r="E18" s="38" t="s">
        <v>24</v>
      </c>
      <c r="F18" s="39" t="s">
        <v>109</v>
      </c>
      <c r="G18" s="37" t="s">
        <v>110</v>
      </c>
      <c r="H18" s="37" t="s">
        <v>111</v>
      </c>
      <c r="I18" s="37" t="s">
        <v>31</v>
      </c>
      <c r="J18" s="38" t="s">
        <v>24</v>
      </c>
      <c r="K18" s="39" t="s">
        <v>123</v>
      </c>
      <c r="L18" s="37" t="s">
        <v>124</v>
      </c>
      <c r="M18" s="38" t="s">
        <v>125</v>
      </c>
      <c r="N18" s="78"/>
      <c r="O18" s="78"/>
      <c r="P18" s="78"/>
      <c r="Q18" s="78"/>
      <c r="R18" s="40" t="s">
        <v>137</v>
      </c>
      <c r="S18" s="40" t="s">
        <v>137</v>
      </c>
      <c r="T18" s="78"/>
      <c r="U18" s="78"/>
      <c r="V18" s="39" t="s">
        <v>126</v>
      </c>
      <c r="W18" s="37" t="s">
        <v>127</v>
      </c>
      <c r="X18" s="38" t="s">
        <v>125</v>
      </c>
      <c r="Y18" s="39" t="s">
        <v>128</v>
      </c>
      <c r="Z18" s="38" t="s">
        <v>129</v>
      </c>
    </row>
    <row r="19" spans="1:26" ht="15.75" thickTop="1">
      <c r="A19" s="44">
        <v>2020</v>
      </c>
      <c r="B19" s="46">
        <v>3205979</v>
      </c>
      <c r="C19" s="46">
        <v>3271019</v>
      </c>
      <c r="D19" s="46">
        <v>671251</v>
      </c>
      <c r="E19" s="46">
        <v>7148249</v>
      </c>
      <c r="F19" s="47">
        <v>2076062</v>
      </c>
      <c r="G19" s="47">
        <v>183490868</v>
      </c>
      <c r="H19" s="47">
        <v>897705</v>
      </c>
      <c r="I19" s="46">
        <v>586627</v>
      </c>
      <c r="J19" s="46">
        <v>189426013</v>
      </c>
      <c r="K19" s="47">
        <v>111589806</v>
      </c>
      <c r="L19" s="47"/>
      <c r="M19" s="46">
        <v>111759245</v>
      </c>
      <c r="N19" s="46">
        <v>160183721</v>
      </c>
      <c r="O19" s="46">
        <v>31056508</v>
      </c>
      <c r="P19" s="46">
        <v>45567264</v>
      </c>
      <c r="Q19" s="46">
        <v>404673</v>
      </c>
      <c r="R19" s="48">
        <v>112004128</v>
      </c>
      <c r="S19" s="47">
        <f>2255299-H19</f>
        <v>1357594</v>
      </c>
      <c r="T19" s="46">
        <v>4940046</v>
      </c>
      <c r="U19" s="46">
        <v>550485720</v>
      </c>
      <c r="V19" s="46">
        <v>1676440</v>
      </c>
      <c r="W19" s="46">
        <v>23107049</v>
      </c>
      <c r="X19" s="46">
        <v>24783489</v>
      </c>
      <c r="Y19" s="46">
        <v>552162160</v>
      </c>
      <c r="Z19" s="46">
        <v>575269209</v>
      </c>
    </row>
    <row r="20" spans="1:26">
      <c r="A20" s="44">
        <v>2019</v>
      </c>
      <c r="B20" s="46">
        <v>2229038.12</v>
      </c>
      <c r="C20" s="46">
        <v>3458384.7549999999</v>
      </c>
      <c r="D20" s="46">
        <v>559640.92709999997</v>
      </c>
      <c r="E20" s="46">
        <v>6247063.8020000001</v>
      </c>
      <c r="F20" s="47">
        <v>2559357</v>
      </c>
      <c r="G20" s="47">
        <v>214478728</v>
      </c>
      <c r="H20" s="47">
        <v>1285568</v>
      </c>
      <c r="I20" s="46">
        <v>1.2E-2</v>
      </c>
      <c r="J20" s="46">
        <v>220918428.09999999</v>
      </c>
      <c r="K20" s="47">
        <v>109397542</v>
      </c>
      <c r="L20" s="47"/>
      <c r="M20" s="46">
        <v>110288811.40000001</v>
      </c>
      <c r="N20" s="46">
        <v>145909669.5</v>
      </c>
      <c r="O20" s="46">
        <v>30526256.640000001</v>
      </c>
      <c r="P20" s="46">
        <v>46058095.140000001</v>
      </c>
      <c r="Q20" s="46">
        <v>578911.91489999997</v>
      </c>
      <c r="R20" s="47">
        <v>109397542</v>
      </c>
      <c r="S20" s="47">
        <f>3292253-H20</f>
        <v>2006685</v>
      </c>
      <c r="T20" s="46">
        <v>1366662.865</v>
      </c>
      <c r="U20" s="46">
        <v>561893899.39999998</v>
      </c>
      <c r="V20" s="46">
        <v>1146405.4369999999</v>
      </c>
      <c r="W20" s="46">
        <v>22261140</v>
      </c>
      <c r="X20" s="46">
        <v>23407545</v>
      </c>
      <c r="Y20" s="46">
        <v>563040304.79999995</v>
      </c>
      <c r="Z20" s="46">
        <v>585301444</v>
      </c>
    </row>
    <row r="21" spans="1:26">
      <c r="A21" s="44">
        <v>2018</v>
      </c>
      <c r="B21" s="46">
        <v>2748401</v>
      </c>
      <c r="C21" s="46">
        <v>3911035</v>
      </c>
      <c r="D21" s="46">
        <v>611017</v>
      </c>
      <c r="E21" s="46">
        <v>7270453</v>
      </c>
      <c r="F21" s="47">
        <v>2196938</v>
      </c>
      <c r="G21" s="47">
        <v>226606687</v>
      </c>
      <c r="H21" s="47">
        <v>4256742</v>
      </c>
      <c r="I21" s="46">
        <v>0</v>
      </c>
      <c r="J21" s="46">
        <v>237498286</v>
      </c>
      <c r="K21" s="47">
        <v>116512939</v>
      </c>
      <c r="L21" s="47">
        <v>0</v>
      </c>
      <c r="M21" s="46">
        <v>116835607</v>
      </c>
      <c r="N21" s="46">
        <v>133505261</v>
      </c>
      <c r="O21" s="46">
        <v>27176674</v>
      </c>
      <c r="P21" s="46">
        <v>47032922</v>
      </c>
      <c r="Q21" s="46">
        <v>528453</v>
      </c>
      <c r="R21" s="47">
        <v>116512939</v>
      </c>
      <c r="S21" s="47">
        <f>5740179-H21</f>
        <v>1483437</v>
      </c>
      <c r="T21" s="46">
        <v>0</v>
      </c>
      <c r="U21" s="46">
        <v>569847656</v>
      </c>
      <c r="V21" s="46">
        <v>798850</v>
      </c>
      <c r="W21" s="46">
        <v>22760291</v>
      </c>
      <c r="X21" s="46">
        <v>23559141</v>
      </c>
      <c r="Y21" s="46">
        <v>570646507</v>
      </c>
      <c r="Z21" s="46">
        <v>593406797</v>
      </c>
    </row>
    <row r="22" spans="1:26">
      <c r="A22" s="44">
        <v>2017</v>
      </c>
      <c r="B22" s="46">
        <v>2263505</v>
      </c>
      <c r="C22" s="46">
        <v>4186353</v>
      </c>
      <c r="D22" s="46">
        <v>545316</v>
      </c>
      <c r="E22" s="46">
        <v>6995173</v>
      </c>
      <c r="F22" s="46">
        <v>4426611</v>
      </c>
      <c r="G22" s="46">
        <v>227459979</v>
      </c>
      <c r="H22" s="46">
        <v>5224768</v>
      </c>
      <c r="I22" s="46">
        <v>220183</v>
      </c>
      <c r="J22" s="46">
        <v>237331541</v>
      </c>
      <c r="K22" s="46">
        <v>93839136.549999997</v>
      </c>
      <c r="L22" s="46">
        <v>5779854.4500000002</v>
      </c>
      <c r="M22" s="46">
        <v>99618991</v>
      </c>
      <c r="N22" s="46">
        <v>148426725</v>
      </c>
      <c r="O22" s="46">
        <v>24145361.579999998</v>
      </c>
      <c r="P22" s="46">
        <v>36194464.07</v>
      </c>
      <c r="Q22" s="46">
        <v>513347</v>
      </c>
      <c r="R22" s="46"/>
      <c r="S22" s="46"/>
      <c r="T22" s="46"/>
      <c r="U22" s="46">
        <v>553225602</v>
      </c>
      <c r="V22" s="46">
        <v>304506</v>
      </c>
      <c r="W22" s="46">
        <v>22882019</v>
      </c>
      <c r="X22" s="46">
        <v>23186525</v>
      </c>
      <c r="Y22" s="46">
        <v>540440854</v>
      </c>
      <c r="Z22" s="46">
        <v>560984590</v>
      </c>
    </row>
    <row r="23" spans="1:26">
      <c r="A23" s="44">
        <v>2016</v>
      </c>
      <c r="B23" s="46">
        <v>2159149</v>
      </c>
      <c r="C23" s="46">
        <v>3787310</v>
      </c>
      <c r="D23" s="46">
        <v>687112.6</v>
      </c>
      <c r="E23" s="46">
        <v>6633585</v>
      </c>
      <c r="F23" s="46">
        <v>7760682</v>
      </c>
      <c r="G23" s="46">
        <v>201439484</v>
      </c>
      <c r="H23" s="46">
        <v>13054770</v>
      </c>
      <c r="I23" s="46">
        <v>368541</v>
      </c>
      <c r="J23" s="46">
        <v>222623477</v>
      </c>
      <c r="K23" s="46">
        <v>91064130.620000005</v>
      </c>
      <c r="L23" s="46">
        <v>5858139.1299999999</v>
      </c>
      <c r="M23" s="46">
        <v>96922270</v>
      </c>
      <c r="N23" s="46">
        <v>161995104</v>
      </c>
      <c r="O23" s="46">
        <v>18935660</v>
      </c>
      <c r="P23" s="46">
        <v>32537144</v>
      </c>
      <c r="Q23" s="46">
        <v>573196</v>
      </c>
      <c r="R23" s="46"/>
      <c r="S23" s="46"/>
      <c r="T23" s="46">
        <v>0</v>
      </c>
      <c r="U23" s="46">
        <v>540220436</v>
      </c>
      <c r="V23" s="46">
        <v>220419</v>
      </c>
      <c r="W23" s="46">
        <v>20543736</v>
      </c>
      <c r="X23" s="46">
        <v>20764155</v>
      </c>
      <c r="Y23" s="46">
        <v>540440854</v>
      </c>
      <c r="Z23" s="46">
        <v>560984590</v>
      </c>
    </row>
    <row r="24" spans="1:26">
      <c r="A24" s="44">
        <v>2015</v>
      </c>
      <c r="B24" s="46">
        <v>1539297.6850000001</v>
      </c>
      <c r="C24" s="46">
        <v>3650320.3459999999</v>
      </c>
      <c r="D24" s="46">
        <v>606421.62199999997</v>
      </c>
      <c r="E24" s="46">
        <v>5796039.6519999998</v>
      </c>
      <c r="F24" s="46">
        <v>7438270.9309999999</v>
      </c>
      <c r="G24" s="46">
        <v>199895424.447</v>
      </c>
      <c r="H24" s="46">
        <v>8822005.9600000009</v>
      </c>
      <c r="I24" s="46">
        <v>222471.54800000001</v>
      </c>
      <c r="J24" s="46">
        <v>216378172.88600001</v>
      </c>
      <c r="K24" s="46">
        <v>97375131.105000004</v>
      </c>
      <c r="L24" s="46">
        <v>3223254.0520000001</v>
      </c>
      <c r="M24" s="46">
        <v>100598385.15700001</v>
      </c>
      <c r="N24" s="46">
        <v>164762415.917</v>
      </c>
      <c r="O24" s="46">
        <v>17317948.603999998</v>
      </c>
      <c r="P24" s="46">
        <v>22018711.201000001</v>
      </c>
      <c r="Q24" s="46">
        <v>643163.93700000003</v>
      </c>
      <c r="R24" s="46"/>
      <c r="S24" s="46"/>
      <c r="T24" s="46">
        <v>0</v>
      </c>
      <c r="U24" s="46">
        <v>527514837.35399997</v>
      </c>
      <c r="V24" s="46">
        <v>576355.31900000002</v>
      </c>
      <c r="W24" s="46">
        <v>17438073</v>
      </c>
      <c r="X24" s="46">
        <v>18014428</v>
      </c>
      <c r="Y24" s="46">
        <v>528091192.67299998</v>
      </c>
      <c r="Z24" s="46">
        <v>545529266</v>
      </c>
    </row>
    <row r="25" spans="1:26">
      <c r="A25" s="44">
        <v>2014</v>
      </c>
      <c r="B25" s="46">
        <v>2135681</v>
      </c>
      <c r="C25" s="46">
        <v>5068129</v>
      </c>
      <c r="D25" s="46">
        <v>615737</v>
      </c>
      <c r="E25" s="46">
        <v>7819548</v>
      </c>
      <c r="F25" s="46">
        <v>8506060</v>
      </c>
      <c r="G25" s="46">
        <v>195259331</v>
      </c>
      <c r="H25" s="46">
        <v>6838457</v>
      </c>
      <c r="I25" s="46">
        <v>568123</v>
      </c>
      <c r="J25" s="46">
        <v>211171971</v>
      </c>
      <c r="K25" s="46">
        <v>104301491</v>
      </c>
      <c r="L25" s="46">
        <v>7409973</v>
      </c>
      <c r="M25" s="46">
        <v>111711465</v>
      </c>
      <c r="N25" s="46">
        <v>156406511</v>
      </c>
      <c r="O25" s="46">
        <v>14695690.362</v>
      </c>
      <c r="P25" s="46">
        <v>18948094.923999999</v>
      </c>
      <c r="Q25" s="46">
        <v>655810</v>
      </c>
      <c r="R25" s="46"/>
      <c r="S25" s="46"/>
      <c r="T25" s="46">
        <v>0</v>
      </c>
      <c r="U25" s="46">
        <v>521409090</v>
      </c>
      <c r="V25" s="46">
        <v>561813</v>
      </c>
      <c r="W25" s="46">
        <v>18407896</v>
      </c>
      <c r="X25" s="46">
        <v>18969708.747000001</v>
      </c>
      <c r="Y25" s="46">
        <v>521970903</v>
      </c>
      <c r="Z25" s="46">
        <v>540378798.71700001</v>
      </c>
    </row>
    <row r="26" spans="1:26">
      <c r="A26" s="44">
        <v>2013</v>
      </c>
      <c r="B26" s="46">
        <v>3798240</v>
      </c>
      <c r="C26" s="46">
        <v>4104661</v>
      </c>
      <c r="D26" s="46">
        <v>491028</v>
      </c>
      <c r="E26" s="46">
        <v>8393928</v>
      </c>
      <c r="F26" s="46">
        <v>8054488</v>
      </c>
      <c r="G26" s="46">
        <v>193064345</v>
      </c>
      <c r="H26" s="46">
        <v>13940534</v>
      </c>
      <c r="I26" s="46">
        <v>3525889</v>
      </c>
      <c r="J26" s="46">
        <v>218585257</v>
      </c>
      <c r="K26" s="46">
        <v>111629509</v>
      </c>
      <c r="L26" s="46">
        <v>12770502</v>
      </c>
      <c r="M26" s="46">
        <v>124400011</v>
      </c>
      <c r="N26" s="46">
        <v>138783973</v>
      </c>
      <c r="O26" s="46">
        <v>10159658</v>
      </c>
      <c r="P26" s="46">
        <v>14403169</v>
      </c>
      <c r="Q26" s="46">
        <v>740935</v>
      </c>
      <c r="R26" s="46"/>
      <c r="S26" s="46"/>
      <c r="T26" s="46">
        <v>0</v>
      </c>
      <c r="U26" s="46">
        <v>515466931</v>
      </c>
      <c r="V26" s="46">
        <v>1680942</v>
      </c>
      <c r="W26" s="46">
        <v>20021403</v>
      </c>
      <c r="X26" s="46">
        <v>21702345</v>
      </c>
      <c r="Y26" s="46">
        <v>517147873</v>
      </c>
      <c r="Z26" s="46">
        <v>537169276</v>
      </c>
    </row>
    <row r="27" spans="1:26">
      <c r="A27" s="44">
        <v>2012</v>
      </c>
      <c r="B27" s="46">
        <v>3440018</v>
      </c>
      <c r="C27" s="46">
        <v>3683262</v>
      </c>
      <c r="D27" s="46">
        <v>529021</v>
      </c>
      <c r="E27" s="46">
        <v>7652301</v>
      </c>
      <c r="F27" s="46">
        <v>8767762</v>
      </c>
      <c r="G27" s="46">
        <v>190561957</v>
      </c>
      <c r="H27" s="46">
        <v>13553420</v>
      </c>
      <c r="I27" s="46">
        <v>3452866</v>
      </c>
      <c r="J27" s="46">
        <v>216336004</v>
      </c>
      <c r="K27" s="46">
        <v>97548461</v>
      </c>
      <c r="L27" s="46">
        <v>13333473</v>
      </c>
      <c r="M27" s="46">
        <v>110881933</v>
      </c>
      <c r="N27" s="46">
        <v>150327293.34187299</v>
      </c>
      <c r="O27" s="46">
        <v>8617868.8657314405</v>
      </c>
      <c r="P27" s="46">
        <v>12912737.090829</v>
      </c>
      <c r="Q27" s="46">
        <v>752070.31723199994</v>
      </c>
      <c r="R27" s="46"/>
      <c r="S27" s="46"/>
      <c r="T27" s="46">
        <v>0</v>
      </c>
      <c r="U27" s="46">
        <v>507480208</v>
      </c>
      <c r="V27" s="46">
        <v>2094121</v>
      </c>
      <c r="W27" s="46">
        <v>21627537</v>
      </c>
      <c r="X27" s="46">
        <v>23721658</v>
      </c>
      <c r="Y27" s="46">
        <v>509574329</v>
      </c>
      <c r="Z27" s="46">
        <v>531201866</v>
      </c>
    </row>
    <row r="28" spans="1:26">
      <c r="A28" s="44">
        <v>2011</v>
      </c>
      <c r="B28" s="46">
        <v>4178867.7</v>
      </c>
      <c r="C28" s="46">
        <v>3232984.5729999999</v>
      </c>
      <c r="D28" s="46">
        <v>418799.31599999999</v>
      </c>
      <c r="E28" s="46">
        <v>7830651.5889999997</v>
      </c>
      <c r="F28" s="46">
        <v>8503982.8190000001</v>
      </c>
      <c r="G28" s="46">
        <v>191011864.22</v>
      </c>
      <c r="H28" s="46">
        <v>9456338.3800000008</v>
      </c>
      <c r="I28" s="46">
        <v>2232618</v>
      </c>
      <c r="J28" s="46">
        <v>211204803.419</v>
      </c>
      <c r="K28" s="46">
        <v>90452986.047000006</v>
      </c>
      <c r="L28" s="46">
        <v>11026397.515000001</v>
      </c>
      <c r="M28" s="46">
        <v>101479383.56200001</v>
      </c>
      <c r="N28" s="46">
        <v>154723106.78099999</v>
      </c>
      <c r="O28" s="46">
        <v>7592387.0530000003</v>
      </c>
      <c r="P28" s="46">
        <v>12429066.774</v>
      </c>
      <c r="Q28" s="46">
        <v>820532.99899999995</v>
      </c>
      <c r="R28" s="46"/>
      <c r="S28" s="46"/>
      <c r="T28" s="46">
        <v>0</v>
      </c>
      <c r="U28" s="46">
        <v>496079932.17799997</v>
      </c>
      <c r="V28" s="46">
        <v>813433.58100000001</v>
      </c>
      <c r="W28" s="46">
        <v>21274450</v>
      </c>
      <c r="X28" s="46">
        <v>22087884</v>
      </c>
      <c r="Y28" s="46">
        <v>496893365.75800002</v>
      </c>
      <c r="Z28" s="46">
        <v>518167816</v>
      </c>
    </row>
    <row r="29" spans="1:26">
      <c r="A29" s="44">
        <v>2010</v>
      </c>
      <c r="B29" s="46">
        <v>3339560.27</v>
      </c>
      <c r="C29" s="46">
        <v>2789933.7510000002</v>
      </c>
      <c r="D29" s="46">
        <v>342408.51299999998</v>
      </c>
      <c r="E29" s="46">
        <v>6471902.534</v>
      </c>
      <c r="F29" s="46">
        <v>8359872.7410000004</v>
      </c>
      <c r="G29" s="46">
        <v>189927487.074</v>
      </c>
      <c r="H29" s="46">
        <v>10874370.521</v>
      </c>
      <c r="I29" s="46">
        <v>2287541</v>
      </c>
      <c r="J29" s="46">
        <v>211449271.336</v>
      </c>
      <c r="K29" s="46">
        <v>81563808.442000002</v>
      </c>
      <c r="L29" s="46">
        <v>12448329.367000001</v>
      </c>
      <c r="M29" s="46">
        <v>94012137.809</v>
      </c>
      <c r="N29" s="46">
        <v>148595711.64399999</v>
      </c>
      <c r="O29" s="46">
        <v>4478057.6390000004</v>
      </c>
      <c r="P29" s="46">
        <v>8080232.932</v>
      </c>
      <c r="Q29" s="46">
        <v>730695.24199999997</v>
      </c>
      <c r="R29" s="46"/>
      <c r="S29" s="46"/>
      <c r="T29" s="46">
        <v>0</v>
      </c>
      <c r="U29" s="46">
        <v>473818009.13599998</v>
      </c>
      <c r="V29" s="46">
        <v>842195.90500000003</v>
      </c>
      <c r="W29" s="46">
        <v>20368158</v>
      </c>
      <c r="X29" s="46">
        <v>21210353.905000001</v>
      </c>
      <c r="Y29" s="46">
        <v>474660205.042</v>
      </c>
      <c r="Z29" s="46">
        <v>495028363.042</v>
      </c>
    </row>
    <row r="31" spans="1:26">
      <c r="A31" s="49" t="s">
        <v>93</v>
      </c>
    </row>
    <row r="32" spans="1:26">
      <c r="A32" s="43" t="s">
        <v>139</v>
      </c>
    </row>
    <row r="34" spans="1:2">
      <c r="A34" s="43" t="s">
        <v>138</v>
      </c>
    </row>
    <row r="35" spans="1:2">
      <c r="A35" s="49" t="s">
        <v>195</v>
      </c>
    </row>
    <row r="36" spans="1:2">
      <c r="A36" s="43" t="s">
        <v>185</v>
      </c>
      <c r="B36" s="43" t="s">
        <v>186</v>
      </c>
    </row>
    <row r="37" spans="1:2">
      <c r="A37" s="43" t="s">
        <v>187</v>
      </c>
      <c r="B37" s="43" t="s">
        <v>188</v>
      </c>
    </row>
    <row r="38" spans="1:2">
      <c r="A38" s="43" t="s">
        <v>189</v>
      </c>
      <c r="B38" s="43" t="s">
        <v>190</v>
      </c>
    </row>
    <row r="39" spans="1:2">
      <c r="A39" s="43" t="s">
        <v>191</v>
      </c>
      <c r="B39" s="43" t="s">
        <v>192</v>
      </c>
    </row>
    <row r="40" spans="1:2">
      <c r="A40" s="43" t="s">
        <v>193</v>
      </c>
      <c r="B40" s="43" t="s">
        <v>194</v>
      </c>
    </row>
  </sheetData>
  <mergeCells count="19">
    <mergeCell ref="Y17:Z17"/>
    <mergeCell ref="N17:N18"/>
    <mergeCell ref="O17:O18"/>
    <mergeCell ref="P17:P18"/>
    <mergeCell ref="Q17:Q18"/>
    <mergeCell ref="T17:T18"/>
    <mergeCell ref="U17:U18"/>
    <mergeCell ref="V17:X17"/>
    <mergeCell ref="L2:L3"/>
    <mergeCell ref="A17:A18"/>
    <mergeCell ref="B17:E17"/>
    <mergeCell ref="F17:J17"/>
    <mergeCell ref="K17:M17"/>
    <mergeCell ref="A2:A3"/>
    <mergeCell ref="B2:C2"/>
    <mergeCell ref="D2:E2"/>
    <mergeCell ref="F2:G2"/>
    <mergeCell ref="H2:I2"/>
    <mergeCell ref="J2:K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F0F31-9FCF-4B15-A32F-72E1B1792BC1}">
  <dimension ref="A2:L26"/>
  <sheetViews>
    <sheetView workbookViewId="0">
      <selection activeCell="C24" sqref="C24"/>
    </sheetView>
  </sheetViews>
  <sheetFormatPr defaultRowHeight="15"/>
  <sheetData>
    <row r="2" spans="1:12" s="52" customFormat="1" ht="26.1" customHeight="1">
      <c r="A2" s="56" t="s">
        <v>162</v>
      </c>
      <c r="B2" s="56" t="s">
        <v>162</v>
      </c>
      <c r="C2" s="59">
        <v>2010</v>
      </c>
      <c r="D2" s="59">
        <v>2011</v>
      </c>
      <c r="E2" s="59">
        <v>2012</v>
      </c>
      <c r="F2" s="59">
        <v>2013</v>
      </c>
      <c r="G2" s="59">
        <v>2014</v>
      </c>
      <c r="H2" s="59">
        <v>2015</v>
      </c>
      <c r="I2" s="59">
        <v>2016</v>
      </c>
      <c r="J2" s="59">
        <v>2017</v>
      </c>
      <c r="K2" s="59">
        <v>2018</v>
      </c>
      <c r="L2" s="59">
        <v>2019</v>
      </c>
    </row>
    <row r="3" spans="1:12" s="52" customFormat="1" ht="27" hidden="1" customHeight="1">
      <c r="A3" s="57" t="s">
        <v>163</v>
      </c>
      <c r="B3" s="57" t="s">
        <v>163</v>
      </c>
      <c r="C3" s="58">
        <v>264053</v>
      </c>
      <c r="D3" s="58">
        <v>276997</v>
      </c>
      <c r="E3" s="58">
        <v>278325</v>
      </c>
      <c r="F3" s="58">
        <v>279623</v>
      </c>
      <c r="G3" s="58">
        <v>282423</v>
      </c>
      <c r="H3" s="58">
        <v>286921</v>
      </c>
      <c r="I3" s="58">
        <v>293778</v>
      </c>
      <c r="J3" s="58">
        <v>302066</v>
      </c>
      <c r="K3" s="58">
        <v>307557</v>
      </c>
      <c r="L3" s="58">
        <v>303092</v>
      </c>
    </row>
    <row r="4" spans="1:12" s="52" customFormat="1" ht="27" hidden="1" customHeight="1">
      <c r="A4" s="57" t="s">
        <v>164</v>
      </c>
      <c r="B4" s="57" t="s">
        <v>164</v>
      </c>
      <c r="C4" s="58">
        <v>8.4</v>
      </c>
      <c r="D4" s="58">
        <v>4.9000000000000004</v>
      </c>
      <c r="E4" s="58">
        <v>0.5</v>
      </c>
      <c r="F4" s="58">
        <v>0.5</v>
      </c>
      <c r="G4" s="58">
        <v>1</v>
      </c>
      <c r="H4" s="58">
        <v>1.6</v>
      </c>
      <c r="I4" s="58">
        <v>2.4</v>
      </c>
      <c r="J4" s="58">
        <v>2.8</v>
      </c>
      <c r="K4" s="58">
        <v>1.8</v>
      </c>
      <c r="L4" s="58">
        <v>-1.5</v>
      </c>
    </row>
    <row r="5" spans="1:12" s="52" customFormat="1" ht="27" hidden="1" customHeight="1">
      <c r="A5" s="57" t="s">
        <v>165</v>
      </c>
      <c r="B5" s="57" t="s">
        <v>166</v>
      </c>
      <c r="C5" s="58">
        <v>77142</v>
      </c>
      <c r="D5" s="58">
        <v>83687</v>
      </c>
      <c r="E5" s="58">
        <v>80636</v>
      </c>
      <c r="F5" s="58">
        <v>81544</v>
      </c>
      <c r="G5" s="58">
        <v>84399</v>
      </c>
      <c r="H5" s="58">
        <v>85401</v>
      </c>
      <c r="I5" s="58">
        <v>81499</v>
      </c>
      <c r="J5" s="58">
        <v>86177</v>
      </c>
      <c r="K5" s="58">
        <v>86707</v>
      </c>
      <c r="L5" s="58">
        <v>82147</v>
      </c>
    </row>
    <row r="6" spans="1:12" s="52" customFormat="1" ht="27" hidden="1" customHeight="1">
      <c r="A6" s="57" t="s">
        <v>165</v>
      </c>
      <c r="B6" s="57" t="s">
        <v>167</v>
      </c>
      <c r="C6" s="58">
        <v>29.2</v>
      </c>
      <c r="D6" s="58">
        <v>30.2</v>
      </c>
      <c r="E6" s="58">
        <v>29</v>
      </c>
      <c r="F6" s="58">
        <v>29.2</v>
      </c>
      <c r="G6" s="58">
        <v>29.9</v>
      </c>
      <c r="H6" s="58">
        <v>29.8</v>
      </c>
      <c r="I6" s="58">
        <v>27.7</v>
      </c>
      <c r="J6" s="58">
        <v>28.5</v>
      </c>
      <c r="K6" s="58">
        <v>28.2</v>
      </c>
      <c r="L6" s="58">
        <v>27.1</v>
      </c>
    </row>
    <row r="7" spans="1:12" s="52" customFormat="1" ht="27" hidden="1" customHeight="1">
      <c r="A7" s="57" t="s">
        <v>165</v>
      </c>
      <c r="B7" s="57" t="s">
        <v>168</v>
      </c>
      <c r="C7" s="58">
        <v>6044</v>
      </c>
      <c r="D7" s="58">
        <v>6827</v>
      </c>
      <c r="E7" s="58">
        <v>5382</v>
      </c>
      <c r="F7" s="58">
        <v>5500</v>
      </c>
      <c r="G7" s="58">
        <v>5226</v>
      </c>
      <c r="H7" s="58">
        <v>5593</v>
      </c>
      <c r="I7" s="58">
        <v>5687</v>
      </c>
      <c r="J7" s="58">
        <v>4524</v>
      </c>
      <c r="K7" s="58">
        <v>5059</v>
      </c>
      <c r="L7" s="58">
        <v>4426</v>
      </c>
    </row>
    <row r="8" spans="1:12" s="52" customFormat="1" ht="27" hidden="1" customHeight="1">
      <c r="A8" s="57" t="s">
        <v>165</v>
      </c>
      <c r="B8" s="57" t="s">
        <v>169</v>
      </c>
      <c r="C8" s="58">
        <v>2.2999999999999998</v>
      </c>
      <c r="D8" s="58">
        <v>2.5</v>
      </c>
      <c r="E8" s="58">
        <v>1.9</v>
      </c>
      <c r="F8" s="58">
        <v>2</v>
      </c>
      <c r="G8" s="58">
        <v>1.9</v>
      </c>
      <c r="H8" s="58">
        <v>1.9</v>
      </c>
      <c r="I8" s="58">
        <v>1.9</v>
      </c>
      <c r="J8" s="58">
        <v>1.5</v>
      </c>
      <c r="K8" s="58">
        <v>1.6</v>
      </c>
      <c r="L8" s="58">
        <v>1.5</v>
      </c>
    </row>
    <row r="9" spans="1:12" s="52" customFormat="1" ht="27" hidden="1" customHeight="1">
      <c r="A9" s="57" t="s">
        <v>165</v>
      </c>
      <c r="B9" s="57" t="s">
        <v>170</v>
      </c>
      <c r="C9" s="58">
        <v>71097</v>
      </c>
      <c r="D9" s="58">
        <v>76860</v>
      </c>
      <c r="E9" s="58">
        <v>75254</v>
      </c>
      <c r="F9" s="58">
        <v>76044</v>
      </c>
      <c r="G9" s="58">
        <v>79173</v>
      </c>
      <c r="H9" s="58">
        <v>79808</v>
      </c>
      <c r="I9" s="58">
        <v>75812</v>
      </c>
      <c r="J9" s="58">
        <v>81653</v>
      </c>
      <c r="K9" s="58">
        <v>81648</v>
      </c>
      <c r="L9" s="58">
        <v>77720</v>
      </c>
    </row>
    <row r="10" spans="1:12" s="52" customFormat="1" ht="27" hidden="1" customHeight="1">
      <c r="A10" s="57" t="s">
        <v>165</v>
      </c>
      <c r="B10" s="57" t="s">
        <v>171</v>
      </c>
      <c r="C10" s="58">
        <v>26.9</v>
      </c>
      <c r="D10" s="58">
        <v>27.7</v>
      </c>
      <c r="E10" s="58">
        <v>27</v>
      </c>
      <c r="F10" s="58">
        <v>27.2</v>
      </c>
      <c r="G10" s="58">
        <v>28</v>
      </c>
      <c r="H10" s="58">
        <v>27.8</v>
      </c>
      <c r="I10" s="58">
        <v>25.8</v>
      </c>
      <c r="J10" s="58">
        <v>27</v>
      </c>
      <c r="K10" s="58">
        <v>26.5</v>
      </c>
      <c r="L10" s="58">
        <v>25.6</v>
      </c>
    </row>
    <row r="11" spans="1:12" s="52" customFormat="1" ht="27" hidden="1" customHeight="1">
      <c r="A11" s="57" t="s">
        <v>172</v>
      </c>
      <c r="B11" s="57" t="s">
        <v>166</v>
      </c>
      <c r="C11" s="58">
        <v>104500</v>
      </c>
      <c r="D11" s="58">
        <v>105459</v>
      </c>
      <c r="E11" s="58">
        <v>106134</v>
      </c>
      <c r="F11" s="58">
        <v>105515</v>
      </c>
      <c r="G11" s="58">
        <v>104644</v>
      </c>
      <c r="H11" s="58">
        <v>109090</v>
      </c>
      <c r="I11" s="58">
        <v>117605</v>
      </c>
      <c r="J11" s="58">
        <v>119401</v>
      </c>
      <c r="K11" s="58">
        <v>118521</v>
      </c>
      <c r="L11" s="58">
        <v>117314</v>
      </c>
    </row>
    <row r="12" spans="1:12" s="52" customFormat="1" ht="27" hidden="1" customHeight="1">
      <c r="A12" s="57" t="s">
        <v>172</v>
      </c>
      <c r="B12" s="57" t="s">
        <v>167</v>
      </c>
      <c r="C12" s="58">
        <v>39.6</v>
      </c>
      <c r="D12" s="58">
        <v>38.1</v>
      </c>
      <c r="E12" s="58">
        <v>38.1</v>
      </c>
      <c r="F12" s="58">
        <v>37.700000000000003</v>
      </c>
      <c r="G12" s="58">
        <v>37.1</v>
      </c>
      <c r="H12" s="58">
        <v>38</v>
      </c>
      <c r="I12" s="58">
        <v>40</v>
      </c>
      <c r="J12" s="58">
        <v>39.5</v>
      </c>
      <c r="K12" s="58">
        <v>38.5</v>
      </c>
      <c r="L12" s="58">
        <v>38.700000000000003</v>
      </c>
    </row>
    <row r="13" spans="1:12" s="52" customFormat="1" ht="27" hidden="1" customHeight="1">
      <c r="A13" s="57" t="s">
        <v>172</v>
      </c>
      <c r="B13" s="57" t="s">
        <v>173</v>
      </c>
      <c r="C13" s="58">
        <v>46385</v>
      </c>
      <c r="D13" s="58">
        <v>44263</v>
      </c>
      <c r="E13" s="58">
        <v>43968</v>
      </c>
      <c r="F13" s="58">
        <v>43171</v>
      </c>
      <c r="G13" s="58">
        <v>41218</v>
      </c>
      <c r="H13" s="58">
        <v>44501</v>
      </c>
      <c r="I13" s="58">
        <v>48463</v>
      </c>
      <c r="J13" s="58">
        <v>47298</v>
      </c>
      <c r="K13" s="58">
        <v>46920</v>
      </c>
      <c r="L13" s="58">
        <v>45789</v>
      </c>
    </row>
    <row r="14" spans="1:12" s="52" customFormat="1" ht="27" hidden="1" customHeight="1">
      <c r="A14" s="57" t="s">
        <v>172</v>
      </c>
      <c r="B14" s="57" t="s">
        <v>174</v>
      </c>
      <c r="C14" s="58">
        <v>17.600000000000001</v>
      </c>
      <c r="D14" s="58">
        <v>16</v>
      </c>
      <c r="E14" s="58">
        <v>15.8</v>
      </c>
      <c r="F14" s="58">
        <v>15.4</v>
      </c>
      <c r="G14" s="58">
        <v>14.6</v>
      </c>
      <c r="H14" s="58">
        <v>15.5</v>
      </c>
      <c r="I14" s="58">
        <v>16.5</v>
      </c>
      <c r="J14" s="58">
        <v>15.7</v>
      </c>
      <c r="K14" s="58">
        <v>15.3</v>
      </c>
      <c r="L14" s="58">
        <v>15.1</v>
      </c>
    </row>
    <row r="15" spans="1:12" s="52" customFormat="1" ht="27" hidden="1" customHeight="1">
      <c r="A15" s="57" t="s">
        <v>172</v>
      </c>
      <c r="B15" s="57" t="s">
        <v>175</v>
      </c>
      <c r="C15" s="58">
        <v>10925</v>
      </c>
      <c r="D15" s="58">
        <v>10303</v>
      </c>
      <c r="E15" s="58">
        <v>9912</v>
      </c>
      <c r="F15" s="58">
        <v>9701</v>
      </c>
      <c r="G15" s="58">
        <v>9343</v>
      </c>
      <c r="H15" s="58">
        <v>9303</v>
      </c>
      <c r="I15" s="58">
        <v>11166</v>
      </c>
      <c r="J15" s="58">
        <v>10729</v>
      </c>
      <c r="K15" s="58">
        <v>11160</v>
      </c>
      <c r="L15" s="58">
        <v>12386</v>
      </c>
    </row>
    <row r="16" spans="1:12" s="52" customFormat="1" ht="27" hidden="1" customHeight="1">
      <c r="A16" s="57" t="s">
        <v>172</v>
      </c>
      <c r="B16" s="57" t="s">
        <v>176</v>
      </c>
      <c r="C16" s="58">
        <v>4.0999999999999996</v>
      </c>
      <c r="D16" s="58">
        <v>3.7</v>
      </c>
      <c r="E16" s="58">
        <v>3.6</v>
      </c>
      <c r="F16" s="58">
        <v>3.5</v>
      </c>
      <c r="G16" s="58">
        <v>3.3</v>
      </c>
      <c r="H16" s="58">
        <v>3.2</v>
      </c>
      <c r="I16" s="58">
        <v>3.8</v>
      </c>
      <c r="J16" s="58">
        <v>3.6</v>
      </c>
      <c r="K16" s="58">
        <v>3.6</v>
      </c>
      <c r="L16" s="58">
        <v>4.0999999999999996</v>
      </c>
    </row>
    <row r="17" spans="1:12" s="52" customFormat="1" ht="27" hidden="1" customHeight="1">
      <c r="A17" s="57" t="s">
        <v>172</v>
      </c>
      <c r="B17" s="57" t="s">
        <v>177</v>
      </c>
      <c r="C17" s="58">
        <v>47190</v>
      </c>
      <c r="D17" s="58">
        <v>50893</v>
      </c>
      <c r="E17" s="58">
        <v>52254</v>
      </c>
      <c r="F17" s="58">
        <v>52643</v>
      </c>
      <c r="G17" s="58">
        <v>54083</v>
      </c>
      <c r="H17" s="58">
        <v>55287</v>
      </c>
      <c r="I17" s="58">
        <v>57977</v>
      </c>
      <c r="J17" s="58">
        <v>61374</v>
      </c>
      <c r="K17" s="58">
        <v>60442</v>
      </c>
      <c r="L17" s="58">
        <v>59140</v>
      </c>
    </row>
    <row r="18" spans="1:12" s="52" customFormat="1" ht="27" hidden="1" customHeight="1">
      <c r="A18" s="57" t="s">
        <v>172</v>
      </c>
      <c r="B18" s="57" t="s">
        <v>178</v>
      </c>
      <c r="C18" s="58">
        <v>17.899999999999999</v>
      </c>
      <c r="D18" s="58">
        <v>18.399999999999999</v>
      </c>
      <c r="E18" s="58">
        <v>18.8</v>
      </c>
      <c r="F18" s="58">
        <v>18.8</v>
      </c>
      <c r="G18" s="58">
        <v>19.100000000000001</v>
      </c>
      <c r="H18" s="58">
        <v>19.3</v>
      </c>
      <c r="I18" s="58">
        <v>19.7</v>
      </c>
      <c r="J18" s="58">
        <v>20.3</v>
      </c>
      <c r="K18" s="58">
        <v>19.7</v>
      </c>
      <c r="L18" s="58">
        <v>19.5</v>
      </c>
    </row>
    <row r="19" spans="1:12" s="52" customFormat="1" ht="27" hidden="1" customHeight="1">
      <c r="A19" s="57" t="s">
        <v>179</v>
      </c>
      <c r="B19" s="57" t="s">
        <v>180</v>
      </c>
      <c r="C19" s="58">
        <v>43008</v>
      </c>
      <c r="D19" s="58">
        <v>46284</v>
      </c>
      <c r="E19" s="58">
        <v>50185</v>
      </c>
      <c r="F19" s="58">
        <v>52523</v>
      </c>
      <c r="G19" s="58">
        <v>47773</v>
      </c>
      <c r="H19" s="58">
        <v>43603</v>
      </c>
      <c r="I19" s="58">
        <v>45518</v>
      </c>
      <c r="J19" s="58">
        <v>47536</v>
      </c>
      <c r="K19" s="58">
        <v>55225</v>
      </c>
      <c r="L19" s="58">
        <v>53534</v>
      </c>
    </row>
    <row r="20" spans="1:12" s="52" customFormat="1" ht="27" hidden="1" customHeight="1">
      <c r="A20" s="57" t="s">
        <v>179</v>
      </c>
      <c r="B20" s="57" t="s">
        <v>181</v>
      </c>
      <c r="C20" s="58">
        <v>16.3</v>
      </c>
      <c r="D20" s="58">
        <v>16.7</v>
      </c>
      <c r="E20" s="58">
        <v>18</v>
      </c>
      <c r="F20" s="58">
        <v>18.8</v>
      </c>
      <c r="G20" s="58">
        <v>16.899999999999999</v>
      </c>
      <c r="H20" s="58">
        <v>15.2</v>
      </c>
      <c r="I20" s="58">
        <v>15.5</v>
      </c>
      <c r="J20" s="58">
        <v>15.7</v>
      </c>
      <c r="K20" s="58">
        <v>18</v>
      </c>
      <c r="L20" s="58">
        <v>17.7</v>
      </c>
    </row>
    <row r="21" spans="1:12" s="52" customFormat="1" ht="27" hidden="1" customHeight="1">
      <c r="A21" s="57" t="s">
        <v>182</v>
      </c>
      <c r="B21" s="57" t="s">
        <v>180</v>
      </c>
      <c r="C21" s="58">
        <v>1392</v>
      </c>
      <c r="D21" s="58">
        <v>1684</v>
      </c>
      <c r="E21" s="58">
        <v>1615</v>
      </c>
      <c r="F21" s="58">
        <v>1771</v>
      </c>
      <c r="G21" s="58">
        <v>1650</v>
      </c>
      <c r="H21" s="58">
        <v>1223</v>
      </c>
      <c r="I21" s="58">
        <v>1400</v>
      </c>
      <c r="J21" s="58">
        <v>1490</v>
      </c>
      <c r="K21" s="58">
        <v>1549</v>
      </c>
      <c r="L21" s="58">
        <v>1331</v>
      </c>
    </row>
    <row r="22" spans="1:12" s="52" customFormat="1" ht="27" hidden="1" customHeight="1">
      <c r="A22" s="57" t="s">
        <v>182</v>
      </c>
      <c r="B22" s="57" t="s">
        <v>181</v>
      </c>
      <c r="C22" s="58">
        <v>0.5</v>
      </c>
      <c r="D22" s="58">
        <v>0.6</v>
      </c>
      <c r="E22" s="58">
        <v>0.6</v>
      </c>
      <c r="F22" s="58">
        <v>0.6</v>
      </c>
      <c r="G22" s="58">
        <v>0.6</v>
      </c>
      <c r="H22" s="58">
        <v>0.4</v>
      </c>
      <c r="I22" s="58">
        <v>0.5</v>
      </c>
      <c r="J22" s="58">
        <v>0.5</v>
      </c>
      <c r="K22" s="58">
        <v>0.5</v>
      </c>
      <c r="L22" s="58">
        <v>0.4</v>
      </c>
    </row>
    <row r="23" spans="1:12" s="52" customFormat="1" ht="27" customHeight="1">
      <c r="A23" s="57" t="s">
        <v>26</v>
      </c>
      <c r="B23" s="57" t="s">
        <v>180</v>
      </c>
      <c r="C23" s="58">
        <v>31948</v>
      </c>
      <c r="D23" s="58">
        <v>33266</v>
      </c>
      <c r="E23" s="58">
        <v>31719</v>
      </c>
      <c r="F23" s="58">
        <v>29283</v>
      </c>
      <c r="G23" s="58">
        <v>33002</v>
      </c>
      <c r="H23" s="58">
        <v>34765</v>
      </c>
      <c r="I23" s="58">
        <v>34181</v>
      </c>
      <c r="J23" s="58">
        <v>31615</v>
      </c>
      <c r="K23" s="58">
        <v>28437</v>
      </c>
      <c r="L23" s="58">
        <v>31079</v>
      </c>
    </row>
    <row r="24" spans="1:12" s="52" customFormat="1" ht="27" customHeight="1">
      <c r="A24" s="57" t="s">
        <v>26</v>
      </c>
      <c r="B24" s="57" t="s">
        <v>181</v>
      </c>
      <c r="C24" s="58">
        <v>12.1</v>
      </c>
      <c r="D24" s="58">
        <v>12</v>
      </c>
      <c r="E24" s="58">
        <v>11.4</v>
      </c>
      <c r="F24" s="58">
        <v>10.5</v>
      </c>
      <c r="G24" s="58">
        <v>11.7</v>
      </c>
      <c r="H24" s="58">
        <v>12.1</v>
      </c>
      <c r="I24" s="58">
        <v>11.6</v>
      </c>
      <c r="J24" s="58">
        <v>10.5</v>
      </c>
      <c r="K24" s="58">
        <v>9.1999999999999993</v>
      </c>
      <c r="L24" s="58">
        <v>10.3</v>
      </c>
    </row>
    <row r="25" spans="1:12" s="52" customFormat="1" ht="27" hidden="1" customHeight="1">
      <c r="A25" s="57" t="s">
        <v>183</v>
      </c>
      <c r="B25" s="57" t="s">
        <v>180</v>
      </c>
      <c r="C25" s="58">
        <v>6064</v>
      </c>
      <c r="D25" s="58">
        <v>6618</v>
      </c>
      <c r="E25" s="58">
        <v>8036</v>
      </c>
      <c r="F25" s="58">
        <v>8987</v>
      </c>
      <c r="G25" s="58">
        <v>10956</v>
      </c>
      <c r="H25" s="58">
        <v>12839</v>
      </c>
      <c r="I25" s="58">
        <v>13575</v>
      </c>
      <c r="J25" s="58">
        <v>15848</v>
      </c>
      <c r="K25" s="58">
        <v>17119</v>
      </c>
      <c r="L25" s="58">
        <v>17688</v>
      </c>
    </row>
    <row r="26" spans="1:12" s="52" customFormat="1" ht="27" hidden="1" customHeight="1">
      <c r="A26" s="57" t="s">
        <v>183</v>
      </c>
      <c r="B26" s="57" t="s">
        <v>181</v>
      </c>
      <c r="C26" s="58">
        <v>2.2999999999999998</v>
      </c>
      <c r="D26" s="58">
        <v>2.4</v>
      </c>
      <c r="E26" s="58">
        <v>2.9</v>
      </c>
      <c r="F26" s="58">
        <v>3.2</v>
      </c>
      <c r="G26" s="58">
        <v>3.9</v>
      </c>
      <c r="H26" s="58">
        <v>4.5</v>
      </c>
      <c r="I26" s="58">
        <v>4.5999999999999996</v>
      </c>
      <c r="J26" s="58">
        <v>5.2</v>
      </c>
      <c r="K26" s="58">
        <v>5.6</v>
      </c>
      <c r="L26" s="58">
        <v>5.8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3414-7208-4565-9D8C-7A3FFED2F3C8}">
  <dimension ref="A1:G12"/>
  <sheetViews>
    <sheetView workbookViewId="0">
      <selection activeCell="I23" sqref="I23"/>
    </sheetView>
  </sheetViews>
  <sheetFormatPr defaultRowHeight="15"/>
  <cols>
    <col min="1" max="2" width="9" customWidth="1"/>
  </cols>
  <sheetData>
    <row r="1" spans="1:7">
      <c r="A1" s="50" t="s">
        <v>144</v>
      </c>
    </row>
    <row r="2" spans="1:7">
      <c r="A2" t="s">
        <v>147</v>
      </c>
    </row>
    <row r="3" spans="1:7">
      <c r="A3" t="s">
        <v>145</v>
      </c>
      <c r="B3" t="s">
        <v>146</v>
      </c>
      <c r="C3" t="s">
        <v>140</v>
      </c>
      <c r="D3" t="s">
        <v>135</v>
      </c>
      <c r="E3" t="s">
        <v>141</v>
      </c>
      <c r="F3" t="s">
        <v>143</v>
      </c>
      <c r="G3" t="s">
        <v>142</v>
      </c>
    </row>
    <row r="4" spans="1:7">
      <c r="A4">
        <v>2019</v>
      </c>
      <c r="B4" s="51">
        <v>0.25900000000000001</v>
      </c>
      <c r="C4" s="51">
        <v>0.40400000000000003</v>
      </c>
      <c r="D4" s="51">
        <v>0.25600000000000001</v>
      </c>
      <c r="E4" s="51">
        <v>6.5000000000000002E-2</v>
      </c>
      <c r="F4" s="51">
        <v>6.0000000000000001E-3</v>
      </c>
      <c r="G4" s="51">
        <v>1E-3</v>
      </c>
    </row>
    <row r="5" spans="1:7">
      <c r="A5">
        <v>2030</v>
      </c>
      <c r="B5" s="51">
        <v>0.25</v>
      </c>
      <c r="C5" s="51">
        <v>0.29899999999999999</v>
      </c>
      <c r="D5" s="51">
        <v>0.23300000000000001</v>
      </c>
      <c r="E5" s="51">
        <v>0.20799999999999999</v>
      </c>
      <c r="F5" s="51">
        <v>7.0000000000000001E-3</v>
      </c>
      <c r="G5" s="51">
        <v>3.0000000000000001E-3</v>
      </c>
    </row>
    <row r="6" spans="1:7">
      <c r="A6" t="s">
        <v>149</v>
      </c>
      <c r="B6" s="54">
        <f>B5/B4</f>
        <v>0.96525096525096521</v>
      </c>
      <c r="C6" s="54">
        <f t="shared" ref="C6:G6" si="0">C5/C4</f>
        <v>0.74009900990098998</v>
      </c>
      <c r="D6" s="54">
        <f t="shared" si="0"/>
        <v>0.91015625</v>
      </c>
      <c r="E6" s="51">
        <f t="shared" si="0"/>
        <v>3.1999999999999997</v>
      </c>
      <c r="F6" s="51">
        <f t="shared" si="0"/>
        <v>1.1666666666666667</v>
      </c>
      <c r="G6" s="51">
        <f t="shared" si="0"/>
        <v>3</v>
      </c>
    </row>
    <row r="8" spans="1:7">
      <c r="A8" t="s">
        <v>148</v>
      </c>
    </row>
    <row r="9" spans="1:7">
      <c r="A9" t="s">
        <v>145</v>
      </c>
      <c r="B9" t="s">
        <v>146</v>
      </c>
      <c r="C9" t="s">
        <v>140</v>
      </c>
      <c r="D9" t="s">
        <v>135</v>
      </c>
      <c r="E9" t="s">
        <v>141</v>
      </c>
      <c r="F9" t="s">
        <v>143</v>
      </c>
      <c r="G9" t="s">
        <v>142</v>
      </c>
    </row>
    <row r="10" spans="1:7">
      <c r="A10">
        <v>2019</v>
      </c>
      <c r="B10" s="51">
        <v>0.25900000000000001</v>
      </c>
      <c r="C10" s="51">
        <v>0.40400000000000003</v>
      </c>
      <c r="D10" s="51">
        <v>0.25600000000000001</v>
      </c>
      <c r="E10" s="51">
        <v>6.5000000000000002E-2</v>
      </c>
      <c r="F10" s="51">
        <v>6.0000000000000001E-3</v>
      </c>
      <c r="G10" s="51">
        <v>1E-3</v>
      </c>
    </row>
    <row r="11" spans="1:7">
      <c r="A11">
        <v>2030</v>
      </c>
      <c r="B11" s="51">
        <v>0.25</v>
      </c>
      <c r="C11" s="51">
        <v>0.34200000000000003</v>
      </c>
      <c r="D11" s="51">
        <v>0.19</v>
      </c>
      <c r="E11" s="51">
        <v>0.20799999999999999</v>
      </c>
      <c r="F11" s="51">
        <v>7.0000000000000001E-3</v>
      </c>
      <c r="G11" s="51">
        <v>3.0000000000000001E-3</v>
      </c>
    </row>
    <row r="12" spans="1:7">
      <c r="A12" t="s">
        <v>149</v>
      </c>
      <c r="B12" s="51">
        <f>B11/B10</f>
        <v>0.96525096525096521</v>
      </c>
      <c r="C12" s="51">
        <f t="shared" ref="C12:G12" si="1">C11/C10</f>
        <v>0.84653465346534651</v>
      </c>
      <c r="D12" s="51">
        <f t="shared" si="1"/>
        <v>0.7421875</v>
      </c>
      <c r="E12" s="51">
        <f t="shared" si="1"/>
        <v>3.1999999999999997</v>
      </c>
      <c r="F12" s="51">
        <f t="shared" si="1"/>
        <v>1.1666666666666667</v>
      </c>
      <c r="G12" s="51">
        <f t="shared" si="1"/>
        <v>3</v>
      </c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84FA-1D85-4A73-8561-3E8280F290C6}">
  <dimension ref="A1:G27"/>
  <sheetViews>
    <sheetView workbookViewId="0">
      <selection activeCell="H18" sqref="H18"/>
    </sheetView>
  </sheetViews>
  <sheetFormatPr defaultColWidth="9" defaultRowHeight="15"/>
  <cols>
    <col min="1" max="1" width="22.42578125" style="28" customWidth="1"/>
    <col min="2" max="2" width="32.7109375" style="28" customWidth="1"/>
    <col min="3" max="3" width="19.5703125" style="28" customWidth="1"/>
    <col min="4" max="4" width="27.7109375" style="28" customWidth="1"/>
    <col min="5" max="5" width="11.85546875" style="28" bestFit="1" customWidth="1"/>
    <col min="6" max="6" width="13.140625" style="28" bestFit="1" customWidth="1"/>
    <col min="7" max="16384" width="9" style="28"/>
  </cols>
  <sheetData>
    <row r="1" spans="1:6" ht="16.5" customHeight="1">
      <c r="B1" s="29" t="s">
        <v>104</v>
      </c>
      <c r="C1" s="29" t="s">
        <v>97</v>
      </c>
      <c r="D1" s="29" t="s">
        <v>98</v>
      </c>
      <c r="E1" s="28" t="s">
        <v>103</v>
      </c>
    </row>
    <row r="2" spans="1:6">
      <c r="A2" s="34" t="s">
        <v>11</v>
      </c>
      <c r="B2" s="35">
        <f>INDEX(BFPaT_biomass!$B$103:$E$103,,MATCH(About!$C$38,BFPaT_biomass!$B$101:$E$101,0))</f>
        <v>3002318.2</v>
      </c>
      <c r="C2" s="35">
        <f>BFPaT_biomass!$D$106*About!$D$34</f>
        <v>16536843.899999999</v>
      </c>
      <c r="D2" s="35">
        <v>4959229</v>
      </c>
      <c r="E2" s="35">
        <f>IFERROR((B2*C2)/D2,0)</f>
        <v>10011408.509574568</v>
      </c>
    </row>
    <row r="3" spans="1:6">
      <c r="A3" s="34" t="s">
        <v>12</v>
      </c>
      <c r="B3" s="35">
        <v>0</v>
      </c>
      <c r="C3" s="35">
        <v>0</v>
      </c>
      <c r="D3" s="35">
        <v>0</v>
      </c>
      <c r="E3" s="35">
        <f t="shared" ref="E3:E17" si="0">IFERROR((B3*C3)/D3,0)</f>
        <v>0</v>
      </c>
    </row>
    <row r="4" spans="1:6">
      <c r="A4" s="34" t="s">
        <v>17</v>
      </c>
      <c r="B4" s="35">
        <f>INDEX('fuel consumption &amp; power'!$B$4:$B$14,MATCH(About!$C$38,'fuel consumption &amp; power'!$A$4:$A$14,0))*1000</f>
        <v>1164840</v>
      </c>
      <c r="C4" s="35">
        <f>INDEX('fuel consumption &amp; power'!$C$4:$C$14,MATCH(About!$C$38,'fuel consumption &amp; power'!$A$4:$A$14,0))*About!$D$34*1000</f>
        <v>20536563.142620001</v>
      </c>
      <c r="D4" s="35">
        <f>INDEX('fuel consumption &amp; power'!$F$19:$F$29,MATCH(About!$C$38,'fuel consumption &amp; power'!$A$4:$A$14,0))</f>
        <v>2559357</v>
      </c>
      <c r="E4" s="35">
        <f t="shared" si="0"/>
        <v>9346804.7681700829</v>
      </c>
    </row>
    <row r="5" spans="1:6">
      <c r="A5" s="34" t="s">
        <v>7</v>
      </c>
      <c r="B5" s="35">
        <v>0</v>
      </c>
      <c r="C5" s="35">
        <v>0</v>
      </c>
      <c r="D5" s="35">
        <v>0</v>
      </c>
      <c r="E5" s="35">
        <f t="shared" si="0"/>
        <v>0</v>
      </c>
    </row>
    <row r="6" spans="1:6">
      <c r="A6" s="34" t="s">
        <v>5</v>
      </c>
      <c r="B6" s="35">
        <f>INDEX('fuel consumption &amp; power'!$J$4:$J$14,MATCH(About!$C$38,'fuel consumption &amp; power'!$A$4:$A$14,0))*1000</f>
        <v>8890733</v>
      </c>
      <c r="C6" s="35">
        <f>INDEX('fuel consumption &amp; power'!$K$4:$K$14,MATCH(About!$C$38,'fuel consumption &amp; power'!$A$4:$A$14,0))*About!$D$34*1000</f>
        <v>51421530.253229998</v>
      </c>
      <c r="D6" s="35">
        <f>INDEX('fuel consumption &amp; power'!$R$20:$R$29,MATCH(About!$C$38,'fuel consumption &amp; power'!$A$4:$A$14,0))</f>
        <v>116512939</v>
      </c>
      <c r="E6" s="35">
        <f t="shared" si="0"/>
        <v>3923813.95454191</v>
      </c>
    </row>
    <row r="7" spans="1:6">
      <c r="A7" s="34" t="s">
        <v>14</v>
      </c>
      <c r="B7" s="35"/>
      <c r="C7" s="35"/>
      <c r="D7" s="35"/>
      <c r="E7" s="35">
        <f t="shared" si="0"/>
        <v>0</v>
      </c>
    </row>
    <row r="8" spans="1:6">
      <c r="A8" s="34" t="s">
        <v>6</v>
      </c>
      <c r="B8" s="35">
        <v>0</v>
      </c>
      <c r="C8" s="35">
        <v>0</v>
      </c>
      <c r="D8" s="35">
        <f>INDEX('fuel consumption &amp; power'!$N$19:$N$29,MATCH(About!$C$38,'fuel consumption &amp; power'!$A$4:$A$14,0))</f>
        <v>145909669.5</v>
      </c>
      <c r="E8" s="35">
        <f>F21/D8</f>
        <v>8446942.4372179806</v>
      </c>
    </row>
    <row r="9" spans="1:6">
      <c r="A9" s="34" t="s">
        <v>22</v>
      </c>
      <c r="B9" s="36" t="s">
        <v>107</v>
      </c>
      <c r="C9" s="36" t="s">
        <v>107</v>
      </c>
      <c r="D9" s="36" t="s">
        <v>107</v>
      </c>
      <c r="E9" s="36" t="s">
        <v>107</v>
      </c>
    </row>
    <row r="10" spans="1:6">
      <c r="A10" s="34" t="s">
        <v>13</v>
      </c>
      <c r="B10" s="35">
        <f>INDEX('fuel consumption &amp; power'!$H$4:$H$14,MATCH(About!$C$38,'fuel consumption &amp; power'!$A$4:$A$14,0))*1000</f>
        <v>322568</v>
      </c>
      <c r="C10" s="35">
        <f>INDEX('fuel consumption &amp; power'!$I$4:$I$14,MATCH(About!$C$38,'fuel consumption &amp; power'!$A$4:$A$14,0))*About!$D$34*1000</f>
        <v>35387795.043449998</v>
      </c>
      <c r="D10" s="35">
        <f>INDEX('fuel consumption &amp; power'!$S$19:$S$29,MATCH(About!$C$38,'fuel consumption &amp; power'!$A$4:$A$14,0))</f>
        <v>2006685</v>
      </c>
      <c r="E10" s="35">
        <f t="shared" si="0"/>
        <v>5688471.4200662179</v>
      </c>
      <c r="F10" s="28" t="s">
        <v>106</v>
      </c>
    </row>
    <row r="11" spans="1:6">
      <c r="A11" s="34" t="s">
        <v>23</v>
      </c>
      <c r="B11" s="35">
        <v>0</v>
      </c>
      <c r="C11" s="35">
        <v>0</v>
      </c>
      <c r="D11" s="35">
        <v>0</v>
      </c>
      <c r="E11" s="35">
        <f t="shared" si="0"/>
        <v>0</v>
      </c>
    </row>
    <row r="12" spans="1:6">
      <c r="A12" s="34" t="s">
        <v>10</v>
      </c>
      <c r="B12" s="35">
        <v>0</v>
      </c>
      <c r="C12" s="35">
        <v>0</v>
      </c>
      <c r="D12" s="35">
        <v>0</v>
      </c>
      <c r="E12" s="35">
        <f t="shared" si="0"/>
        <v>0</v>
      </c>
    </row>
    <row r="13" spans="1:6">
      <c r="A13" s="34" t="s">
        <v>8</v>
      </c>
      <c r="B13" s="35">
        <v>0</v>
      </c>
      <c r="C13" s="35">
        <v>0</v>
      </c>
      <c r="D13" s="35">
        <v>0</v>
      </c>
      <c r="E13" s="35">
        <f t="shared" si="0"/>
        <v>0</v>
      </c>
    </row>
    <row r="14" spans="1:6">
      <c r="A14" s="34" t="s">
        <v>20</v>
      </c>
      <c r="B14" s="35">
        <v>0</v>
      </c>
      <c r="C14" s="35">
        <v>0</v>
      </c>
      <c r="D14" s="35">
        <v>0</v>
      </c>
      <c r="E14" s="35">
        <f t="shared" si="0"/>
        <v>0</v>
      </c>
    </row>
    <row r="15" spans="1:6">
      <c r="A15" s="34" t="s">
        <v>15</v>
      </c>
      <c r="B15" s="35">
        <f>INDEX('fuel consumption &amp; power'!$D$4:$D$14,MATCH(About!$C$38,'fuel consumption &amp; power'!$A$4:$A$14,0))*1000</f>
        <v>83321351</v>
      </c>
      <c r="C15" s="35">
        <f>INDEX('fuel consumption &amp; power'!$E$4:$E$14,MATCH(About!$C$38,'fuel consumption &amp; power'!$A$4:$A$14,0))*About!$D$34*1000</f>
        <v>21830819.032169998</v>
      </c>
      <c r="D15" s="35">
        <f>INDEX('fuel consumption &amp; power'!$G$19:$G$29,MATCH(About!$C$38,'fuel consumption &amp; power'!$A$4:$A$14,0))</f>
        <v>214478728</v>
      </c>
      <c r="E15" s="35">
        <f t="shared" si="0"/>
        <v>8480903.2213064823</v>
      </c>
    </row>
    <row r="16" spans="1:6">
      <c r="A16" s="34" t="s">
        <v>19</v>
      </c>
      <c r="B16" s="35">
        <f>INDEX('fuel consumption &amp; power'!$F$4:$F$14,MATCH(About!$C$38,'fuel consumption &amp; power'!$A$4:$A$14,0))*1000</f>
        <v>361925</v>
      </c>
      <c r="C16" s="35">
        <f>INDEX('fuel consumption &amp; power'!$G$4:$G$14,MATCH(About!$C$38,'fuel consumption &amp; power'!$A$4:$A$14,0))*About!$D$34*1000</f>
        <v>39498410.281949997</v>
      </c>
      <c r="D16" s="35">
        <f>INDEX('fuel consumption &amp; power'!$H$19:$H$29,MATCH(About!$C$38,'fuel consumption &amp; power'!$A$4:$A$14,0))</f>
        <v>1285568</v>
      </c>
      <c r="E16" s="35">
        <f t="shared" si="0"/>
        <v>11119957.980670609</v>
      </c>
    </row>
    <row r="17" spans="1:7">
      <c r="A17" s="34" t="s">
        <v>18</v>
      </c>
      <c r="B17" s="35">
        <v>0</v>
      </c>
      <c r="C17" s="35">
        <v>0</v>
      </c>
      <c r="D17" s="35">
        <v>0</v>
      </c>
      <c r="E17" s="35">
        <f t="shared" si="0"/>
        <v>0</v>
      </c>
    </row>
    <row r="18" spans="1:7">
      <c r="B18" s="66" t="s">
        <v>105</v>
      </c>
    </row>
    <row r="21" spans="1:7">
      <c r="A21" s="28" t="s">
        <v>196</v>
      </c>
      <c r="B21" s="28">
        <f>INDEX('heat of nuclear gen'!$C$23:$L$23,,MATCH(About!$C$38,'heat of nuclear gen'!$C$2:$L$2,0))</f>
        <v>31079</v>
      </c>
      <c r="C21" s="28" t="s">
        <v>152</v>
      </c>
      <c r="D21" s="28">
        <f>$B$21*1000*About!$D$35</f>
        <v>310790000000000</v>
      </c>
      <c r="E21" s="28" t="s">
        <v>151</v>
      </c>
      <c r="F21" s="28">
        <f>D21*About!$D$34</f>
        <v>1232490579300000</v>
      </c>
      <c r="G21" s="28" t="s">
        <v>100</v>
      </c>
    </row>
    <row r="23" spans="1:7">
      <c r="A23" s="42" t="s">
        <v>93</v>
      </c>
    </row>
    <row r="24" spans="1:7">
      <c r="A24" s="28" t="s">
        <v>197</v>
      </c>
    </row>
    <row r="27" spans="1:7">
      <c r="A27" s="53"/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CB90-8E38-47AA-9917-B39EDD39CA67}">
  <dimension ref="A1:D17"/>
  <sheetViews>
    <sheetView topLeftCell="A7" workbookViewId="0">
      <selection activeCell="F6" sqref="F6"/>
    </sheetView>
  </sheetViews>
  <sheetFormatPr defaultRowHeight="15"/>
  <sheetData>
    <row r="1" spans="1:4">
      <c r="A1" t="s">
        <v>21</v>
      </c>
      <c r="B1" t="s">
        <v>2</v>
      </c>
      <c r="C1" t="s">
        <v>3</v>
      </c>
      <c r="D1" t="s">
        <v>4</v>
      </c>
    </row>
    <row r="2" spans="1:4">
      <c r="A2" t="s">
        <v>17</v>
      </c>
      <c r="B2">
        <v>10511434</v>
      </c>
      <c r="C2">
        <v>0</v>
      </c>
      <c r="D2">
        <v>10375000</v>
      </c>
    </row>
    <row r="3" spans="1:4">
      <c r="A3" t="s">
        <v>5</v>
      </c>
      <c r="B3">
        <v>10488088</v>
      </c>
      <c r="C3">
        <v>7159317</v>
      </c>
      <c r="D3">
        <v>6516500</v>
      </c>
    </row>
    <row r="4" spans="1:4">
      <c r="A4" t="s">
        <v>6</v>
      </c>
      <c r="B4">
        <v>10442000</v>
      </c>
      <c r="C4">
        <v>0</v>
      </c>
      <c r="D4">
        <v>10442000</v>
      </c>
    </row>
    <row r="5" spans="1:4">
      <c r="A5" t="s">
        <v>7</v>
      </c>
      <c r="B5">
        <v>0</v>
      </c>
      <c r="C5">
        <v>0</v>
      </c>
      <c r="D5">
        <v>0</v>
      </c>
    </row>
    <row r="6" spans="1:4">
      <c r="A6" t="s">
        <v>8</v>
      </c>
      <c r="B6">
        <v>0</v>
      </c>
      <c r="C6">
        <v>0</v>
      </c>
      <c r="D6">
        <v>0</v>
      </c>
    </row>
    <row r="7" spans="1:4">
      <c r="A7" t="s">
        <v>9</v>
      </c>
      <c r="B7">
        <v>0</v>
      </c>
      <c r="C7">
        <v>0</v>
      </c>
      <c r="D7">
        <v>0</v>
      </c>
    </row>
    <row r="8" spans="1:4">
      <c r="A8" t="s">
        <v>10</v>
      </c>
      <c r="B8">
        <v>0</v>
      </c>
      <c r="C8">
        <v>0</v>
      </c>
      <c r="D8">
        <v>0</v>
      </c>
    </row>
    <row r="9" spans="1:4">
      <c r="A9" t="s">
        <v>11</v>
      </c>
      <c r="B9">
        <v>9482232</v>
      </c>
      <c r="C9">
        <v>0</v>
      </c>
      <c r="D9">
        <v>9482232</v>
      </c>
    </row>
    <row r="10" spans="1:4">
      <c r="A10" t="s">
        <v>12</v>
      </c>
      <c r="B10">
        <v>0</v>
      </c>
      <c r="C10">
        <v>0</v>
      </c>
      <c r="D10">
        <v>0</v>
      </c>
    </row>
    <row r="11" spans="1:4">
      <c r="A11" t="s">
        <v>13</v>
      </c>
      <c r="B11">
        <v>10988489</v>
      </c>
      <c r="C11">
        <v>0</v>
      </c>
      <c r="D11">
        <v>10000000</v>
      </c>
    </row>
    <row r="12" spans="1:4">
      <c r="A12" t="s">
        <v>14</v>
      </c>
      <c r="B12">
        <v>9381404</v>
      </c>
      <c r="C12">
        <v>0</v>
      </c>
      <c r="D12">
        <v>8902000</v>
      </c>
    </row>
    <row r="13" spans="1:4">
      <c r="A13" t="s">
        <v>15</v>
      </c>
      <c r="B13">
        <v>11488776</v>
      </c>
      <c r="C13">
        <v>0</v>
      </c>
      <c r="D13">
        <v>11339657</v>
      </c>
    </row>
    <row r="14" spans="1:4">
      <c r="A14" t="s">
        <v>16</v>
      </c>
      <c r="B14">
        <v>0</v>
      </c>
      <c r="C14">
        <v>0</v>
      </c>
      <c r="D14">
        <v>0</v>
      </c>
    </row>
    <row r="15" spans="1:4">
      <c r="A15" t="s">
        <v>18</v>
      </c>
      <c r="B15">
        <v>7713158</v>
      </c>
      <c r="C15">
        <v>0</v>
      </c>
      <c r="D15">
        <v>7713158</v>
      </c>
    </row>
    <row r="16" spans="1:4">
      <c r="A16" t="s">
        <v>19</v>
      </c>
      <c r="B16">
        <v>10719153</v>
      </c>
      <c r="C16">
        <v>0</v>
      </c>
      <c r="D16">
        <v>10719153</v>
      </c>
    </row>
    <row r="17" spans="1:4">
      <c r="A17" t="s">
        <v>20</v>
      </c>
      <c r="B17">
        <v>18894208</v>
      </c>
      <c r="C17">
        <v>0</v>
      </c>
      <c r="D17">
        <v>9482232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2EB5-17BE-4182-B574-F39263252FE2}">
  <dimension ref="A1:A8"/>
  <sheetViews>
    <sheetView workbookViewId="0">
      <selection activeCell="L20" sqref="L20"/>
    </sheetView>
  </sheetViews>
  <sheetFormatPr defaultRowHeight="15"/>
  <sheetData>
    <row r="1" spans="1:1">
      <c r="A1" t="s">
        <v>206</v>
      </c>
    </row>
    <row r="2" spans="1:1">
      <c r="A2" s="69">
        <v>0.46949999999999997</v>
      </c>
    </row>
    <row r="4" spans="1:1">
      <c r="A4" t="s">
        <v>208</v>
      </c>
    </row>
    <row r="5" spans="1:1">
      <c r="A5">
        <v>109397542</v>
      </c>
    </row>
    <row r="7" spans="1:1">
      <c r="A7" t="s">
        <v>207</v>
      </c>
    </row>
    <row r="8" spans="1:1">
      <c r="A8">
        <f>A5/A2*[1]About!D36/A5</f>
        <v>7267305.6443024492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C90A-75AF-4582-B40E-8DE849FD153E}">
  <dimension ref="A20:B61"/>
  <sheetViews>
    <sheetView topLeftCell="A28" workbookViewId="0">
      <selection activeCell="A60" sqref="A60"/>
    </sheetView>
  </sheetViews>
  <sheetFormatPr defaultRowHeight="15"/>
  <cols>
    <col min="1" max="1" width="13.28515625" bestFit="1" customWidth="1"/>
  </cols>
  <sheetData>
    <row r="20" spans="1:2">
      <c r="A20">
        <v>3412</v>
      </c>
      <c r="B20" t="s">
        <v>211</v>
      </c>
    </row>
    <row r="21" spans="1:2">
      <c r="A21">
        <f>AVERAGE(0.56,0.59)</f>
        <v>0.57499999999999996</v>
      </c>
      <c r="B21" t="s">
        <v>212</v>
      </c>
    </row>
    <row r="22" spans="1:2">
      <c r="A22">
        <f>A20/A21</f>
        <v>5933.913043478261</v>
      </c>
      <c r="B22" t="s">
        <v>213</v>
      </c>
    </row>
    <row r="23" spans="1:2">
      <c r="A23" s="79">
        <f>A22*1000</f>
        <v>5933913.0434782607</v>
      </c>
      <c r="B23" t="s">
        <v>214</v>
      </c>
    </row>
    <row r="40" spans="1:2">
      <c r="A40">
        <v>3412</v>
      </c>
      <c r="B40" t="s">
        <v>211</v>
      </c>
    </row>
    <row r="41" spans="1:2">
      <c r="A41">
        <v>0.43</v>
      </c>
      <c r="B41" t="s">
        <v>212</v>
      </c>
    </row>
    <row r="42" spans="1:2">
      <c r="A42">
        <f>A40/A41</f>
        <v>7934.8837209302328</v>
      </c>
      <c r="B42" t="s">
        <v>213</v>
      </c>
    </row>
    <row r="43" spans="1:2">
      <c r="A43" s="79">
        <f>A42*1000</f>
        <v>7934883.7209302327</v>
      </c>
      <c r="B43" t="s">
        <v>214</v>
      </c>
    </row>
    <row r="58" spans="1:2">
      <c r="A58">
        <v>3412</v>
      </c>
      <c r="B58" t="s">
        <v>211</v>
      </c>
    </row>
    <row r="59" spans="1:2">
      <c r="A59">
        <v>0.36</v>
      </c>
      <c r="B59" t="s">
        <v>212</v>
      </c>
    </row>
    <row r="60" spans="1:2">
      <c r="A60">
        <f>A58/A59</f>
        <v>9477.7777777777774</v>
      </c>
      <c r="B60" t="s">
        <v>213</v>
      </c>
    </row>
    <row r="61" spans="1:2">
      <c r="A61" s="79">
        <f>A60*1000</f>
        <v>9477777.777777778</v>
      </c>
      <c r="B61" t="s">
        <v>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BFPaT_biomass</vt:lpstr>
      <vt:lpstr>fuel consumption &amp; power</vt:lpstr>
      <vt:lpstr>heat of nuclear gen</vt:lpstr>
      <vt:lpstr>outlook of power</vt:lpstr>
      <vt:lpstr>Cal</vt:lpstr>
      <vt:lpstr>US values</vt:lpstr>
      <vt:lpstr>existing natural gas</vt:lpstr>
      <vt:lpstr>IEA heat rates</vt:lpstr>
      <vt:lpstr>BHRbEF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2016-02-26T23:55:43Z</dcterms:created>
  <dcterms:modified xsi:type="dcterms:W3CDTF">2022-04-05T22:24:51Z</dcterms:modified>
</cp:coreProperties>
</file>